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7100" windowHeight="9345" activeTab="1"/>
  </bookViews>
  <sheets>
    <sheet name="Zał.1_WPF_bazowy" sheetId="1" r:id="rId1"/>
    <sheet name="Zał. Nr 2 do WPF przedsięwzięci" sheetId="2" r:id="rId2"/>
  </sheets>
  <externalReferences>
    <externalReference r:id="rId3"/>
  </externalReferences>
  <definedNames>
    <definedName name="_xlnm.Print_Area" localSheetId="0">Zał.1_WPF_bazowy!$A$2:$X$100</definedName>
    <definedName name="_xlnm.Print_Titles" localSheetId="1">'Zał. Nr 2 do WPF przedsięwzięci'!$6:$8</definedName>
    <definedName name="_xlnm.Print_Titles" localSheetId="0">Zał.1_WPF_bazowy!$A:$E,Zał.1_WPF_bazowy!$2:$5</definedName>
  </definedNames>
  <calcPr calcId="145621"/>
</workbook>
</file>

<file path=xl/calcChain.xml><?xml version="1.0" encoding="utf-8"?>
<calcChain xmlns="http://schemas.openxmlformats.org/spreadsheetml/2006/main">
  <c r="I21" i="2" l="1"/>
  <c r="K61" i="1" l="1"/>
  <c r="K47" i="1"/>
  <c r="K29" i="1"/>
  <c r="K17" i="1"/>
  <c r="K6" i="1"/>
  <c r="K44" i="1" s="1"/>
  <c r="I19" i="2"/>
  <c r="I15" i="2"/>
  <c r="H10" i="2"/>
  <c r="H14" i="2"/>
  <c r="H11" i="2" s="1"/>
  <c r="F19" i="2"/>
  <c r="F14" i="2" s="1"/>
  <c r="M14" i="2"/>
  <c r="M12" i="2" s="1"/>
  <c r="L14" i="2"/>
  <c r="L12" i="2" s="1"/>
  <c r="K14" i="2"/>
  <c r="K12" i="2" s="1"/>
  <c r="J14" i="2"/>
  <c r="J12" i="2" s="1"/>
  <c r="G14" i="2"/>
  <c r="G11" i="2" s="1"/>
  <c r="M10" i="2"/>
  <c r="L10" i="2"/>
  <c r="K10" i="2"/>
  <c r="J10" i="2"/>
  <c r="G10" i="2"/>
  <c r="F10" i="2"/>
  <c r="K11" i="2" l="1"/>
  <c r="K9" i="2" s="1"/>
  <c r="H9" i="2"/>
  <c r="I11" i="2"/>
  <c r="L11" i="2"/>
  <c r="L9" i="2" s="1"/>
  <c r="K50" i="1"/>
  <c r="K26" i="1"/>
  <c r="K48" i="1"/>
  <c r="K51" i="1"/>
  <c r="I14" i="2"/>
  <c r="K43" i="1"/>
  <c r="J11" i="2"/>
  <c r="J9" i="2" s="1"/>
  <c r="K25" i="1"/>
  <c r="H12" i="2"/>
  <c r="G12" i="2"/>
  <c r="F12" i="2"/>
  <c r="F11" i="2"/>
  <c r="F9" i="2" s="1"/>
  <c r="G9" i="2"/>
  <c r="I9" i="2" s="1"/>
  <c r="M11" i="2"/>
  <c r="M9" i="2" s="1"/>
  <c r="I12" i="2" l="1"/>
  <c r="F249" i="1"/>
  <c r="F248" i="1"/>
  <c r="F247" i="1"/>
  <c r="F246" i="1"/>
  <c r="F188" i="1"/>
  <c r="F187" i="1"/>
  <c r="F186" i="1"/>
  <c r="F180" i="1"/>
  <c r="F179" i="1"/>
  <c r="F178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J100" i="1"/>
  <c r="I100" i="1"/>
  <c r="H100" i="1"/>
  <c r="G100" i="1"/>
  <c r="F100" i="1"/>
  <c r="X99" i="1"/>
  <c r="W99" i="1"/>
  <c r="V99" i="1"/>
  <c r="U99" i="1"/>
  <c r="T99" i="1"/>
  <c r="S99" i="1"/>
  <c r="R99" i="1"/>
  <c r="Q99" i="1"/>
  <c r="P99" i="1"/>
  <c r="O99" i="1"/>
  <c r="N99" i="1"/>
  <c r="M99" i="1"/>
  <c r="J99" i="1"/>
  <c r="I99" i="1"/>
  <c r="H99" i="1"/>
  <c r="G99" i="1"/>
  <c r="F99" i="1"/>
  <c r="X98" i="1"/>
  <c r="W98" i="1"/>
  <c r="V98" i="1"/>
  <c r="U98" i="1"/>
  <c r="T98" i="1"/>
  <c r="S98" i="1"/>
  <c r="R98" i="1"/>
  <c r="Q98" i="1"/>
  <c r="P98" i="1"/>
  <c r="O98" i="1"/>
  <c r="N98" i="1"/>
  <c r="M98" i="1"/>
  <c r="J98" i="1"/>
  <c r="I98" i="1"/>
  <c r="H98" i="1"/>
  <c r="G98" i="1"/>
  <c r="F98" i="1"/>
  <c r="X97" i="1"/>
  <c r="W97" i="1"/>
  <c r="V97" i="1"/>
  <c r="U97" i="1"/>
  <c r="T97" i="1"/>
  <c r="S97" i="1"/>
  <c r="R97" i="1"/>
  <c r="Q97" i="1"/>
  <c r="P97" i="1"/>
  <c r="O97" i="1"/>
  <c r="N97" i="1"/>
  <c r="M97" i="1"/>
  <c r="J97" i="1"/>
  <c r="I97" i="1"/>
  <c r="H97" i="1"/>
  <c r="G97" i="1"/>
  <c r="F97" i="1"/>
  <c r="X96" i="1"/>
  <c r="W96" i="1"/>
  <c r="V96" i="1"/>
  <c r="U96" i="1"/>
  <c r="U141" i="1" s="1"/>
  <c r="T96" i="1"/>
  <c r="S96" i="1"/>
  <c r="R96" i="1"/>
  <c r="Q96" i="1"/>
  <c r="Q141" i="1" s="1"/>
  <c r="P96" i="1"/>
  <c r="O96" i="1"/>
  <c r="N96" i="1"/>
  <c r="M96" i="1"/>
  <c r="M141" i="1" s="1"/>
  <c r="J96" i="1"/>
  <c r="I96" i="1"/>
  <c r="H96" i="1"/>
  <c r="G96" i="1"/>
  <c r="F96" i="1"/>
  <c r="X95" i="1"/>
  <c r="W95" i="1"/>
  <c r="X119" i="1" s="1"/>
  <c r="V95" i="1"/>
  <c r="U95" i="1"/>
  <c r="T95" i="1"/>
  <c r="S95" i="1"/>
  <c r="T119" i="1" s="1"/>
  <c r="R95" i="1"/>
  <c r="Q95" i="1"/>
  <c r="P95" i="1"/>
  <c r="O95" i="1"/>
  <c r="P119" i="1" s="1"/>
  <c r="N95" i="1"/>
  <c r="M95" i="1"/>
  <c r="J95" i="1"/>
  <c r="I95" i="1"/>
  <c r="J119" i="1" s="1"/>
  <c r="H95" i="1"/>
  <c r="G95" i="1"/>
  <c r="F95" i="1"/>
  <c r="X94" i="1"/>
  <c r="W94" i="1"/>
  <c r="V94" i="1"/>
  <c r="U94" i="1"/>
  <c r="T94" i="1"/>
  <c r="S94" i="1"/>
  <c r="R94" i="1"/>
  <c r="Q94" i="1"/>
  <c r="P94" i="1"/>
  <c r="O94" i="1"/>
  <c r="N94" i="1"/>
  <c r="M94" i="1"/>
  <c r="J94" i="1"/>
  <c r="I94" i="1"/>
  <c r="H94" i="1"/>
  <c r="G94" i="1"/>
  <c r="F94" i="1"/>
  <c r="X92" i="1"/>
  <c r="W92" i="1"/>
  <c r="V92" i="1"/>
  <c r="U92" i="1"/>
  <c r="T92" i="1"/>
  <c r="S92" i="1"/>
  <c r="R92" i="1"/>
  <c r="Q92" i="1"/>
  <c r="P92" i="1"/>
  <c r="O92" i="1"/>
  <c r="N92" i="1"/>
  <c r="M92" i="1"/>
  <c r="J92" i="1"/>
  <c r="I92" i="1"/>
  <c r="H92" i="1"/>
  <c r="G92" i="1"/>
  <c r="F92" i="1"/>
  <c r="X91" i="1"/>
  <c r="W91" i="1"/>
  <c r="V91" i="1"/>
  <c r="U91" i="1"/>
  <c r="T91" i="1"/>
  <c r="S91" i="1"/>
  <c r="R91" i="1"/>
  <c r="Q91" i="1"/>
  <c r="P91" i="1"/>
  <c r="O91" i="1"/>
  <c r="N91" i="1"/>
  <c r="M91" i="1"/>
  <c r="J91" i="1"/>
  <c r="I91" i="1"/>
  <c r="H91" i="1"/>
  <c r="G91" i="1"/>
  <c r="F91" i="1"/>
  <c r="X90" i="1"/>
  <c r="W90" i="1"/>
  <c r="V90" i="1"/>
  <c r="U90" i="1"/>
  <c r="T90" i="1"/>
  <c r="S90" i="1"/>
  <c r="R90" i="1"/>
  <c r="Q90" i="1"/>
  <c r="P90" i="1"/>
  <c r="O90" i="1"/>
  <c r="N90" i="1"/>
  <c r="M90" i="1"/>
  <c r="J90" i="1"/>
  <c r="I90" i="1"/>
  <c r="H90" i="1"/>
  <c r="G90" i="1"/>
  <c r="F90" i="1"/>
  <c r="X89" i="1"/>
  <c r="W89" i="1"/>
  <c r="V89" i="1"/>
  <c r="U89" i="1"/>
  <c r="T89" i="1"/>
  <c r="S89" i="1"/>
  <c r="R89" i="1"/>
  <c r="Q89" i="1"/>
  <c r="P89" i="1"/>
  <c r="O89" i="1"/>
  <c r="N89" i="1"/>
  <c r="M89" i="1"/>
  <c r="J89" i="1"/>
  <c r="I89" i="1"/>
  <c r="H89" i="1"/>
  <c r="G89" i="1"/>
  <c r="F89" i="1"/>
  <c r="X88" i="1"/>
  <c r="X116" i="1" s="1"/>
  <c r="W88" i="1"/>
  <c r="W116" i="1" s="1"/>
  <c r="V88" i="1"/>
  <c r="V116" i="1" s="1"/>
  <c r="U88" i="1"/>
  <c r="T88" i="1"/>
  <c r="T116" i="1" s="1"/>
  <c r="S88" i="1"/>
  <c r="S116" i="1" s="1"/>
  <c r="R88" i="1"/>
  <c r="R116" i="1" s="1"/>
  <c r="Q88" i="1"/>
  <c r="P88" i="1"/>
  <c r="P116" i="1" s="1"/>
  <c r="O88" i="1"/>
  <c r="O116" i="1" s="1"/>
  <c r="N88" i="1"/>
  <c r="N116" i="1" s="1"/>
  <c r="M88" i="1"/>
  <c r="J88" i="1"/>
  <c r="I88" i="1"/>
  <c r="H88" i="1"/>
  <c r="G88" i="1"/>
  <c r="F88" i="1"/>
  <c r="X87" i="1"/>
  <c r="W87" i="1"/>
  <c r="V87" i="1"/>
  <c r="U87" i="1"/>
  <c r="T87" i="1"/>
  <c r="S87" i="1"/>
  <c r="R87" i="1"/>
  <c r="Q87" i="1"/>
  <c r="P87" i="1"/>
  <c r="O87" i="1"/>
  <c r="N87" i="1"/>
  <c r="M87" i="1"/>
  <c r="J87" i="1"/>
  <c r="I87" i="1"/>
  <c r="H87" i="1"/>
  <c r="G87" i="1"/>
  <c r="F87" i="1"/>
  <c r="X86" i="1"/>
  <c r="W86" i="1"/>
  <c r="V86" i="1"/>
  <c r="U86" i="1"/>
  <c r="T86" i="1"/>
  <c r="S86" i="1"/>
  <c r="R86" i="1"/>
  <c r="Q86" i="1"/>
  <c r="P86" i="1"/>
  <c r="O86" i="1"/>
  <c r="N86" i="1"/>
  <c r="M86" i="1"/>
  <c r="J86" i="1"/>
  <c r="I86" i="1"/>
  <c r="H86" i="1"/>
  <c r="G86" i="1"/>
  <c r="F86" i="1"/>
  <c r="X84" i="1"/>
  <c r="W84" i="1"/>
  <c r="V84" i="1"/>
  <c r="U84" i="1"/>
  <c r="T84" i="1"/>
  <c r="S84" i="1"/>
  <c r="R84" i="1"/>
  <c r="Q84" i="1"/>
  <c r="P84" i="1"/>
  <c r="O84" i="1"/>
  <c r="N84" i="1"/>
  <c r="M84" i="1"/>
  <c r="J84" i="1"/>
  <c r="L84" i="1" s="1"/>
  <c r="I84" i="1"/>
  <c r="H84" i="1"/>
  <c r="G84" i="1"/>
  <c r="F84" i="1"/>
  <c r="X83" i="1"/>
  <c r="W83" i="1"/>
  <c r="V83" i="1"/>
  <c r="U83" i="1"/>
  <c r="T83" i="1"/>
  <c r="S83" i="1"/>
  <c r="R83" i="1"/>
  <c r="Q83" i="1"/>
  <c r="P83" i="1"/>
  <c r="O83" i="1"/>
  <c r="N83" i="1"/>
  <c r="M83" i="1"/>
  <c r="J83" i="1"/>
  <c r="L83" i="1" s="1"/>
  <c r="I83" i="1"/>
  <c r="H83" i="1"/>
  <c r="G83" i="1"/>
  <c r="F83" i="1"/>
  <c r="X82" i="1"/>
  <c r="W82" i="1"/>
  <c r="X244" i="1" s="1"/>
  <c r="V82" i="1"/>
  <c r="W244" i="1" s="1"/>
  <c r="U82" i="1"/>
  <c r="V244" i="1" s="1"/>
  <c r="T82" i="1"/>
  <c r="U244" i="1" s="1"/>
  <c r="S82" i="1"/>
  <c r="T244" i="1" s="1"/>
  <c r="R82" i="1"/>
  <c r="Q82" i="1"/>
  <c r="R244" i="1" s="1"/>
  <c r="P82" i="1"/>
  <c r="Q244" i="1" s="1"/>
  <c r="O82" i="1"/>
  <c r="P244" i="1" s="1"/>
  <c r="N82" i="1"/>
  <c r="M82" i="1"/>
  <c r="J82" i="1"/>
  <c r="L82" i="1" s="1"/>
  <c r="I82" i="1"/>
  <c r="J244" i="1" s="1"/>
  <c r="H82" i="1"/>
  <c r="I244" i="1" s="1"/>
  <c r="G82" i="1"/>
  <c r="H244" i="1" s="1"/>
  <c r="F82" i="1"/>
  <c r="G244" i="1" s="1"/>
  <c r="X81" i="1"/>
  <c r="W81" i="1"/>
  <c r="V81" i="1"/>
  <c r="U81" i="1"/>
  <c r="T81" i="1"/>
  <c r="S81" i="1"/>
  <c r="R81" i="1"/>
  <c r="Q81" i="1"/>
  <c r="P81" i="1"/>
  <c r="O81" i="1"/>
  <c r="N81" i="1"/>
  <c r="M81" i="1"/>
  <c r="J81" i="1"/>
  <c r="L81" i="1" s="1"/>
  <c r="I81" i="1"/>
  <c r="H81" i="1"/>
  <c r="G81" i="1"/>
  <c r="F81" i="1"/>
  <c r="X80" i="1"/>
  <c r="W80" i="1"/>
  <c r="V80" i="1"/>
  <c r="U80" i="1"/>
  <c r="T80" i="1"/>
  <c r="S80" i="1"/>
  <c r="R80" i="1"/>
  <c r="Q80" i="1"/>
  <c r="P80" i="1"/>
  <c r="O80" i="1"/>
  <c r="N80" i="1"/>
  <c r="M80" i="1"/>
  <c r="J80" i="1"/>
  <c r="L80" i="1" s="1"/>
  <c r="I80" i="1"/>
  <c r="H80" i="1"/>
  <c r="G80" i="1"/>
  <c r="F80" i="1"/>
  <c r="X79" i="1"/>
  <c r="W79" i="1"/>
  <c r="X238" i="1" s="1"/>
  <c r="V79" i="1"/>
  <c r="W238" i="1" s="1"/>
  <c r="U79" i="1"/>
  <c r="T79" i="1"/>
  <c r="U238" i="1" s="1"/>
  <c r="S79" i="1"/>
  <c r="T238" i="1" s="1"/>
  <c r="R79" i="1"/>
  <c r="S238" i="1" s="1"/>
  <c r="Q79" i="1"/>
  <c r="P79" i="1"/>
  <c r="Q238" i="1" s="1"/>
  <c r="O79" i="1"/>
  <c r="P238" i="1" s="1"/>
  <c r="N79" i="1"/>
  <c r="O238" i="1" s="1"/>
  <c r="M79" i="1"/>
  <c r="J79" i="1"/>
  <c r="I79" i="1"/>
  <c r="J238" i="1" s="1"/>
  <c r="H79" i="1"/>
  <c r="I238" i="1" s="1"/>
  <c r="G79" i="1"/>
  <c r="H238" i="1" s="1"/>
  <c r="F79" i="1"/>
  <c r="G238" i="1" s="1"/>
  <c r="X78" i="1"/>
  <c r="W78" i="1"/>
  <c r="V78" i="1"/>
  <c r="U78" i="1"/>
  <c r="T78" i="1"/>
  <c r="S78" i="1"/>
  <c r="R78" i="1"/>
  <c r="Q78" i="1"/>
  <c r="P78" i="1"/>
  <c r="O78" i="1"/>
  <c r="N78" i="1"/>
  <c r="M78" i="1"/>
  <c r="J78" i="1"/>
  <c r="L78" i="1" s="1"/>
  <c r="I78" i="1"/>
  <c r="H78" i="1"/>
  <c r="G78" i="1"/>
  <c r="F78" i="1"/>
  <c r="X77" i="1"/>
  <c r="W77" i="1"/>
  <c r="V77" i="1"/>
  <c r="U77" i="1"/>
  <c r="T77" i="1"/>
  <c r="S77" i="1"/>
  <c r="R77" i="1"/>
  <c r="Q77" i="1"/>
  <c r="P77" i="1"/>
  <c r="O77" i="1"/>
  <c r="N77" i="1"/>
  <c r="M77" i="1"/>
  <c r="J77" i="1"/>
  <c r="I77" i="1"/>
  <c r="H77" i="1"/>
  <c r="G77" i="1"/>
  <c r="F77" i="1"/>
  <c r="X76" i="1"/>
  <c r="W76" i="1"/>
  <c r="X234" i="1" s="1"/>
  <c r="V76" i="1"/>
  <c r="W234" i="1" s="1"/>
  <c r="U76" i="1"/>
  <c r="V234" i="1" s="1"/>
  <c r="T76" i="1"/>
  <c r="S76" i="1"/>
  <c r="R76" i="1"/>
  <c r="S234" i="1" s="1"/>
  <c r="Q76" i="1"/>
  <c r="P76" i="1"/>
  <c r="O76" i="1"/>
  <c r="N76" i="1"/>
  <c r="O234" i="1" s="1"/>
  <c r="M76" i="1"/>
  <c r="J76" i="1"/>
  <c r="L76" i="1" s="1"/>
  <c r="I76" i="1"/>
  <c r="J234" i="1" s="1"/>
  <c r="H76" i="1"/>
  <c r="I234" i="1" s="1"/>
  <c r="G76" i="1"/>
  <c r="H234" i="1" s="1"/>
  <c r="F76" i="1"/>
  <c r="G234" i="1" s="1"/>
  <c r="X75" i="1"/>
  <c r="W75" i="1"/>
  <c r="V75" i="1"/>
  <c r="U75" i="1"/>
  <c r="T75" i="1"/>
  <c r="S75" i="1"/>
  <c r="R75" i="1"/>
  <c r="Q75" i="1"/>
  <c r="P75" i="1"/>
  <c r="O75" i="1"/>
  <c r="N75" i="1"/>
  <c r="M75" i="1"/>
  <c r="J75" i="1"/>
  <c r="L75" i="1" s="1"/>
  <c r="I75" i="1"/>
  <c r="H75" i="1"/>
  <c r="G75" i="1"/>
  <c r="F75" i="1"/>
  <c r="X74" i="1"/>
  <c r="W74" i="1"/>
  <c r="V74" i="1"/>
  <c r="U74" i="1"/>
  <c r="T74" i="1"/>
  <c r="S74" i="1"/>
  <c r="R74" i="1"/>
  <c r="Q74" i="1"/>
  <c r="P74" i="1"/>
  <c r="O74" i="1"/>
  <c r="N74" i="1"/>
  <c r="M74" i="1"/>
  <c r="J74" i="1"/>
  <c r="L74" i="1" s="1"/>
  <c r="I74" i="1"/>
  <c r="H74" i="1"/>
  <c r="G74" i="1"/>
  <c r="F74" i="1"/>
  <c r="X73" i="1"/>
  <c r="W73" i="1"/>
  <c r="V73" i="1"/>
  <c r="U73" i="1"/>
  <c r="V231" i="1" s="1"/>
  <c r="T73" i="1"/>
  <c r="S73" i="1"/>
  <c r="R73" i="1"/>
  <c r="Q73" i="1"/>
  <c r="R231" i="1" s="1"/>
  <c r="P73" i="1"/>
  <c r="O73" i="1"/>
  <c r="N73" i="1"/>
  <c r="M73" i="1"/>
  <c r="N231" i="1" s="1"/>
  <c r="J73" i="1"/>
  <c r="L73" i="1" s="1"/>
  <c r="I73" i="1"/>
  <c r="J231" i="1" s="1"/>
  <c r="H73" i="1"/>
  <c r="I231" i="1" s="1"/>
  <c r="G73" i="1"/>
  <c r="H231" i="1" s="1"/>
  <c r="F73" i="1"/>
  <c r="G231" i="1" s="1"/>
  <c r="X71" i="1"/>
  <c r="W71" i="1"/>
  <c r="V71" i="1"/>
  <c r="U71" i="1"/>
  <c r="T71" i="1"/>
  <c r="S71" i="1"/>
  <c r="R71" i="1"/>
  <c r="Q71" i="1"/>
  <c r="P71" i="1"/>
  <c r="O71" i="1"/>
  <c r="N71" i="1"/>
  <c r="M71" i="1"/>
  <c r="J71" i="1"/>
  <c r="L71" i="1" s="1"/>
  <c r="I71" i="1"/>
  <c r="H71" i="1"/>
  <c r="G71" i="1"/>
  <c r="F71" i="1"/>
  <c r="X70" i="1"/>
  <c r="W70" i="1"/>
  <c r="V70" i="1"/>
  <c r="U70" i="1"/>
  <c r="T70" i="1"/>
  <c r="S70" i="1"/>
  <c r="R70" i="1"/>
  <c r="Q70" i="1"/>
  <c r="P70" i="1"/>
  <c r="O70" i="1"/>
  <c r="N70" i="1"/>
  <c r="M70" i="1"/>
  <c r="J70" i="1"/>
  <c r="L70" i="1" s="1"/>
  <c r="I70" i="1"/>
  <c r="H70" i="1"/>
  <c r="G70" i="1"/>
  <c r="F70" i="1"/>
  <c r="X69" i="1"/>
  <c r="W69" i="1"/>
  <c r="V69" i="1"/>
  <c r="U69" i="1"/>
  <c r="T69" i="1"/>
  <c r="S69" i="1"/>
  <c r="R69" i="1"/>
  <c r="Q69" i="1"/>
  <c r="P69" i="1"/>
  <c r="O69" i="1"/>
  <c r="N69" i="1"/>
  <c r="M69" i="1"/>
  <c r="J69" i="1"/>
  <c r="L69" i="1" s="1"/>
  <c r="I69" i="1"/>
  <c r="H69" i="1"/>
  <c r="G69" i="1"/>
  <c r="F69" i="1"/>
  <c r="X68" i="1"/>
  <c r="W68" i="1"/>
  <c r="X249" i="1" s="1"/>
  <c r="V68" i="1"/>
  <c r="W249" i="1" s="1"/>
  <c r="U68" i="1"/>
  <c r="V249" i="1" s="1"/>
  <c r="T68" i="1"/>
  <c r="U249" i="1" s="1"/>
  <c r="S68" i="1"/>
  <c r="T249" i="1" s="1"/>
  <c r="R68" i="1"/>
  <c r="S249" i="1" s="1"/>
  <c r="Q68" i="1"/>
  <c r="R249" i="1" s="1"/>
  <c r="P68" i="1"/>
  <c r="Q249" i="1" s="1"/>
  <c r="O68" i="1"/>
  <c r="P249" i="1" s="1"/>
  <c r="N68" i="1"/>
  <c r="O249" i="1" s="1"/>
  <c r="M68" i="1"/>
  <c r="J68" i="1"/>
  <c r="I68" i="1"/>
  <c r="H68" i="1"/>
  <c r="G68" i="1"/>
  <c r="F68" i="1"/>
  <c r="X67" i="1"/>
  <c r="W67" i="1"/>
  <c r="X248" i="1" s="1"/>
  <c r="V67" i="1"/>
  <c r="W248" i="1" s="1"/>
  <c r="U67" i="1"/>
  <c r="V248" i="1" s="1"/>
  <c r="T67" i="1"/>
  <c r="U248" i="1" s="1"/>
  <c r="S67" i="1"/>
  <c r="T248" i="1" s="1"/>
  <c r="R67" i="1"/>
  <c r="S248" i="1" s="1"/>
  <c r="Q67" i="1"/>
  <c r="R248" i="1" s="1"/>
  <c r="P67" i="1"/>
  <c r="Q248" i="1" s="1"/>
  <c r="O67" i="1"/>
  <c r="P248" i="1" s="1"/>
  <c r="N67" i="1"/>
  <c r="O248" i="1" s="1"/>
  <c r="M67" i="1"/>
  <c r="N248" i="1" s="1"/>
  <c r="J67" i="1"/>
  <c r="M248" i="1" s="1"/>
  <c r="I67" i="1"/>
  <c r="H67" i="1"/>
  <c r="G67" i="1"/>
  <c r="F67" i="1"/>
  <c r="G248" i="1" s="1"/>
  <c r="X66" i="1"/>
  <c r="W66" i="1"/>
  <c r="V66" i="1"/>
  <c r="U66" i="1"/>
  <c r="T66" i="1"/>
  <c r="S66" i="1"/>
  <c r="R66" i="1"/>
  <c r="Q66" i="1"/>
  <c r="P66" i="1"/>
  <c r="O66" i="1"/>
  <c r="N66" i="1"/>
  <c r="M66" i="1"/>
  <c r="J66" i="1"/>
  <c r="L66" i="1" s="1"/>
  <c r="I66" i="1"/>
  <c r="H66" i="1"/>
  <c r="G66" i="1"/>
  <c r="F66" i="1"/>
  <c r="X65" i="1"/>
  <c r="W65" i="1"/>
  <c r="V65" i="1"/>
  <c r="U65" i="1"/>
  <c r="T65" i="1"/>
  <c r="S65" i="1"/>
  <c r="R65" i="1"/>
  <c r="Q65" i="1"/>
  <c r="P65" i="1"/>
  <c r="O65" i="1"/>
  <c r="N65" i="1"/>
  <c r="M65" i="1"/>
  <c r="J65" i="1"/>
  <c r="L65" i="1" s="1"/>
  <c r="I65" i="1"/>
  <c r="J247" i="1" s="1"/>
  <c r="H65" i="1"/>
  <c r="I247" i="1" s="1"/>
  <c r="G65" i="1"/>
  <c r="H247" i="1" s="1"/>
  <c r="F65" i="1"/>
  <c r="G247" i="1" s="1"/>
  <c r="X64" i="1"/>
  <c r="X225" i="1" s="1"/>
  <c r="W64" i="1"/>
  <c r="V64" i="1"/>
  <c r="U64" i="1"/>
  <c r="T64" i="1"/>
  <c r="S64" i="1"/>
  <c r="R64" i="1"/>
  <c r="Q64" i="1"/>
  <c r="P64" i="1"/>
  <c r="O64" i="1"/>
  <c r="N64" i="1"/>
  <c r="M64" i="1"/>
  <c r="J64" i="1"/>
  <c r="L64" i="1" s="1"/>
  <c r="I64" i="1"/>
  <c r="H64" i="1"/>
  <c r="G64" i="1"/>
  <c r="F64" i="1"/>
  <c r="X62" i="1"/>
  <c r="W62" i="1"/>
  <c r="V62" i="1"/>
  <c r="U62" i="1"/>
  <c r="T62" i="1"/>
  <c r="S62" i="1"/>
  <c r="R62" i="1"/>
  <c r="Q62" i="1"/>
  <c r="P62" i="1"/>
  <c r="O62" i="1"/>
  <c r="N62" i="1"/>
  <c r="M62" i="1"/>
  <c r="J62" i="1"/>
  <c r="I62" i="1"/>
  <c r="H62" i="1"/>
  <c r="G62" i="1"/>
  <c r="F62" i="1"/>
  <c r="X61" i="1"/>
  <c r="W61" i="1"/>
  <c r="V61" i="1"/>
  <c r="U61" i="1"/>
  <c r="T61" i="1"/>
  <c r="S61" i="1"/>
  <c r="R61" i="1"/>
  <c r="Q61" i="1"/>
  <c r="P61" i="1"/>
  <c r="O61" i="1"/>
  <c r="N61" i="1"/>
  <c r="M61" i="1"/>
  <c r="J61" i="1"/>
  <c r="I61" i="1"/>
  <c r="H61" i="1"/>
  <c r="G61" i="1"/>
  <c r="F61" i="1"/>
  <c r="X58" i="1"/>
  <c r="W58" i="1"/>
  <c r="V58" i="1"/>
  <c r="U58" i="1"/>
  <c r="T58" i="1"/>
  <c r="S58" i="1"/>
  <c r="R58" i="1"/>
  <c r="Q58" i="1"/>
  <c r="P58" i="1"/>
  <c r="O58" i="1"/>
  <c r="N58" i="1"/>
  <c r="M58" i="1"/>
  <c r="J58" i="1"/>
  <c r="I58" i="1"/>
  <c r="H58" i="1"/>
  <c r="G58" i="1"/>
  <c r="F58" i="1"/>
  <c r="X57" i="1"/>
  <c r="W57" i="1"/>
  <c r="V57" i="1"/>
  <c r="U57" i="1"/>
  <c r="T57" i="1"/>
  <c r="S57" i="1"/>
  <c r="R57" i="1"/>
  <c r="R59" i="1" s="1"/>
  <c r="Q57" i="1"/>
  <c r="P57" i="1"/>
  <c r="O57" i="1"/>
  <c r="N57" i="1"/>
  <c r="N59" i="1" s="1"/>
  <c r="M57" i="1"/>
  <c r="J57" i="1"/>
  <c r="I57" i="1"/>
  <c r="H57" i="1"/>
  <c r="G57" i="1"/>
  <c r="F57" i="1"/>
  <c r="X55" i="1"/>
  <c r="W55" i="1"/>
  <c r="V55" i="1"/>
  <c r="U55" i="1"/>
  <c r="T55" i="1"/>
  <c r="S55" i="1"/>
  <c r="R55" i="1"/>
  <c r="Q55" i="1"/>
  <c r="P55" i="1"/>
  <c r="O55" i="1"/>
  <c r="N55" i="1"/>
  <c r="M55" i="1"/>
  <c r="J55" i="1"/>
  <c r="I55" i="1"/>
  <c r="H55" i="1"/>
  <c r="G55" i="1"/>
  <c r="F55" i="1"/>
  <c r="X54" i="1"/>
  <c r="W54" i="1"/>
  <c r="V54" i="1"/>
  <c r="U54" i="1"/>
  <c r="T54" i="1"/>
  <c r="S54" i="1"/>
  <c r="R54" i="1"/>
  <c r="Q54" i="1"/>
  <c r="P54" i="1"/>
  <c r="O54" i="1"/>
  <c r="N54" i="1"/>
  <c r="M54" i="1"/>
  <c r="J54" i="1"/>
  <c r="I54" i="1"/>
  <c r="H54" i="1"/>
  <c r="G54" i="1"/>
  <c r="F54" i="1"/>
  <c r="X53" i="1"/>
  <c r="W53" i="1"/>
  <c r="V53" i="1"/>
  <c r="U53" i="1"/>
  <c r="T53" i="1"/>
  <c r="S53" i="1"/>
  <c r="R53" i="1"/>
  <c r="Q53" i="1"/>
  <c r="P53" i="1"/>
  <c r="O53" i="1"/>
  <c r="N53" i="1"/>
  <c r="M53" i="1"/>
  <c r="J53" i="1"/>
  <c r="I53" i="1"/>
  <c r="H53" i="1"/>
  <c r="G53" i="1"/>
  <c r="F53" i="1"/>
  <c r="X52" i="1"/>
  <c r="W52" i="1"/>
  <c r="V52" i="1"/>
  <c r="U52" i="1"/>
  <c r="T52" i="1"/>
  <c r="S52" i="1"/>
  <c r="R52" i="1"/>
  <c r="Q52" i="1"/>
  <c r="P52" i="1"/>
  <c r="O52" i="1"/>
  <c r="N52" i="1"/>
  <c r="M52" i="1"/>
  <c r="J52" i="1"/>
  <c r="I52" i="1"/>
  <c r="H52" i="1"/>
  <c r="G52" i="1"/>
  <c r="F52" i="1"/>
  <c r="X51" i="1"/>
  <c r="W51" i="1"/>
  <c r="V51" i="1"/>
  <c r="U51" i="1"/>
  <c r="T51" i="1"/>
  <c r="S51" i="1"/>
  <c r="R51" i="1"/>
  <c r="Q51" i="1"/>
  <c r="P51" i="1"/>
  <c r="O51" i="1"/>
  <c r="N51" i="1"/>
  <c r="M51" i="1"/>
  <c r="J51" i="1"/>
  <c r="J113" i="1" s="1"/>
  <c r="I51" i="1"/>
  <c r="H51" i="1"/>
  <c r="G51" i="1"/>
  <c r="F51" i="1"/>
  <c r="X50" i="1"/>
  <c r="W50" i="1"/>
  <c r="V50" i="1"/>
  <c r="U50" i="1"/>
  <c r="T50" i="1"/>
  <c r="S50" i="1"/>
  <c r="R50" i="1"/>
  <c r="Q50" i="1"/>
  <c r="P50" i="1"/>
  <c r="O50" i="1"/>
  <c r="N50" i="1"/>
  <c r="M50" i="1"/>
  <c r="J50" i="1"/>
  <c r="J112" i="1" s="1"/>
  <c r="I50" i="1"/>
  <c r="H50" i="1"/>
  <c r="G50" i="1"/>
  <c r="F50" i="1"/>
  <c r="X48" i="1"/>
  <c r="W48" i="1"/>
  <c r="V48" i="1"/>
  <c r="U48" i="1"/>
  <c r="T48" i="1"/>
  <c r="S48" i="1"/>
  <c r="R48" i="1"/>
  <c r="Q48" i="1"/>
  <c r="P48" i="1"/>
  <c r="O48" i="1"/>
  <c r="N48" i="1"/>
  <c r="M48" i="1"/>
  <c r="J48" i="1"/>
  <c r="L48" i="1" s="1"/>
  <c r="I48" i="1"/>
  <c r="H48" i="1"/>
  <c r="G48" i="1"/>
  <c r="F48" i="1"/>
  <c r="X47" i="1"/>
  <c r="W47" i="1"/>
  <c r="V47" i="1"/>
  <c r="U47" i="1"/>
  <c r="T47" i="1"/>
  <c r="S47" i="1"/>
  <c r="R47" i="1"/>
  <c r="Q47" i="1"/>
  <c r="P47" i="1"/>
  <c r="O47" i="1"/>
  <c r="N47" i="1"/>
  <c r="M47" i="1"/>
  <c r="J47" i="1"/>
  <c r="L47" i="1" s="1"/>
  <c r="I47" i="1"/>
  <c r="H47" i="1"/>
  <c r="G47" i="1"/>
  <c r="F47" i="1"/>
  <c r="X45" i="1"/>
  <c r="X166" i="1" s="1"/>
  <c r="W45" i="1"/>
  <c r="W166" i="1" s="1"/>
  <c r="V45" i="1"/>
  <c r="U45" i="1"/>
  <c r="U166" i="1" s="1"/>
  <c r="T45" i="1"/>
  <c r="T166" i="1" s="1"/>
  <c r="S45" i="1"/>
  <c r="S166" i="1" s="1"/>
  <c r="R45" i="1"/>
  <c r="Q45" i="1"/>
  <c r="Q166" i="1" s="1"/>
  <c r="P45" i="1"/>
  <c r="P166" i="1" s="1"/>
  <c r="O45" i="1"/>
  <c r="O166" i="1" s="1"/>
  <c r="N45" i="1"/>
  <c r="M45" i="1"/>
  <c r="M166" i="1" s="1"/>
  <c r="J45" i="1"/>
  <c r="J166" i="1" s="1"/>
  <c r="I45" i="1"/>
  <c r="H45" i="1"/>
  <c r="G45" i="1"/>
  <c r="F45" i="1"/>
  <c r="X44" i="1"/>
  <c r="W44" i="1"/>
  <c r="V44" i="1"/>
  <c r="U44" i="1"/>
  <c r="T44" i="1"/>
  <c r="S44" i="1"/>
  <c r="R44" i="1"/>
  <c r="Q44" i="1"/>
  <c r="P44" i="1"/>
  <c r="O44" i="1"/>
  <c r="N44" i="1"/>
  <c r="M44" i="1"/>
  <c r="J44" i="1"/>
  <c r="J115" i="1" s="1"/>
  <c r="I44" i="1"/>
  <c r="H44" i="1"/>
  <c r="G44" i="1"/>
  <c r="F44" i="1"/>
  <c r="X43" i="1"/>
  <c r="W43" i="1"/>
  <c r="V43" i="1"/>
  <c r="U43" i="1"/>
  <c r="T43" i="1"/>
  <c r="S43" i="1"/>
  <c r="R43" i="1"/>
  <c r="Q43" i="1"/>
  <c r="P43" i="1"/>
  <c r="O43" i="1"/>
  <c r="N43" i="1"/>
  <c r="M43" i="1"/>
  <c r="J43" i="1"/>
  <c r="J114" i="1" s="1"/>
  <c r="I43" i="1"/>
  <c r="H43" i="1"/>
  <c r="G43" i="1"/>
  <c r="F43" i="1"/>
  <c r="X42" i="1"/>
  <c r="W42" i="1"/>
  <c r="V42" i="1"/>
  <c r="U42" i="1"/>
  <c r="T42" i="1"/>
  <c r="S42" i="1"/>
  <c r="R42" i="1"/>
  <c r="Q42" i="1"/>
  <c r="P42" i="1"/>
  <c r="O42" i="1"/>
  <c r="N42" i="1"/>
  <c r="M42" i="1"/>
  <c r="J42" i="1"/>
  <c r="I42" i="1"/>
  <c r="H42" i="1"/>
  <c r="G42" i="1"/>
  <c r="F42" i="1"/>
  <c r="X41" i="1"/>
  <c r="W41" i="1"/>
  <c r="V41" i="1"/>
  <c r="U41" i="1"/>
  <c r="T41" i="1"/>
  <c r="S41" i="1"/>
  <c r="R41" i="1"/>
  <c r="Q41" i="1"/>
  <c r="P41" i="1"/>
  <c r="O41" i="1"/>
  <c r="N41" i="1"/>
  <c r="M41" i="1"/>
  <c r="J41" i="1"/>
  <c r="I41" i="1"/>
  <c r="H41" i="1"/>
  <c r="G41" i="1"/>
  <c r="F41" i="1"/>
  <c r="X40" i="1"/>
  <c r="W40" i="1"/>
  <c r="V40" i="1"/>
  <c r="U40" i="1"/>
  <c r="T40" i="1"/>
  <c r="S40" i="1"/>
  <c r="R40" i="1"/>
  <c r="Q40" i="1"/>
  <c r="P40" i="1"/>
  <c r="O40" i="1"/>
  <c r="N40" i="1"/>
  <c r="M40" i="1"/>
  <c r="J40" i="1"/>
  <c r="L40" i="1" s="1"/>
  <c r="I40" i="1"/>
  <c r="H40" i="1"/>
  <c r="G40" i="1"/>
  <c r="F40" i="1"/>
  <c r="X39" i="1"/>
  <c r="W39" i="1"/>
  <c r="V39" i="1"/>
  <c r="U39" i="1"/>
  <c r="T39" i="1"/>
  <c r="S39" i="1"/>
  <c r="R39" i="1"/>
  <c r="Q39" i="1"/>
  <c r="P39" i="1"/>
  <c r="O39" i="1"/>
  <c r="N39" i="1"/>
  <c r="M39" i="1"/>
  <c r="J39" i="1"/>
  <c r="I39" i="1"/>
  <c r="H39" i="1"/>
  <c r="G39" i="1"/>
  <c r="F39" i="1"/>
  <c r="X38" i="1"/>
  <c r="W38" i="1"/>
  <c r="V38" i="1"/>
  <c r="U38" i="1"/>
  <c r="T38" i="1"/>
  <c r="S38" i="1"/>
  <c r="R38" i="1"/>
  <c r="Q38" i="1"/>
  <c r="P38" i="1"/>
  <c r="O38" i="1"/>
  <c r="N38" i="1"/>
  <c r="M38" i="1"/>
  <c r="J38" i="1"/>
  <c r="I38" i="1"/>
  <c r="H38" i="1"/>
  <c r="G38" i="1"/>
  <c r="F38" i="1"/>
  <c r="X37" i="1"/>
  <c r="W37" i="1"/>
  <c r="V37" i="1"/>
  <c r="U37" i="1"/>
  <c r="T37" i="1"/>
  <c r="S37" i="1"/>
  <c r="R37" i="1"/>
  <c r="Q37" i="1"/>
  <c r="P37" i="1"/>
  <c r="O37" i="1"/>
  <c r="N37" i="1"/>
  <c r="M37" i="1"/>
  <c r="J37" i="1"/>
  <c r="I37" i="1"/>
  <c r="H37" i="1"/>
  <c r="G37" i="1"/>
  <c r="F37" i="1"/>
  <c r="X36" i="1"/>
  <c r="W36" i="1"/>
  <c r="V36" i="1"/>
  <c r="U36" i="1"/>
  <c r="T36" i="1"/>
  <c r="S36" i="1"/>
  <c r="R36" i="1"/>
  <c r="Q36" i="1"/>
  <c r="P36" i="1"/>
  <c r="O36" i="1"/>
  <c r="N36" i="1"/>
  <c r="M36" i="1"/>
  <c r="J36" i="1"/>
  <c r="L36" i="1" s="1"/>
  <c r="I36" i="1"/>
  <c r="H36" i="1"/>
  <c r="G36" i="1"/>
  <c r="F36" i="1"/>
  <c r="X35" i="1"/>
  <c r="W35" i="1"/>
  <c r="V35" i="1"/>
  <c r="U35" i="1"/>
  <c r="T35" i="1"/>
  <c r="S35" i="1"/>
  <c r="R35" i="1"/>
  <c r="Q35" i="1"/>
  <c r="P35" i="1"/>
  <c r="O35" i="1"/>
  <c r="N35" i="1"/>
  <c r="M35" i="1"/>
  <c r="J35" i="1"/>
  <c r="L35" i="1" s="1"/>
  <c r="I35" i="1"/>
  <c r="H35" i="1"/>
  <c r="G35" i="1"/>
  <c r="F35" i="1"/>
  <c r="X34" i="1"/>
  <c r="W34" i="1"/>
  <c r="V34" i="1"/>
  <c r="U34" i="1"/>
  <c r="T34" i="1"/>
  <c r="S34" i="1"/>
  <c r="R34" i="1"/>
  <c r="Q34" i="1"/>
  <c r="P34" i="1"/>
  <c r="O34" i="1"/>
  <c r="N34" i="1"/>
  <c r="M34" i="1"/>
  <c r="J34" i="1"/>
  <c r="I34" i="1"/>
  <c r="H34" i="1"/>
  <c r="G34" i="1"/>
  <c r="F34" i="1"/>
  <c r="X33" i="1"/>
  <c r="W33" i="1"/>
  <c r="V33" i="1"/>
  <c r="U33" i="1"/>
  <c r="T33" i="1"/>
  <c r="S33" i="1"/>
  <c r="R33" i="1"/>
  <c r="Q33" i="1"/>
  <c r="P33" i="1"/>
  <c r="O33" i="1"/>
  <c r="N33" i="1"/>
  <c r="M33" i="1"/>
  <c r="J33" i="1"/>
  <c r="I33" i="1"/>
  <c r="H33" i="1"/>
  <c r="G33" i="1"/>
  <c r="F33" i="1"/>
  <c r="X32" i="1"/>
  <c r="W32" i="1"/>
  <c r="V32" i="1"/>
  <c r="U32" i="1"/>
  <c r="T32" i="1"/>
  <c r="S32" i="1"/>
  <c r="R32" i="1"/>
  <c r="Q32" i="1"/>
  <c r="P32" i="1"/>
  <c r="O32" i="1"/>
  <c r="N32" i="1"/>
  <c r="M32" i="1"/>
  <c r="J32" i="1"/>
  <c r="L32" i="1" s="1"/>
  <c r="I32" i="1"/>
  <c r="H32" i="1"/>
  <c r="G32" i="1"/>
  <c r="F32" i="1"/>
  <c r="X31" i="1"/>
  <c r="W31" i="1"/>
  <c r="V31" i="1"/>
  <c r="U31" i="1"/>
  <c r="T31" i="1"/>
  <c r="S31" i="1"/>
  <c r="R31" i="1"/>
  <c r="Q31" i="1"/>
  <c r="P31" i="1"/>
  <c r="O31" i="1"/>
  <c r="N31" i="1"/>
  <c r="M31" i="1"/>
  <c r="J31" i="1"/>
  <c r="L31" i="1" s="1"/>
  <c r="I31" i="1"/>
  <c r="H31" i="1"/>
  <c r="G31" i="1"/>
  <c r="F31" i="1"/>
  <c r="X30" i="1"/>
  <c r="W30" i="1"/>
  <c r="V30" i="1"/>
  <c r="U30" i="1"/>
  <c r="T30" i="1"/>
  <c r="S30" i="1"/>
  <c r="R30" i="1"/>
  <c r="Q30" i="1"/>
  <c r="P30" i="1"/>
  <c r="O30" i="1"/>
  <c r="N30" i="1"/>
  <c r="M30" i="1"/>
  <c r="J30" i="1"/>
  <c r="L30" i="1" s="1"/>
  <c r="I30" i="1"/>
  <c r="H30" i="1"/>
  <c r="G30" i="1"/>
  <c r="F30" i="1"/>
  <c r="X29" i="1"/>
  <c r="W29" i="1"/>
  <c r="V29" i="1"/>
  <c r="U29" i="1"/>
  <c r="T29" i="1"/>
  <c r="S29" i="1"/>
  <c r="R29" i="1"/>
  <c r="Q29" i="1"/>
  <c r="P29" i="1"/>
  <c r="O29" i="1"/>
  <c r="N29" i="1"/>
  <c r="M29" i="1"/>
  <c r="J29" i="1"/>
  <c r="I29" i="1"/>
  <c r="H29" i="1"/>
  <c r="G29" i="1"/>
  <c r="F29" i="1"/>
  <c r="X28" i="1"/>
  <c r="W28" i="1"/>
  <c r="V28" i="1"/>
  <c r="U28" i="1"/>
  <c r="T28" i="1"/>
  <c r="S28" i="1"/>
  <c r="R28" i="1"/>
  <c r="Q28" i="1"/>
  <c r="P28" i="1"/>
  <c r="O28" i="1"/>
  <c r="N28" i="1"/>
  <c r="M28" i="1"/>
  <c r="J28" i="1"/>
  <c r="I28" i="1"/>
  <c r="H28" i="1"/>
  <c r="G28" i="1"/>
  <c r="F28" i="1"/>
  <c r="X27" i="1"/>
  <c r="W27" i="1"/>
  <c r="V27" i="1"/>
  <c r="U27" i="1"/>
  <c r="T27" i="1"/>
  <c r="S27" i="1"/>
  <c r="R27" i="1"/>
  <c r="Q27" i="1"/>
  <c r="P27" i="1"/>
  <c r="O27" i="1"/>
  <c r="N27" i="1"/>
  <c r="M27" i="1"/>
  <c r="J27" i="1"/>
  <c r="I27" i="1"/>
  <c r="H27" i="1"/>
  <c r="G27" i="1"/>
  <c r="F27" i="1"/>
  <c r="X26" i="1"/>
  <c r="W26" i="1"/>
  <c r="V26" i="1"/>
  <c r="U26" i="1"/>
  <c r="T26" i="1"/>
  <c r="S26" i="1"/>
  <c r="R26" i="1"/>
  <c r="Q26" i="1"/>
  <c r="P26" i="1"/>
  <c r="O26" i="1"/>
  <c r="N26" i="1"/>
  <c r="M26" i="1"/>
  <c r="J26" i="1"/>
  <c r="L26" i="1" s="1"/>
  <c r="I26" i="1"/>
  <c r="H26" i="1"/>
  <c r="G26" i="1"/>
  <c r="F26" i="1"/>
  <c r="X25" i="1"/>
  <c r="W25" i="1"/>
  <c r="V25" i="1"/>
  <c r="U25" i="1"/>
  <c r="T25" i="1"/>
  <c r="S25" i="1"/>
  <c r="R25" i="1"/>
  <c r="Q25" i="1"/>
  <c r="P25" i="1"/>
  <c r="O25" i="1"/>
  <c r="N25" i="1"/>
  <c r="M25" i="1"/>
  <c r="J25" i="1"/>
  <c r="I25" i="1"/>
  <c r="H25" i="1"/>
  <c r="G25" i="1"/>
  <c r="F25" i="1"/>
  <c r="X24" i="1"/>
  <c r="W24" i="1"/>
  <c r="V24" i="1"/>
  <c r="U24" i="1"/>
  <c r="T24" i="1"/>
  <c r="S24" i="1"/>
  <c r="R24" i="1"/>
  <c r="Q24" i="1"/>
  <c r="P24" i="1"/>
  <c r="O24" i="1"/>
  <c r="N24" i="1"/>
  <c r="M24" i="1"/>
  <c r="J24" i="1"/>
  <c r="L24" i="1" s="1"/>
  <c r="I24" i="1"/>
  <c r="H24" i="1"/>
  <c r="G24" i="1"/>
  <c r="F24" i="1"/>
  <c r="X23" i="1"/>
  <c r="W23" i="1"/>
  <c r="V23" i="1"/>
  <c r="U23" i="1"/>
  <c r="T23" i="1"/>
  <c r="S23" i="1"/>
  <c r="R23" i="1"/>
  <c r="Q23" i="1"/>
  <c r="P23" i="1"/>
  <c r="O23" i="1"/>
  <c r="N23" i="1"/>
  <c r="M23" i="1"/>
  <c r="J23" i="1"/>
  <c r="L23" i="1" s="1"/>
  <c r="I23" i="1"/>
  <c r="H23" i="1"/>
  <c r="G23" i="1"/>
  <c r="F23" i="1"/>
  <c r="X22" i="1"/>
  <c r="W22" i="1"/>
  <c r="V22" i="1"/>
  <c r="U22" i="1"/>
  <c r="T22" i="1"/>
  <c r="S22" i="1"/>
  <c r="R22" i="1"/>
  <c r="Q22" i="1"/>
  <c r="P22" i="1"/>
  <c r="O22" i="1"/>
  <c r="N22" i="1"/>
  <c r="M22" i="1"/>
  <c r="J22" i="1"/>
  <c r="L22" i="1" s="1"/>
  <c r="I22" i="1"/>
  <c r="H22" i="1"/>
  <c r="G22" i="1"/>
  <c r="F22" i="1"/>
  <c r="X21" i="1"/>
  <c r="W21" i="1"/>
  <c r="V21" i="1"/>
  <c r="U21" i="1"/>
  <c r="T21" i="1"/>
  <c r="S21" i="1"/>
  <c r="R21" i="1"/>
  <c r="Q21" i="1"/>
  <c r="P21" i="1"/>
  <c r="O21" i="1"/>
  <c r="N21" i="1"/>
  <c r="M21" i="1"/>
  <c r="J21" i="1"/>
  <c r="X20" i="1"/>
  <c r="W20" i="1"/>
  <c r="X240" i="1" s="1"/>
  <c r="V20" i="1"/>
  <c r="W240" i="1" s="1"/>
  <c r="U20" i="1"/>
  <c r="V240" i="1" s="1"/>
  <c r="T20" i="1"/>
  <c r="U240" i="1" s="1"/>
  <c r="S20" i="1"/>
  <c r="T240" i="1" s="1"/>
  <c r="R20" i="1"/>
  <c r="S240" i="1" s="1"/>
  <c r="Q20" i="1"/>
  <c r="R240" i="1" s="1"/>
  <c r="P20" i="1"/>
  <c r="Q240" i="1" s="1"/>
  <c r="O20" i="1"/>
  <c r="P240" i="1" s="1"/>
  <c r="N20" i="1"/>
  <c r="O240" i="1" s="1"/>
  <c r="M20" i="1"/>
  <c r="N240" i="1" s="1"/>
  <c r="J20" i="1"/>
  <c r="M240" i="1" s="1"/>
  <c r="I20" i="1"/>
  <c r="J240" i="1" s="1"/>
  <c r="H20" i="1"/>
  <c r="I240" i="1" s="1"/>
  <c r="G20" i="1"/>
  <c r="H240" i="1" s="1"/>
  <c r="F20" i="1"/>
  <c r="G240" i="1" s="1"/>
  <c r="X19" i="1"/>
  <c r="W19" i="1"/>
  <c r="V19" i="1"/>
  <c r="U19" i="1"/>
  <c r="T19" i="1"/>
  <c r="S19" i="1"/>
  <c r="R19" i="1"/>
  <c r="Q19" i="1"/>
  <c r="P19" i="1"/>
  <c r="O19" i="1"/>
  <c r="N19" i="1"/>
  <c r="M19" i="1"/>
  <c r="J19" i="1"/>
  <c r="I19" i="1"/>
  <c r="J239" i="1" s="1"/>
  <c r="H19" i="1"/>
  <c r="I239" i="1" s="1"/>
  <c r="G19" i="1"/>
  <c r="H239" i="1" s="1"/>
  <c r="F19" i="1"/>
  <c r="G239" i="1" s="1"/>
  <c r="X18" i="1"/>
  <c r="W18" i="1"/>
  <c r="V18" i="1"/>
  <c r="U18" i="1"/>
  <c r="T18" i="1"/>
  <c r="S18" i="1"/>
  <c r="R18" i="1"/>
  <c r="Q18" i="1"/>
  <c r="P18" i="1"/>
  <c r="O18" i="1"/>
  <c r="N18" i="1"/>
  <c r="M18" i="1"/>
  <c r="J18" i="1"/>
  <c r="L18" i="1" s="1"/>
  <c r="I18" i="1"/>
  <c r="H18" i="1"/>
  <c r="G18" i="1"/>
  <c r="F18" i="1"/>
  <c r="X17" i="1"/>
  <c r="W17" i="1"/>
  <c r="V17" i="1"/>
  <c r="U17" i="1"/>
  <c r="T17" i="1"/>
  <c r="S17" i="1"/>
  <c r="R17" i="1"/>
  <c r="Q17" i="1"/>
  <c r="P17" i="1"/>
  <c r="O17" i="1"/>
  <c r="N17" i="1"/>
  <c r="M17" i="1"/>
  <c r="J17" i="1"/>
  <c r="L17" i="1" s="1"/>
  <c r="I17" i="1"/>
  <c r="H17" i="1"/>
  <c r="G17" i="1"/>
  <c r="F17" i="1"/>
  <c r="X16" i="1"/>
  <c r="W16" i="1"/>
  <c r="V16" i="1"/>
  <c r="U16" i="1"/>
  <c r="T16" i="1"/>
  <c r="S16" i="1"/>
  <c r="R16" i="1"/>
  <c r="Q16" i="1"/>
  <c r="P16" i="1"/>
  <c r="O16" i="1"/>
  <c r="N16" i="1"/>
  <c r="M16" i="1"/>
  <c r="J16" i="1"/>
  <c r="L16" i="1" s="1"/>
  <c r="I16" i="1"/>
  <c r="H16" i="1"/>
  <c r="G16" i="1"/>
  <c r="F16" i="1"/>
  <c r="X15" i="1"/>
  <c r="X220" i="1" s="1"/>
  <c r="W15" i="1"/>
  <c r="V15" i="1"/>
  <c r="U15" i="1"/>
  <c r="T15" i="1"/>
  <c r="S15" i="1"/>
  <c r="R15" i="1"/>
  <c r="Q15" i="1"/>
  <c r="P15" i="1"/>
  <c r="O15" i="1"/>
  <c r="N15" i="1"/>
  <c r="M15" i="1"/>
  <c r="J15" i="1"/>
  <c r="L15" i="1" s="1"/>
  <c r="I15" i="1"/>
  <c r="H15" i="1"/>
  <c r="G15" i="1"/>
  <c r="F15" i="1"/>
  <c r="X14" i="1"/>
  <c r="W14" i="1"/>
  <c r="V14" i="1"/>
  <c r="U14" i="1"/>
  <c r="T14" i="1"/>
  <c r="S14" i="1"/>
  <c r="R14" i="1"/>
  <c r="Q14" i="1"/>
  <c r="P14" i="1"/>
  <c r="O14" i="1"/>
  <c r="N14" i="1"/>
  <c r="M14" i="1"/>
  <c r="J14" i="1"/>
  <c r="L14" i="1" s="1"/>
  <c r="I14" i="1"/>
  <c r="H14" i="1"/>
  <c r="G14" i="1"/>
  <c r="F14" i="1"/>
  <c r="X13" i="1"/>
  <c r="X124" i="1" s="1"/>
  <c r="W13" i="1"/>
  <c r="W124" i="1" s="1"/>
  <c r="V13" i="1"/>
  <c r="V124" i="1" s="1"/>
  <c r="U13" i="1"/>
  <c r="T13" i="1"/>
  <c r="T124" i="1" s="1"/>
  <c r="S13" i="1"/>
  <c r="S124" i="1" s="1"/>
  <c r="R13" i="1"/>
  <c r="R124" i="1" s="1"/>
  <c r="Q13" i="1"/>
  <c r="P13" i="1"/>
  <c r="P124" i="1" s="1"/>
  <c r="O13" i="1"/>
  <c r="O124" i="1" s="1"/>
  <c r="N13" i="1"/>
  <c r="N124" i="1" s="1"/>
  <c r="M13" i="1"/>
  <c r="J13" i="1"/>
  <c r="I13" i="1"/>
  <c r="H13" i="1"/>
  <c r="G13" i="1"/>
  <c r="F13" i="1"/>
  <c r="X12" i="1"/>
  <c r="W12" i="1"/>
  <c r="V12" i="1"/>
  <c r="U12" i="1"/>
  <c r="T12" i="1"/>
  <c r="S12" i="1"/>
  <c r="R12" i="1"/>
  <c r="Q12" i="1"/>
  <c r="P12" i="1"/>
  <c r="O12" i="1"/>
  <c r="N12" i="1"/>
  <c r="M12" i="1"/>
  <c r="J12" i="1"/>
  <c r="L12" i="1" s="1"/>
  <c r="I12" i="1"/>
  <c r="H12" i="1"/>
  <c r="G12" i="1"/>
  <c r="F12" i="1"/>
  <c r="X11" i="1"/>
  <c r="W11" i="1"/>
  <c r="V11" i="1"/>
  <c r="U11" i="1"/>
  <c r="T11" i="1"/>
  <c r="S11" i="1"/>
  <c r="R11" i="1"/>
  <c r="Q11" i="1"/>
  <c r="P11" i="1"/>
  <c r="O11" i="1"/>
  <c r="N11" i="1"/>
  <c r="M11" i="1"/>
  <c r="J11" i="1"/>
  <c r="L11" i="1" s="1"/>
  <c r="I11" i="1"/>
  <c r="H11" i="1"/>
  <c r="G11" i="1"/>
  <c r="F11" i="1"/>
  <c r="X10" i="1"/>
  <c r="W10" i="1"/>
  <c r="V10" i="1"/>
  <c r="U10" i="1"/>
  <c r="T10" i="1"/>
  <c r="S10" i="1"/>
  <c r="R10" i="1"/>
  <c r="Q10" i="1"/>
  <c r="P10" i="1"/>
  <c r="O10" i="1"/>
  <c r="N10" i="1"/>
  <c r="M10" i="1"/>
  <c r="J10" i="1"/>
  <c r="L10" i="1" s="1"/>
  <c r="I10" i="1"/>
  <c r="H10" i="1"/>
  <c r="G10" i="1"/>
  <c r="F10" i="1"/>
  <c r="X9" i="1"/>
  <c r="W9" i="1"/>
  <c r="V9" i="1"/>
  <c r="U9" i="1"/>
  <c r="T9" i="1"/>
  <c r="S9" i="1"/>
  <c r="R9" i="1"/>
  <c r="Q9" i="1"/>
  <c r="P9" i="1"/>
  <c r="O9" i="1"/>
  <c r="N9" i="1"/>
  <c r="M9" i="1"/>
  <c r="J9" i="1"/>
  <c r="L9" i="1" s="1"/>
  <c r="I9" i="1"/>
  <c r="H9" i="1"/>
  <c r="G9" i="1"/>
  <c r="F9" i="1"/>
  <c r="X8" i="1"/>
  <c r="W8" i="1"/>
  <c r="V8" i="1"/>
  <c r="U8" i="1"/>
  <c r="T8" i="1"/>
  <c r="S8" i="1"/>
  <c r="R8" i="1"/>
  <c r="Q8" i="1"/>
  <c r="P8" i="1"/>
  <c r="O8" i="1"/>
  <c r="N8" i="1"/>
  <c r="M8" i="1"/>
  <c r="J8" i="1"/>
  <c r="L8" i="1" s="1"/>
  <c r="I8" i="1"/>
  <c r="H8" i="1"/>
  <c r="G8" i="1"/>
  <c r="F8" i="1"/>
  <c r="X7" i="1"/>
  <c r="W7" i="1"/>
  <c r="V7" i="1"/>
  <c r="U7" i="1"/>
  <c r="T7" i="1"/>
  <c r="S7" i="1"/>
  <c r="R7" i="1"/>
  <c r="Q7" i="1"/>
  <c r="P7" i="1"/>
  <c r="O7" i="1"/>
  <c r="N7" i="1"/>
  <c r="M7" i="1"/>
  <c r="J7" i="1"/>
  <c r="L7" i="1" s="1"/>
  <c r="I7" i="1"/>
  <c r="H7" i="1"/>
  <c r="G7" i="1"/>
  <c r="F7" i="1"/>
  <c r="X6" i="1"/>
  <c r="W6" i="1"/>
  <c r="V6" i="1"/>
  <c r="U6" i="1"/>
  <c r="T6" i="1"/>
  <c r="S6" i="1"/>
  <c r="R6" i="1"/>
  <c r="Q6" i="1"/>
  <c r="P6" i="1"/>
  <c r="O6" i="1"/>
  <c r="N6" i="1"/>
  <c r="M6" i="1"/>
  <c r="J6" i="1"/>
  <c r="L6" i="1" s="1"/>
  <c r="I6" i="1"/>
  <c r="H6" i="1"/>
  <c r="G6" i="1"/>
  <c r="F6" i="1"/>
  <c r="X5" i="1"/>
  <c r="W5" i="1"/>
  <c r="V5" i="1"/>
  <c r="U5" i="1"/>
  <c r="T5" i="1"/>
  <c r="S5" i="1"/>
  <c r="R5" i="1"/>
  <c r="Q5" i="1"/>
  <c r="P5" i="1"/>
  <c r="O5" i="1"/>
  <c r="N5" i="1"/>
  <c r="M5" i="1"/>
  <c r="J5" i="1"/>
  <c r="J136" i="1" l="1"/>
  <c r="L79" i="1"/>
  <c r="I56" i="1"/>
  <c r="O56" i="1"/>
  <c r="O123" i="1"/>
  <c r="S123" i="1"/>
  <c r="W123" i="1"/>
  <c r="J241" i="1"/>
  <c r="I242" i="1"/>
  <c r="O242" i="1"/>
  <c r="S242" i="1"/>
  <c r="W242" i="1"/>
  <c r="H243" i="1"/>
  <c r="N154" i="1"/>
  <c r="R154" i="1"/>
  <c r="V154" i="1"/>
  <c r="J155" i="1"/>
  <c r="L29" i="1"/>
  <c r="P155" i="1"/>
  <c r="T155" i="1"/>
  <c r="X155" i="1"/>
  <c r="N156" i="1"/>
  <c r="R156" i="1"/>
  <c r="V156" i="1"/>
  <c r="J157" i="1"/>
  <c r="P157" i="1"/>
  <c r="T157" i="1"/>
  <c r="X157" i="1"/>
  <c r="J159" i="1"/>
  <c r="P159" i="1"/>
  <c r="T159" i="1"/>
  <c r="X159" i="1"/>
  <c r="J165" i="1"/>
  <c r="P165" i="1"/>
  <c r="T165" i="1"/>
  <c r="X165" i="1"/>
  <c r="J60" i="1"/>
  <c r="P60" i="1"/>
  <c r="T60" i="1"/>
  <c r="X60" i="1"/>
  <c r="S59" i="1"/>
  <c r="M130" i="1"/>
  <c r="Q130" i="1"/>
  <c r="U130" i="1"/>
  <c r="O247" i="1"/>
  <c r="S247" i="1"/>
  <c r="W247" i="1"/>
  <c r="X133" i="1"/>
  <c r="J174" i="1"/>
  <c r="P174" i="1"/>
  <c r="T174" i="1"/>
  <c r="X174" i="1"/>
  <c r="N120" i="1"/>
  <c r="R120" i="1"/>
  <c r="V120" i="1"/>
  <c r="N141" i="1"/>
  <c r="R141" i="1"/>
  <c r="V141" i="1"/>
  <c r="M124" i="1"/>
  <c r="Q124" i="1"/>
  <c r="U124" i="1"/>
  <c r="Q60" i="1"/>
  <c r="N130" i="1"/>
  <c r="R130" i="1"/>
  <c r="V130" i="1"/>
  <c r="P247" i="1"/>
  <c r="T247" i="1"/>
  <c r="X247" i="1"/>
  <c r="H248" i="1"/>
  <c r="G249" i="1"/>
  <c r="M249" i="1"/>
  <c r="L68" i="1"/>
  <c r="X131" i="1"/>
  <c r="O132" i="1"/>
  <c r="S132" i="1"/>
  <c r="W132" i="1"/>
  <c r="J134" i="1"/>
  <c r="L77" i="1"/>
  <c r="P134" i="1"/>
  <c r="T134" i="1"/>
  <c r="X134" i="1"/>
  <c r="X139" i="1"/>
  <c r="O141" i="1"/>
  <c r="S141" i="1"/>
  <c r="W141" i="1"/>
  <c r="N166" i="1"/>
  <c r="R166" i="1"/>
  <c r="V166" i="1"/>
  <c r="J141" i="1"/>
  <c r="P141" i="1"/>
  <c r="T141" i="1"/>
  <c r="X141" i="1"/>
  <c r="N60" i="1"/>
  <c r="R60" i="1"/>
  <c r="V59" i="1"/>
  <c r="V60" i="1"/>
  <c r="J132" i="1"/>
  <c r="P132" i="1"/>
  <c r="T132" i="1"/>
  <c r="X132" i="1"/>
  <c r="M134" i="1"/>
  <c r="Q134" i="1"/>
  <c r="U134" i="1"/>
  <c r="X138" i="1"/>
  <c r="H56" i="1"/>
  <c r="O59" i="1"/>
  <c r="S60" i="1"/>
  <c r="W60" i="1"/>
  <c r="U60" i="1"/>
  <c r="J124" i="1"/>
  <c r="L13" i="1"/>
  <c r="J249" i="1"/>
  <c r="N132" i="1"/>
  <c r="R132" i="1"/>
  <c r="V132" i="1"/>
  <c r="O134" i="1"/>
  <c r="S134" i="1"/>
  <c r="W134" i="1"/>
  <c r="M120" i="1"/>
  <c r="Q120" i="1"/>
  <c r="U120" i="1"/>
  <c r="M119" i="1"/>
  <c r="Q119" i="1"/>
  <c r="U119" i="1"/>
  <c r="G215" i="1"/>
  <c r="H229" i="1"/>
  <c r="G216" i="1"/>
  <c r="G181" i="1"/>
  <c r="G184" i="1"/>
  <c r="G172" i="1"/>
  <c r="G183" i="1"/>
  <c r="G182" i="1"/>
  <c r="N229" i="1"/>
  <c r="M216" i="1"/>
  <c r="M215" i="1"/>
  <c r="M181" i="1"/>
  <c r="M184" i="1"/>
  <c r="M172" i="1"/>
  <c r="M183" i="1"/>
  <c r="M182" i="1"/>
  <c r="M117" i="1"/>
  <c r="R229" i="1"/>
  <c r="Q215" i="1"/>
  <c r="Q216" i="1"/>
  <c r="Q181" i="1"/>
  <c r="Q184" i="1"/>
  <c r="Q172" i="1"/>
  <c r="Q183" i="1"/>
  <c r="Q182" i="1"/>
  <c r="Q117" i="1"/>
  <c r="V229" i="1"/>
  <c r="U215" i="1"/>
  <c r="U216" i="1"/>
  <c r="U181" i="1"/>
  <c r="U184" i="1"/>
  <c r="U172" i="1"/>
  <c r="U183" i="1"/>
  <c r="U182" i="1"/>
  <c r="U117" i="1"/>
  <c r="G230" i="1"/>
  <c r="F217" i="1"/>
  <c r="F170" i="1"/>
  <c r="M230" i="1"/>
  <c r="J217" i="1"/>
  <c r="J170" i="1"/>
  <c r="J126" i="1"/>
  <c r="J125" i="1"/>
  <c r="J111" i="1"/>
  <c r="Q230" i="1"/>
  <c r="P217" i="1"/>
  <c r="P170" i="1"/>
  <c r="P126" i="1"/>
  <c r="P125" i="1"/>
  <c r="P111" i="1"/>
  <c r="U230" i="1"/>
  <c r="T217" i="1"/>
  <c r="T170" i="1"/>
  <c r="T126" i="1"/>
  <c r="T125" i="1"/>
  <c r="T111" i="1"/>
  <c r="X217" i="1"/>
  <c r="X170" i="1"/>
  <c r="X126" i="1"/>
  <c r="X125" i="1"/>
  <c r="X111" i="1"/>
  <c r="M123" i="1"/>
  <c r="Q123" i="1"/>
  <c r="U123" i="1"/>
  <c r="H232" i="1"/>
  <c r="G219" i="1"/>
  <c r="G218" i="1"/>
  <c r="N232" i="1"/>
  <c r="M219" i="1"/>
  <c r="M218" i="1"/>
  <c r="M129" i="1"/>
  <c r="M128" i="1"/>
  <c r="M127" i="1"/>
  <c r="R232" i="1"/>
  <c r="Q219" i="1"/>
  <c r="Q218" i="1"/>
  <c r="Q129" i="1"/>
  <c r="Q128" i="1"/>
  <c r="Q127" i="1"/>
  <c r="V232" i="1"/>
  <c r="U219" i="1"/>
  <c r="U218" i="1"/>
  <c r="U129" i="1"/>
  <c r="U128" i="1"/>
  <c r="U127" i="1"/>
  <c r="G233" i="1"/>
  <c r="F220" i="1"/>
  <c r="M233" i="1"/>
  <c r="J220" i="1"/>
  <c r="Q233" i="1"/>
  <c r="P220" i="1"/>
  <c r="U233" i="1"/>
  <c r="T220" i="1"/>
  <c r="U194" i="1" s="1"/>
  <c r="H222" i="1"/>
  <c r="H221" i="1"/>
  <c r="I195" i="1" s="1"/>
  <c r="I235" i="1"/>
  <c r="N222" i="1"/>
  <c r="O235" i="1"/>
  <c r="N221" i="1"/>
  <c r="O195" i="1" s="1"/>
  <c r="S235" i="1"/>
  <c r="R222" i="1"/>
  <c r="R221" i="1"/>
  <c r="V222" i="1"/>
  <c r="W196" i="1" s="1"/>
  <c r="V221" i="1"/>
  <c r="W235" i="1"/>
  <c r="H237" i="1"/>
  <c r="H236" i="1"/>
  <c r="G226" i="1"/>
  <c r="G223" i="1"/>
  <c r="G224" i="1"/>
  <c r="G171" i="1"/>
  <c r="N237" i="1"/>
  <c r="N236" i="1"/>
  <c r="M226" i="1"/>
  <c r="M223" i="1"/>
  <c r="M224" i="1"/>
  <c r="M171" i="1"/>
  <c r="M146" i="1"/>
  <c r="M149" i="1"/>
  <c r="M145" i="1"/>
  <c r="M148" i="1"/>
  <c r="M147" i="1"/>
  <c r="R237" i="1"/>
  <c r="R236" i="1"/>
  <c r="Q226" i="1"/>
  <c r="Q223" i="1"/>
  <c r="Q224" i="1"/>
  <c r="Q171" i="1"/>
  <c r="Q146" i="1"/>
  <c r="Q149" i="1"/>
  <c r="Q145" i="1"/>
  <c r="Q148" i="1"/>
  <c r="Q147" i="1"/>
  <c r="V237" i="1"/>
  <c r="V236" i="1"/>
  <c r="U226" i="1"/>
  <c r="U223" i="1"/>
  <c r="U224" i="1"/>
  <c r="U171" i="1"/>
  <c r="U146" i="1"/>
  <c r="U149" i="1"/>
  <c r="U145" i="1"/>
  <c r="U148" i="1"/>
  <c r="U147" i="1"/>
  <c r="M239" i="1"/>
  <c r="J143" i="1"/>
  <c r="J142" i="1"/>
  <c r="Q239" i="1"/>
  <c r="P143" i="1"/>
  <c r="P142" i="1"/>
  <c r="U239" i="1"/>
  <c r="T143" i="1"/>
  <c r="T142" i="1"/>
  <c r="X143" i="1"/>
  <c r="X142" i="1"/>
  <c r="H241" i="1"/>
  <c r="N241" i="1"/>
  <c r="M167" i="1"/>
  <c r="M144" i="1"/>
  <c r="R241" i="1"/>
  <c r="Q167" i="1"/>
  <c r="Q144" i="1"/>
  <c r="V241" i="1"/>
  <c r="U167" i="1"/>
  <c r="U144" i="1"/>
  <c r="G242" i="1"/>
  <c r="M242" i="1"/>
  <c r="Q242" i="1"/>
  <c r="U242" i="1"/>
  <c r="J243" i="1"/>
  <c r="P243" i="1"/>
  <c r="O152" i="1"/>
  <c r="O151" i="1"/>
  <c r="O150" i="1"/>
  <c r="O153" i="1"/>
  <c r="T243" i="1"/>
  <c r="S152" i="1"/>
  <c r="S151" i="1"/>
  <c r="S150" i="1"/>
  <c r="S153" i="1"/>
  <c r="X243" i="1"/>
  <c r="W152" i="1"/>
  <c r="W151" i="1"/>
  <c r="W150" i="1"/>
  <c r="W153" i="1"/>
  <c r="N121" i="1"/>
  <c r="N122" i="1"/>
  <c r="R121" i="1"/>
  <c r="R122" i="1"/>
  <c r="V121" i="1"/>
  <c r="V122" i="1"/>
  <c r="J154" i="1"/>
  <c r="P154" i="1"/>
  <c r="T154" i="1"/>
  <c r="X154" i="1"/>
  <c r="N155" i="1"/>
  <c r="R155" i="1"/>
  <c r="V155" i="1"/>
  <c r="F173" i="1"/>
  <c r="J156" i="1"/>
  <c r="P156" i="1"/>
  <c r="T156" i="1"/>
  <c r="X156" i="1"/>
  <c r="N157" i="1"/>
  <c r="R157" i="1"/>
  <c r="V157" i="1"/>
  <c r="O161" i="1"/>
  <c r="O158" i="1"/>
  <c r="O160" i="1"/>
  <c r="S161" i="1"/>
  <c r="S158" i="1"/>
  <c r="S160" i="1"/>
  <c r="W161" i="1"/>
  <c r="W158" i="1"/>
  <c r="W160" i="1"/>
  <c r="N159" i="1"/>
  <c r="R159" i="1"/>
  <c r="V159" i="1"/>
  <c r="J173" i="1"/>
  <c r="J118" i="1"/>
  <c r="P173" i="1"/>
  <c r="O164" i="1"/>
  <c r="O163" i="1"/>
  <c r="O162" i="1"/>
  <c r="P118" i="1"/>
  <c r="T173" i="1"/>
  <c r="S164" i="1"/>
  <c r="S163" i="1"/>
  <c r="S162" i="1"/>
  <c r="T118" i="1"/>
  <c r="X173" i="1"/>
  <c r="W164" i="1"/>
  <c r="W163" i="1"/>
  <c r="W162" i="1"/>
  <c r="X118" i="1"/>
  <c r="N165" i="1"/>
  <c r="R165" i="1"/>
  <c r="V165" i="1"/>
  <c r="U56" i="1"/>
  <c r="P59" i="1"/>
  <c r="J130" i="1"/>
  <c r="P130" i="1"/>
  <c r="T130" i="1"/>
  <c r="X130" i="1"/>
  <c r="I246" i="1"/>
  <c r="H225" i="1"/>
  <c r="O246" i="1"/>
  <c r="N225" i="1"/>
  <c r="S246" i="1"/>
  <c r="R225" i="1"/>
  <c r="W246" i="1"/>
  <c r="V225" i="1"/>
  <c r="N247" i="1"/>
  <c r="R247" i="1"/>
  <c r="V247" i="1"/>
  <c r="J248" i="1"/>
  <c r="I249" i="1"/>
  <c r="O231" i="1"/>
  <c r="N131" i="1"/>
  <c r="S231" i="1"/>
  <c r="R131" i="1"/>
  <c r="W231" i="1"/>
  <c r="V131" i="1"/>
  <c r="M132" i="1"/>
  <c r="Q132" i="1"/>
  <c r="U132" i="1"/>
  <c r="P234" i="1"/>
  <c r="O133" i="1"/>
  <c r="T234" i="1"/>
  <c r="S133" i="1"/>
  <c r="N134" i="1"/>
  <c r="R134" i="1"/>
  <c r="V134" i="1"/>
  <c r="X135" i="1"/>
  <c r="O140" i="1"/>
  <c r="S140" i="1"/>
  <c r="W140" i="1"/>
  <c r="I229" i="1"/>
  <c r="H216" i="1"/>
  <c r="H190" i="1" s="1"/>
  <c r="H215" i="1"/>
  <c r="H184" i="1"/>
  <c r="H172" i="1"/>
  <c r="H183" i="1"/>
  <c r="H182" i="1"/>
  <c r="H181" i="1"/>
  <c r="O229" i="1"/>
  <c r="N216" i="1"/>
  <c r="N190" i="1" s="1"/>
  <c r="N215" i="1"/>
  <c r="N184" i="1"/>
  <c r="N172" i="1"/>
  <c r="N193" i="1"/>
  <c r="N183" i="1"/>
  <c r="N182" i="1"/>
  <c r="N181" i="1"/>
  <c r="N117" i="1"/>
  <c r="S229" i="1"/>
  <c r="R216" i="1"/>
  <c r="R190" i="1" s="1"/>
  <c r="R215" i="1"/>
  <c r="R189" i="1" s="1"/>
  <c r="R184" i="1"/>
  <c r="R172" i="1"/>
  <c r="R193" i="1"/>
  <c r="R192" i="1"/>
  <c r="R183" i="1"/>
  <c r="R182" i="1"/>
  <c r="R181" i="1"/>
  <c r="R117" i="1"/>
  <c r="V216" i="1"/>
  <c r="V190" i="1" s="1"/>
  <c r="W229" i="1"/>
  <c r="V215" i="1"/>
  <c r="V189" i="1" s="1"/>
  <c r="V193" i="1"/>
  <c r="V184" i="1"/>
  <c r="V172" i="1"/>
  <c r="V192" i="1"/>
  <c r="V183" i="1"/>
  <c r="V182" i="1"/>
  <c r="V181" i="1"/>
  <c r="V117" i="1"/>
  <c r="H230" i="1"/>
  <c r="G217" i="1"/>
  <c r="G170" i="1"/>
  <c r="N230" i="1"/>
  <c r="M217" i="1"/>
  <c r="M170" i="1"/>
  <c r="M126" i="1"/>
  <c r="M125" i="1"/>
  <c r="M111" i="1"/>
  <c r="R230" i="1"/>
  <c r="Q217" i="1"/>
  <c r="Q170" i="1"/>
  <c r="Q126" i="1"/>
  <c r="Q125" i="1"/>
  <c r="Q111" i="1"/>
  <c r="V230" i="1"/>
  <c r="U217" i="1"/>
  <c r="U170" i="1"/>
  <c r="U126" i="1"/>
  <c r="U125" i="1"/>
  <c r="U111" i="1"/>
  <c r="N123" i="1"/>
  <c r="R123" i="1"/>
  <c r="V123" i="1"/>
  <c r="H218" i="1"/>
  <c r="I232" i="1"/>
  <c r="H219" i="1"/>
  <c r="H193" i="1" s="1"/>
  <c r="N218" i="1"/>
  <c r="N192" i="1" s="1"/>
  <c r="O232" i="1"/>
  <c r="N219" i="1"/>
  <c r="N129" i="1"/>
  <c r="N128" i="1"/>
  <c r="N127" i="1"/>
  <c r="S232" i="1"/>
  <c r="R218" i="1"/>
  <c r="R219" i="1"/>
  <c r="R129" i="1"/>
  <c r="R128" i="1"/>
  <c r="R127" i="1"/>
  <c r="V218" i="1"/>
  <c r="W192" i="1" s="1"/>
  <c r="W232" i="1"/>
  <c r="V219" i="1"/>
  <c r="V129" i="1"/>
  <c r="V128" i="1"/>
  <c r="V127" i="1"/>
  <c r="H233" i="1"/>
  <c r="G220" i="1"/>
  <c r="N233" i="1"/>
  <c r="M220" i="1"/>
  <c r="R233" i="1"/>
  <c r="Q220" i="1"/>
  <c r="R194" i="1" s="1"/>
  <c r="V233" i="1"/>
  <c r="U220" i="1"/>
  <c r="V194" i="1" s="1"/>
  <c r="J235" i="1"/>
  <c r="I221" i="1"/>
  <c r="I222" i="1"/>
  <c r="I196" i="1" s="1"/>
  <c r="P235" i="1"/>
  <c r="O221" i="1"/>
  <c r="O222" i="1"/>
  <c r="T235" i="1"/>
  <c r="S221" i="1"/>
  <c r="S222" i="1"/>
  <c r="X235" i="1"/>
  <c r="W221" i="1"/>
  <c r="W195" i="1" s="1"/>
  <c r="W222" i="1"/>
  <c r="I237" i="1"/>
  <c r="I236" i="1"/>
  <c r="H224" i="1"/>
  <c r="H198" i="1" s="1"/>
  <c r="H226" i="1"/>
  <c r="H200" i="1" s="1"/>
  <c r="H223" i="1"/>
  <c r="H197" i="1" s="1"/>
  <c r="H171" i="1"/>
  <c r="O237" i="1"/>
  <c r="O236" i="1"/>
  <c r="N226" i="1"/>
  <c r="N200" i="1" s="1"/>
  <c r="N224" i="1"/>
  <c r="N198" i="1" s="1"/>
  <c r="N223" i="1"/>
  <c r="N197" i="1" s="1"/>
  <c r="N171" i="1"/>
  <c r="N149" i="1"/>
  <c r="N145" i="1"/>
  <c r="N148" i="1"/>
  <c r="N147" i="1"/>
  <c r="N146" i="1"/>
  <c r="S237" i="1"/>
  <c r="S236" i="1"/>
  <c r="R224" i="1"/>
  <c r="R223" i="1"/>
  <c r="R197" i="1" s="1"/>
  <c r="R226" i="1"/>
  <c r="R200" i="1" s="1"/>
  <c r="R171" i="1"/>
  <c r="R149" i="1"/>
  <c r="R145" i="1"/>
  <c r="R148" i="1"/>
  <c r="R147" i="1"/>
  <c r="R146" i="1"/>
  <c r="V226" i="1"/>
  <c r="V200" i="1" s="1"/>
  <c r="V224" i="1"/>
  <c r="V198" i="1" s="1"/>
  <c r="W237" i="1"/>
  <c r="V223" i="1"/>
  <c r="V197" i="1" s="1"/>
  <c r="W236" i="1"/>
  <c r="V171" i="1"/>
  <c r="V149" i="1"/>
  <c r="V145" i="1"/>
  <c r="V148" i="1"/>
  <c r="V147" i="1"/>
  <c r="V146" i="1"/>
  <c r="N239" i="1"/>
  <c r="M142" i="1"/>
  <c r="M143" i="1"/>
  <c r="R239" i="1"/>
  <c r="Q142" i="1"/>
  <c r="Q143" i="1"/>
  <c r="V239" i="1"/>
  <c r="U142" i="1"/>
  <c r="U143" i="1"/>
  <c r="I241" i="1"/>
  <c r="O241" i="1"/>
  <c r="N167" i="1"/>
  <c r="N144" i="1"/>
  <c r="S241" i="1"/>
  <c r="R167" i="1"/>
  <c r="R144" i="1"/>
  <c r="W241" i="1"/>
  <c r="V167" i="1"/>
  <c r="V144" i="1"/>
  <c r="H242" i="1"/>
  <c r="N242" i="1"/>
  <c r="R242" i="1"/>
  <c r="V242" i="1"/>
  <c r="G243" i="1"/>
  <c r="M243" i="1"/>
  <c r="J151" i="1"/>
  <c r="J150" i="1"/>
  <c r="J153" i="1"/>
  <c r="J152" i="1"/>
  <c r="Q243" i="1"/>
  <c r="P151" i="1"/>
  <c r="P150" i="1"/>
  <c r="P153" i="1"/>
  <c r="P152" i="1"/>
  <c r="U243" i="1"/>
  <c r="T151" i="1"/>
  <c r="T150" i="1"/>
  <c r="T153" i="1"/>
  <c r="T152" i="1"/>
  <c r="X151" i="1"/>
  <c r="X150" i="1"/>
  <c r="X153" i="1"/>
  <c r="X152" i="1"/>
  <c r="O122" i="1"/>
  <c r="O121" i="1"/>
  <c r="S122" i="1"/>
  <c r="S121" i="1"/>
  <c r="W122" i="1"/>
  <c r="W121" i="1"/>
  <c r="M154" i="1"/>
  <c r="Q154" i="1"/>
  <c r="U154" i="1"/>
  <c r="O155" i="1"/>
  <c r="S155" i="1"/>
  <c r="W155" i="1"/>
  <c r="M156" i="1"/>
  <c r="Q156" i="1"/>
  <c r="U156" i="1"/>
  <c r="O157" i="1"/>
  <c r="S157" i="1"/>
  <c r="W157" i="1"/>
  <c r="J161" i="1"/>
  <c r="J160" i="1"/>
  <c r="J158" i="1"/>
  <c r="P161" i="1"/>
  <c r="P160" i="1"/>
  <c r="P158" i="1"/>
  <c r="T161" i="1"/>
  <c r="T158" i="1"/>
  <c r="T160" i="1"/>
  <c r="X160" i="1"/>
  <c r="X161" i="1"/>
  <c r="X158" i="1"/>
  <c r="O159" i="1"/>
  <c r="S159" i="1"/>
  <c r="W159" i="1"/>
  <c r="G173" i="1"/>
  <c r="M173" i="1"/>
  <c r="J164" i="1"/>
  <c r="J162" i="1"/>
  <c r="M118" i="1"/>
  <c r="J163" i="1"/>
  <c r="Q173" i="1"/>
  <c r="P164" i="1"/>
  <c r="P163" i="1"/>
  <c r="P162" i="1"/>
  <c r="Q118" i="1"/>
  <c r="U173" i="1"/>
  <c r="T164" i="1"/>
  <c r="T163" i="1"/>
  <c r="T162" i="1"/>
  <c r="U118" i="1"/>
  <c r="X164" i="1"/>
  <c r="X163" i="1"/>
  <c r="X162" i="1"/>
  <c r="O165" i="1"/>
  <c r="S165" i="1"/>
  <c r="W165" i="1"/>
  <c r="Q56" i="1"/>
  <c r="V56" i="1"/>
  <c r="J59" i="1"/>
  <c r="W59" i="1"/>
  <c r="O60" i="1"/>
  <c r="J246" i="1"/>
  <c r="I225" i="1"/>
  <c r="I199" i="1" s="1"/>
  <c r="P246" i="1"/>
  <c r="O225" i="1"/>
  <c r="T246" i="1"/>
  <c r="S225" i="1"/>
  <c r="X246" i="1"/>
  <c r="W225" i="1"/>
  <c r="P231" i="1"/>
  <c r="O131" i="1"/>
  <c r="T231" i="1"/>
  <c r="S131" i="1"/>
  <c r="X231" i="1"/>
  <c r="W131" i="1"/>
  <c r="M234" i="1"/>
  <c r="J133" i="1"/>
  <c r="Q234" i="1"/>
  <c r="P133" i="1"/>
  <c r="U234" i="1"/>
  <c r="T133" i="1"/>
  <c r="N238" i="1"/>
  <c r="M136" i="1"/>
  <c r="M135" i="1"/>
  <c r="R238" i="1"/>
  <c r="Q136" i="1"/>
  <c r="Q135" i="1"/>
  <c r="V238" i="1"/>
  <c r="U136" i="1"/>
  <c r="U135" i="1"/>
  <c r="O244" i="1"/>
  <c r="N137" i="1"/>
  <c r="N138" i="1"/>
  <c r="S244" i="1"/>
  <c r="R137" i="1"/>
  <c r="R138" i="1"/>
  <c r="J140" i="1"/>
  <c r="P140" i="1"/>
  <c r="T140" i="1"/>
  <c r="X140" i="1"/>
  <c r="J229" i="1"/>
  <c r="I216" i="1"/>
  <c r="I190" i="1" s="1"/>
  <c r="I215" i="1"/>
  <c r="I189" i="1" s="1"/>
  <c r="I183" i="1"/>
  <c r="I182" i="1"/>
  <c r="I181" i="1"/>
  <c r="I184" i="1"/>
  <c r="I172" i="1"/>
  <c r="P229" i="1"/>
  <c r="O216" i="1"/>
  <c r="O190" i="1" s="1"/>
  <c r="O215" i="1"/>
  <c r="O189" i="1" s="1"/>
  <c r="O199" i="1"/>
  <c r="O196" i="1"/>
  <c r="O193" i="1"/>
  <c r="O183" i="1"/>
  <c r="O182" i="1"/>
  <c r="O181" i="1"/>
  <c r="O184" i="1"/>
  <c r="O172" i="1"/>
  <c r="O117" i="1"/>
  <c r="T229" i="1"/>
  <c r="S216" i="1"/>
  <c r="S215" i="1"/>
  <c r="S189" i="1" s="1"/>
  <c r="S199" i="1"/>
  <c r="S196" i="1"/>
  <c r="S195" i="1"/>
  <c r="S193" i="1"/>
  <c r="S192" i="1"/>
  <c r="S190" i="1"/>
  <c r="S183" i="1"/>
  <c r="S182" i="1"/>
  <c r="S181" i="1"/>
  <c r="S184" i="1"/>
  <c r="S172" i="1"/>
  <c r="S117" i="1"/>
  <c r="X229" i="1"/>
  <c r="W216" i="1"/>
  <c r="X190" i="1" s="1"/>
  <c r="W215" i="1"/>
  <c r="W199" i="1"/>
  <c r="W190" i="1"/>
  <c r="W183" i="1"/>
  <c r="W193" i="1"/>
  <c r="W182" i="1"/>
  <c r="W181" i="1"/>
  <c r="W184" i="1"/>
  <c r="W172" i="1"/>
  <c r="W117" i="1"/>
  <c r="H217" i="1"/>
  <c r="I230" i="1"/>
  <c r="H170" i="1"/>
  <c r="O230" i="1"/>
  <c r="N217" i="1"/>
  <c r="N170" i="1"/>
  <c r="N125" i="1"/>
  <c r="N111" i="1"/>
  <c r="N126" i="1"/>
  <c r="S230" i="1"/>
  <c r="R217" i="1"/>
  <c r="R191" i="1" s="1"/>
  <c r="R170" i="1"/>
  <c r="R125" i="1"/>
  <c r="R111" i="1"/>
  <c r="R126" i="1"/>
  <c r="V217" i="1"/>
  <c r="W230" i="1"/>
  <c r="V170" i="1"/>
  <c r="V125" i="1"/>
  <c r="V111" i="1"/>
  <c r="V126" i="1"/>
  <c r="J232" i="1"/>
  <c r="I219" i="1"/>
  <c r="I193" i="1" s="1"/>
  <c r="I218" i="1"/>
  <c r="I192" i="1" s="1"/>
  <c r="P232" i="1"/>
  <c r="O219" i="1"/>
  <c r="O218" i="1"/>
  <c r="O128" i="1"/>
  <c r="O127" i="1"/>
  <c r="O129" i="1"/>
  <c r="T232" i="1"/>
  <c r="S219" i="1"/>
  <c r="S218" i="1"/>
  <c r="S128" i="1"/>
  <c r="S127" i="1"/>
  <c r="S129" i="1"/>
  <c r="X232" i="1"/>
  <c r="W219" i="1"/>
  <c r="W218" i="1"/>
  <c r="W128" i="1"/>
  <c r="W127" i="1"/>
  <c r="W129" i="1"/>
  <c r="I233" i="1"/>
  <c r="H220" i="1"/>
  <c r="O233" i="1"/>
  <c r="N220" i="1"/>
  <c r="S233" i="1"/>
  <c r="R220" i="1"/>
  <c r="S194" i="1" s="1"/>
  <c r="V220" i="1"/>
  <c r="W194" i="1" s="1"/>
  <c r="W233" i="1"/>
  <c r="G235" i="1"/>
  <c r="F222" i="1"/>
  <c r="F221" i="1"/>
  <c r="M235" i="1"/>
  <c r="J222" i="1"/>
  <c r="J221" i="1"/>
  <c r="Q235" i="1"/>
  <c r="P222" i="1"/>
  <c r="P221" i="1"/>
  <c r="U235" i="1"/>
  <c r="T222" i="1"/>
  <c r="T196" i="1" s="1"/>
  <c r="T221" i="1"/>
  <c r="X222" i="1"/>
  <c r="X196" i="1" s="1"/>
  <c r="X221" i="1"/>
  <c r="J237" i="1"/>
  <c r="J236" i="1"/>
  <c r="I224" i="1"/>
  <c r="I226" i="1"/>
  <c r="I200" i="1" s="1"/>
  <c r="I223" i="1"/>
  <c r="I197" i="1" s="1"/>
  <c r="I171" i="1"/>
  <c r="P237" i="1"/>
  <c r="P236" i="1"/>
  <c r="O226" i="1"/>
  <c r="O200" i="1" s="1"/>
  <c r="O224" i="1"/>
  <c r="O198" i="1" s="1"/>
  <c r="O223" i="1"/>
  <c r="O171" i="1"/>
  <c r="O148" i="1"/>
  <c r="O147" i="1"/>
  <c r="O146" i="1"/>
  <c r="O149" i="1"/>
  <c r="O145" i="1"/>
  <c r="T237" i="1"/>
  <c r="T236" i="1"/>
  <c r="S224" i="1"/>
  <c r="S198" i="1" s="1"/>
  <c r="S226" i="1"/>
  <c r="S200" i="1" s="1"/>
  <c r="S223" i="1"/>
  <c r="S171" i="1"/>
  <c r="S148" i="1"/>
  <c r="S147" i="1"/>
  <c r="S146" i="1"/>
  <c r="S149" i="1"/>
  <c r="S145" i="1"/>
  <c r="X237" i="1"/>
  <c r="X236" i="1"/>
  <c r="W226" i="1"/>
  <c r="W200" i="1" s="1"/>
  <c r="W224" i="1"/>
  <c r="W198" i="1" s="1"/>
  <c r="W223" i="1"/>
  <c r="W197" i="1" s="1"/>
  <c r="W171" i="1"/>
  <c r="W148" i="1"/>
  <c r="W147" i="1"/>
  <c r="W146" i="1"/>
  <c r="W149" i="1"/>
  <c r="W145" i="1"/>
  <c r="O239" i="1"/>
  <c r="N143" i="1"/>
  <c r="N142" i="1"/>
  <c r="S239" i="1"/>
  <c r="R143" i="1"/>
  <c r="R142" i="1"/>
  <c r="W239" i="1"/>
  <c r="V143" i="1"/>
  <c r="V142" i="1"/>
  <c r="P241" i="1"/>
  <c r="O167" i="1"/>
  <c r="O144" i="1"/>
  <c r="T241" i="1"/>
  <c r="S167" i="1"/>
  <c r="S144" i="1"/>
  <c r="X241" i="1"/>
  <c r="W167" i="1"/>
  <c r="W144" i="1"/>
  <c r="N243" i="1"/>
  <c r="M150" i="1"/>
  <c r="M153" i="1"/>
  <c r="M152" i="1"/>
  <c r="M151" i="1"/>
  <c r="R243" i="1"/>
  <c r="Q150" i="1"/>
  <c r="Q153" i="1"/>
  <c r="Q152" i="1"/>
  <c r="Q151" i="1"/>
  <c r="V243" i="1"/>
  <c r="U150" i="1"/>
  <c r="U153" i="1"/>
  <c r="U152" i="1"/>
  <c r="U151" i="1"/>
  <c r="J122" i="1"/>
  <c r="J121" i="1"/>
  <c r="P122" i="1"/>
  <c r="P121" i="1"/>
  <c r="T122" i="1"/>
  <c r="T121" i="1"/>
  <c r="X122" i="1"/>
  <c r="X121" i="1"/>
  <c r="M161" i="1"/>
  <c r="M160" i="1"/>
  <c r="M158" i="1"/>
  <c r="Q161" i="1"/>
  <c r="Q160" i="1"/>
  <c r="Q158" i="1"/>
  <c r="U161" i="1"/>
  <c r="U160" i="1"/>
  <c r="U158" i="1"/>
  <c r="H173" i="1"/>
  <c r="M163" i="1"/>
  <c r="N173" i="1"/>
  <c r="M164" i="1"/>
  <c r="M162" i="1"/>
  <c r="N118" i="1"/>
  <c r="Q163" i="1"/>
  <c r="R173" i="1"/>
  <c r="Q164" i="1"/>
  <c r="Q162" i="1"/>
  <c r="R118" i="1"/>
  <c r="U163" i="1"/>
  <c r="V173" i="1"/>
  <c r="U164" i="1"/>
  <c r="U162" i="1"/>
  <c r="V118" i="1"/>
  <c r="M56" i="1"/>
  <c r="R56" i="1"/>
  <c r="W56" i="1"/>
  <c r="X59" i="1"/>
  <c r="G246" i="1"/>
  <c r="F225" i="1"/>
  <c r="M246" i="1"/>
  <c r="J225" i="1"/>
  <c r="J199" i="1" s="1"/>
  <c r="Q246" i="1"/>
  <c r="P225" i="1"/>
  <c r="P199" i="1" s="1"/>
  <c r="U246" i="1"/>
  <c r="T225" i="1"/>
  <c r="T199" i="1" s="1"/>
  <c r="M231" i="1"/>
  <c r="J131" i="1"/>
  <c r="Q231" i="1"/>
  <c r="P131" i="1"/>
  <c r="U231" i="1"/>
  <c r="T131" i="1"/>
  <c r="N234" i="1"/>
  <c r="M133" i="1"/>
  <c r="R234" i="1"/>
  <c r="Q133" i="1"/>
  <c r="M140" i="1"/>
  <c r="Q140" i="1"/>
  <c r="U140" i="1"/>
  <c r="G229" i="1"/>
  <c r="F216" i="1"/>
  <c r="F215" i="1"/>
  <c r="G189" i="1" s="1"/>
  <c r="F182" i="1"/>
  <c r="F181" i="1"/>
  <c r="F184" i="1"/>
  <c r="F172" i="1"/>
  <c r="F183" i="1"/>
  <c r="F56" i="1"/>
  <c r="M229" i="1"/>
  <c r="J216" i="1"/>
  <c r="M190" i="1" s="1"/>
  <c r="J215" i="1"/>
  <c r="J189" i="1" s="1"/>
  <c r="J182" i="1"/>
  <c r="J195" i="1"/>
  <c r="J181" i="1"/>
  <c r="J184" i="1"/>
  <c r="J172" i="1"/>
  <c r="J183" i="1"/>
  <c r="J117" i="1"/>
  <c r="J56" i="1"/>
  <c r="Q229" i="1"/>
  <c r="P216" i="1"/>
  <c r="Q190" i="1" s="1"/>
  <c r="P215" i="1"/>
  <c r="P182" i="1"/>
  <c r="P181" i="1"/>
  <c r="P196" i="1"/>
  <c r="P195" i="1"/>
  <c r="P184" i="1"/>
  <c r="P172" i="1"/>
  <c r="P193" i="1"/>
  <c r="P183" i="1"/>
  <c r="P117" i="1"/>
  <c r="P56" i="1"/>
  <c r="U229" i="1"/>
  <c r="T216" i="1"/>
  <c r="U190" i="1" s="1"/>
  <c r="T215" i="1"/>
  <c r="T195" i="1"/>
  <c r="T182" i="1"/>
  <c r="T181" i="1"/>
  <c r="T184" i="1"/>
  <c r="T172" i="1"/>
  <c r="T193" i="1"/>
  <c r="T192" i="1"/>
  <c r="T183" i="1"/>
  <c r="T117" i="1"/>
  <c r="T56" i="1"/>
  <c r="X216" i="1"/>
  <c r="X215" i="1"/>
  <c r="X189" i="1" s="1"/>
  <c r="X193" i="1"/>
  <c r="X182" i="1"/>
  <c r="X181" i="1"/>
  <c r="X184" i="1"/>
  <c r="X172" i="1"/>
  <c r="X199" i="1"/>
  <c r="X192" i="1"/>
  <c r="X183" i="1"/>
  <c r="X117" i="1"/>
  <c r="X56" i="1"/>
  <c r="J230" i="1"/>
  <c r="I217" i="1"/>
  <c r="J191" i="1" s="1"/>
  <c r="I170" i="1"/>
  <c r="P230" i="1"/>
  <c r="O217" i="1"/>
  <c r="P191" i="1" s="1"/>
  <c r="O170" i="1"/>
  <c r="O126" i="1"/>
  <c r="O125" i="1"/>
  <c r="O111" i="1"/>
  <c r="T230" i="1"/>
  <c r="S217" i="1"/>
  <c r="T191" i="1" s="1"/>
  <c r="S170" i="1"/>
  <c r="S126" i="1"/>
  <c r="S125" i="1"/>
  <c r="S111" i="1"/>
  <c r="X230" i="1"/>
  <c r="W217" i="1"/>
  <c r="X191" i="1" s="1"/>
  <c r="W170" i="1"/>
  <c r="W126" i="1"/>
  <c r="W125" i="1"/>
  <c r="W111" i="1"/>
  <c r="J123" i="1"/>
  <c r="P123" i="1"/>
  <c r="T123" i="1"/>
  <c r="X123" i="1"/>
  <c r="G232" i="1"/>
  <c r="F219" i="1"/>
  <c r="G193" i="1" s="1"/>
  <c r="F218" i="1"/>
  <c r="G192" i="1" s="1"/>
  <c r="M232" i="1"/>
  <c r="J219" i="1"/>
  <c r="M193" i="1" s="1"/>
  <c r="J218" i="1"/>
  <c r="M192" i="1" s="1"/>
  <c r="J127" i="1"/>
  <c r="J129" i="1"/>
  <c r="J128" i="1"/>
  <c r="Q232" i="1"/>
  <c r="P219" i="1"/>
  <c r="Q193" i="1" s="1"/>
  <c r="P218" i="1"/>
  <c r="P127" i="1"/>
  <c r="P129" i="1"/>
  <c r="P128" i="1"/>
  <c r="U232" i="1"/>
  <c r="T219" i="1"/>
  <c r="U193" i="1" s="1"/>
  <c r="T218" i="1"/>
  <c r="U192" i="1" s="1"/>
  <c r="T127" i="1"/>
  <c r="T129" i="1"/>
  <c r="T128" i="1"/>
  <c r="X219" i="1"/>
  <c r="X218" i="1"/>
  <c r="X127" i="1"/>
  <c r="X129" i="1"/>
  <c r="X128" i="1"/>
  <c r="J233" i="1"/>
  <c r="I220" i="1"/>
  <c r="J194" i="1" s="1"/>
  <c r="P233" i="1"/>
  <c r="O220" i="1"/>
  <c r="T233" i="1"/>
  <c r="S220" i="1"/>
  <c r="T194" i="1" s="1"/>
  <c r="X233" i="1"/>
  <c r="W220" i="1"/>
  <c r="X194" i="1" s="1"/>
  <c r="H235" i="1"/>
  <c r="G222" i="1"/>
  <c r="H196" i="1" s="1"/>
  <c r="G221" i="1"/>
  <c r="N235" i="1"/>
  <c r="M222" i="1"/>
  <c r="N196" i="1" s="1"/>
  <c r="M221" i="1"/>
  <c r="R235" i="1"/>
  <c r="Q222" i="1"/>
  <c r="R196" i="1" s="1"/>
  <c r="Q221" i="1"/>
  <c r="V235" i="1"/>
  <c r="U222" i="1"/>
  <c r="U221" i="1"/>
  <c r="V195" i="1" s="1"/>
  <c r="F226" i="1"/>
  <c r="G200" i="1" s="1"/>
  <c r="G237" i="1"/>
  <c r="G236" i="1"/>
  <c r="F224" i="1"/>
  <c r="G198" i="1" s="1"/>
  <c r="F223" i="1"/>
  <c r="G197" i="1" s="1"/>
  <c r="F171" i="1"/>
  <c r="J226" i="1"/>
  <c r="J200" i="1" s="1"/>
  <c r="M237" i="1"/>
  <c r="M236" i="1"/>
  <c r="J224" i="1"/>
  <c r="M198" i="1" s="1"/>
  <c r="J223" i="1"/>
  <c r="J171" i="1"/>
  <c r="J147" i="1"/>
  <c r="J146" i="1"/>
  <c r="J149" i="1"/>
  <c r="J145" i="1"/>
  <c r="J148" i="1"/>
  <c r="P226" i="1"/>
  <c r="Q237" i="1"/>
  <c r="Q236" i="1"/>
  <c r="P224" i="1"/>
  <c r="P198" i="1" s="1"/>
  <c r="P223" i="1"/>
  <c r="P171" i="1"/>
  <c r="P147" i="1"/>
  <c r="P146" i="1"/>
  <c r="P149" i="1"/>
  <c r="P145" i="1"/>
  <c r="P148" i="1"/>
  <c r="T226" i="1"/>
  <c r="U200" i="1" s="1"/>
  <c r="U237" i="1"/>
  <c r="U236" i="1"/>
  <c r="T224" i="1"/>
  <c r="T198" i="1" s="1"/>
  <c r="T223" i="1"/>
  <c r="T197" i="1" s="1"/>
  <c r="T171" i="1"/>
  <c r="T147" i="1"/>
  <c r="T146" i="1"/>
  <c r="T149" i="1"/>
  <c r="T145" i="1"/>
  <c r="T148" i="1"/>
  <c r="X226" i="1"/>
  <c r="X224" i="1"/>
  <c r="X198" i="1" s="1"/>
  <c r="X223" i="1"/>
  <c r="X171" i="1"/>
  <c r="X147" i="1"/>
  <c r="X146" i="1"/>
  <c r="X149" i="1"/>
  <c r="X145" i="1"/>
  <c r="X148" i="1"/>
  <c r="P239" i="1"/>
  <c r="O143" i="1"/>
  <c r="O142" i="1"/>
  <c r="T239" i="1"/>
  <c r="S143" i="1"/>
  <c r="S142" i="1"/>
  <c r="X239" i="1"/>
  <c r="W143" i="1"/>
  <c r="W142" i="1"/>
  <c r="G241" i="1"/>
  <c r="M241" i="1"/>
  <c r="J167" i="1"/>
  <c r="J144" i="1"/>
  <c r="Q241" i="1"/>
  <c r="P167" i="1"/>
  <c r="P144" i="1"/>
  <c r="U241" i="1"/>
  <c r="T167" i="1"/>
  <c r="T144" i="1"/>
  <c r="X167" i="1"/>
  <c r="X144" i="1"/>
  <c r="J242" i="1"/>
  <c r="P242" i="1"/>
  <c r="T242" i="1"/>
  <c r="X242" i="1"/>
  <c r="I243" i="1"/>
  <c r="O243" i="1"/>
  <c r="N153" i="1"/>
  <c r="N152" i="1"/>
  <c r="N151" i="1"/>
  <c r="N150" i="1"/>
  <c r="S243" i="1"/>
  <c r="R153" i="1"/>
  <c r="R152" i="1"/>
  <c r="R151" i="1"/>
  <c r="R150" i="1"/>
  <c r="W243" i="1"/>
  <c r="V153" i="1"/>
  <c r="V152" i="1"/>
  <c r="V151" i="1"/>
  <c r="V150" i="1"/>
  <c r="M122" i="1"/>
  <c r="M121" i="1"/>
  <c r="Q122" i="1"/>
  <c r="Q121" i="1"/>
  <c r="U122" i="1"/>
  <c r="U121" i="1"/>
  <c r="O154" i="1"/>
  <c r="S154" i="1"/>
  <c r="W154" i="1"/>
  <c r="M155" i="1"/>
  <c r="Q155" i="1"/>
  <c r="U155" i="1"/>
  <c r="O156" i="1"/>
  <c r="S156" i="1"/>
  <c r="W156" i="1"/>
  <c r="M157" i="1"/>
  <c r="Q157" i="1"/>
  <c r="U157" i="1"/>
  <c r="N160" i="1"/>
  <c r="N161" i="1"/>
  <c r="N158" i="1"/>
  <c r="R160" i="1"/>
  <c r="R158" i="1"/>
  <c r="R161" i="1"/>
  <c r="V160" i="1"/>
  <c r="V161" i="1"/>
  <c r="V158" i="1"/>
  <c r="M159" i="1"/>
  <c r="Q159" i="1"/>
  <c r="U159" i="1"/>
  <c r="I173" i="1"/>
  <c r="N162" i="1"/>
  <c r="O173" i="1"/>
  <c r="N164" i="1"/>
  <c r="N163" i="1"/>
  <c r="O118" i="1"/>
  <c r="R162" i="1"/>
  <c r="S173" i="1"/>
  <c r="R164" i="1"/>
  <c r="R163" i="1"/>
  <c r="S118" i="1"/>
  <c r="V162" i="1"/>
  <c r="W173" i="1"/>
  <c r="V164" i="1"/>
  <c r="V163" i="1"/>
  <c r="W118" i="1"/>
  <c r="M165" i="1"/>
  <c r="Q165" i="1"/>
  <c r="U165" i="1"/>
  <c r="M59" i="1"/>
  <c r="Q59" i="1"/>
  <c r="U59" i="1"/>
  <c r="G56" i="1"/>
  <c r="N56" i="1"/>
  <c r="S56" i="1"/>
  <c r="T59" i="1"/>
  <c r="M60" i="1"/>
  <c r="O130" i="1"/>
  <c r="S130" i="1"/>
  <c r="W130" i="1"/>
  <c r="N140" i="1"/>
  <c r="R140" i="1"/>
  <c r="V140" i="1"/>
  <c r="H246" i="1"/>
  <c r="G225" i="1"/>
  <c r="H199" i="1" s="1"/>
  <c r="N246" i="1"/>
  <c r="M225" i="1"/>
  <c r="N199" i="1" s="1"/>
  <c r="R246" i="1"/>
  <c r="Q225" i="1"/>
  <c r="R199" i="1" s="1"/>
  <c r="V246" i="1"/>
  <c r="U225" i="1"/>
  <c r="V199" i="1" s="1"/>
  <c r="M247" i="1"/>
  <c r="Q247" i="1"/>
  <c r="U247" i="1"/>
  <c r="I248" i="1"/>
  <c r="H249" i="1"/>
  <c r="N249" i="1"/>
  <c r="M244" i="1"/>
  <c r="H174" i="1"/>
  <c r="N174" i="1"/>
  <c r="R174" i="1"/>
  <c r="V174" i="1"/>
  <c r="J120" i="1"/>
  <c r="P120" i="1"/>
  <c r="T120" i="1"/>
  <c r="X120" i="1"/>
  <c r="M131" i="1"/>
  <c r="Q131" i="1"/>
  <c r="U131" i="1"/>
  <c r="W133" i="1"/>
  <c r="P136" i="1"/>
  <c r="T136" i="1"/>
  <c r="X136" i="1"/>
  <c r="O137" i="1"/>
  <c r="S137" i="1"/>
  <c r="W137" i="1"/>
  <c r="V138" i="1"/>
  <c r="M139" i="1"/>
  <c r="Q139" i="1"/>
  <c r="U139" i="1"/>
  <c r="M238" i="1"/>
  <c r="N244" i="1"/>
  <c r="I174" i="1"/>
  <c r="O174" i="1"/>
  <c r="S174" i="1"/>
  <c r="W174" i="1"/>
  <c r="Q116" i="1"/>
  <c r="U116" i="1"/>
  <c r="N119" i="1"/>
  <c r="R119" i="1"/>
  <c r="V119" i="1"/>
  <c r="N135" i="1"/>
  <c r="R135" i="1"/>
  <c r="V135" i="1"/>
  <c r="J137" i="1"/>
  <c r="P137" i="1"/>
  <c r="T137" i="1"/>
  <c r="X137" i="1"/>
  <c r="O138" i="1"/>
  <c r="S138" i="1"/>
  <c r="W138" i="1"/>
  <c r="N139" i="1"/>
  <c r="R139" i="1"/>
  <c r="V139" i="1"/>
  <c r="O119" i="1"/>
  <c r="S119" i="1"/>
  <c r="W119" i="1"/>
  <c r="U133" i="1"/>
  <c r="O135" i="1"/>
  <c r="S135" i="1"/>
  <c r="W135" i="1"/>
  <c r="N136" i="1"/>
  <c r="R136" i="1"/>
  <c r="V136" i="1"/>
  <c r="M137" i="1"/>
  <c r="Q137" i="1"/>
  <c r="U137" i="1"/>
  <c r="J138" i="1"/>
  <c r="P138" i="1"/>
  <c r="T138" i="1"/>
  <c r="O139" i="1"/>
  <c r="S139" i="1"/>
  <c r="W139" i="1"/>
  <c r="G174" i="1"/>
  <c r="M174" i="1"/>
  <c r="Q174" i="1"/>
  <c r="U174" i="1"/>
  <c r="O120" i="1"/>
  <c r="S120" i="1"/>
  <c r="W120" i="1"/>
  <c r="N133" i="1"/>
  <c r="R133" i="1"/>
  <c r="V133" i="1"/>
  <c r="J135" i="1"/>
  <c r="P135" i="1"/>
  <c r="T135" i="1"/>
  <c r="O136" i="1"/>
  <c r="S136" i="1"/>
  <c r="W136" i="1"/>
  <c r="V137" i="1"/>
  <c r="M138" i="1"/>
  <c r="Q138" i="1"/>
  <c r="U138" i="1"/>
  <c r="J139" i="1"/>
  <c r="P139" i="1"/>
  <c r="T139" i="1"/>
  <c r="V196" i="1" l="1"/>
  <c r="H195" i="1"/>
  <c r="T189" i="1"/>
  <c r="P190" i="1"/>
  <c r="J196" i="1"/>
  <c r="O197" i="1"/>
  <c r="X197" i="1"/>
  <c r="P197" i="1"/>
  <c r="P200" i="1"/>
  <c r="P192" i="1"/>
  <c r="T190" i="1"/>
  <c r="Q189" i="1"/>
  <c r="S197" i="1"/>
  <c r="R198" i="1"/>
  <c r="H192" i="1"/>
  <c r="X200" i="1"/>
  <c r="P194" i="1"/>
  <c r="X195" i="1"/>
  <c r="G190" i="1"/>
  <c r="W189" i="1"/>
  <c r="M197" i="1"/>
  <c r="I198" i="1"/>
  <c r="O192" i="1"/>
  <c r="M195" i="1"/>
  <c r="G196" i="1"/>
  <c r="I194" i="1"/>
  <c r="W191" i="1"/>
  <c r="U191" i="1"/>
  <c r="M191" i="1"/>
  <c r="Q199" i="1"/>
  <c r="G199" i="1"/>
  <c r="M196" i="1"/>
  <c r="H194" i="1"/>
  <c r="Q194" i="1"/>
  <c r="G194" i="1"/>
  <c r="J190" i="1"/>
  <c r="Q196" i="1"/>
  <c r="O194" i="1"/>
  <c r="H191" i="1"/>
  <c r="Q191" i="1"/>
  <c r="U199" i="1"/>
  <c r="M199" i="1"/>
  <c r="U196" i="1"/>
  <c r="G195" i="1"/>
  <c r="O191" i="1"/>
  <c r="I191" i="1"/>
  <c r="N194" i="1"/>
  <c r="V191" i="1"/>
  <c r="N191" i="1"/>
  <c r="M194" i="1"/>
  <c r="G191" i="1"/>
  <c r="P189" i="1"/>
  <c r="M213" i="1"/>
  <c r="M212" i="1"/>
  <c r="M211" i="1"/>
  <c r="M210" i="1"/>
  <c r="M209" i="1"/>
  <c r="M208" i="1"/>
  <c r="X207" i="1"/>
  <c r="X206" i="1"/>
  <c r="X205" i="1"/>
  <c r="X204" i="1"/>
  <c r="X203" i="1"/>
  <c r="X202" i="1"/>
  <c r="T200" i="1"/>
  <c r="J192" i="1"/>
  <c r="J197" i="1"/>
  <c r="P213" i="1"/>
  <c r="P212" i="1"/>
  <c r="P211" i="1"/>
  <c r="P210" i="1"/>
  <c r="P209" i="1"/>
  <c r="P208" i="1"/>
  <c r="S191" i="1"/>
  <c r="W212" i="1"/>
  <c r="W211" i="1"/>
  <c r="W210" i="1"/>
  <c r="W209" i="1"/>
  <c r="W208" i="1"/>
  <c r="W213" i="1"/>
  <c r="N207" i="1"/>
  <c r="N206" i="1"/>
  <c r="N205" i="1"/>
  <c r="N204" i="1"/>
  <c r="N203" i="1"/>
  <c r="N202" i="1"/>
  <c r="H207" i="1"/>
  <c r="H206" i="1"/>
  <c r="H205" i="1"/>
  <c r="H204" i="1"/>
  <c r="H203" i="1"/>
  <c r="H202" i="1"/>
  <c r="V212" i="1"/>
  <c r="V211" i="1"/>
  <c r="V210" i="1"/>
  <c r="V209" i="1"/>
  <c r="V208" i="1"/>
  <c r="V213" i="1"/>
  <c r="U197" i="1"/>
  <c r="U206" i="1"/>
  <c r="U205" i="1"/>
  <c r="U204" i="1"/>
  <c r="U203" i="1"/>
  <c r="U202" i="1"/>
  <c r="U207" i="1"/>
  <c r="Q192" i="1"/>
  <c r="Q200" i="1"/>
  <c r="Q213" i="1"/>
  <c r="Q212" i="1"/>
  <c r="Q211" i="1"/>
  <c r="Q210" i="1"/>
  <c r="Q209" i="1"/>
  <c r="Q208" i="1"/>
  <c r="T207" i="1"/>
  <c r="T206" i="1"/>
  <c r="T205" i="1"/>
  <c r="T204" i="1"/>
  <c r="T203" i="1"/>
  <c r="T202" i="1"/>
  <c r="J193" i="1"/>
  <c r="J198" i="1"/>
  <c r="J207" i="1"/>
  <c r="J206" i="1"/>
  <c r="J205" i="1"/>
  <c r="J204" i="1"/>
  <c r="J203" i="1"/>
  <c r="J202" i="1"/>
  <c r="T213" i="1"/>
  <c r="T212" i="1"/>
  <c r="T211" i="1"/>
  <c r="T210" i="1"/>
  <c r="T209" i="1"/>
  <c r="T208" i="1"/>
  <c r="W207" i="1"/>
  <c r="W206" i="1"/>
  <c r="W205" i="1"/>
  <c r="W204" i="1"/>
  <c r="W203" i="1"/>
  <c r="W202" i="1"/>
  <c r="I213" i="1"/>
  <c r="I212" i="1"/>
  <c r="I211" i="1"/>
  <c r="I210" i="1"/>
  <c r="I209" i="1"/>
  <c r="I208" i="1"/>
  <c r="R195" i="1"/>
  <c r="N213" i="1"/>
  <c r="N212" i="1"/>
  <c r="N211" i="1"/>
  <c r="N210" i="1"/>
  <c r="N209" i="1"/>
  <c r="N208" i="1"/>
  <c r="H213" i="1"/>
  <c r="H212" i="1"/>
  <c r="H211" i="1"/>
  <c r="H210" i="1"/>
  <c r="H209" i="1"/>
  <c r="H208" i="1"/>
  <c r="U189" i="1"/>
  <c r="U198" i="1"/>
  <c r="Q195" i="1"/>
  <c r="Q197" i="1"/>
  <c r="Q206" i="1"/>
  <c r="Q205" i="1"/>
  <c r="Q204" i="1"/>
  <c r="Q203" i="1"/>
  <c r="Q202" i="1"/>
  <c r="Q207" i="1"/>
  <c r="M207" i="1"/>
  <c r="M206" i="1"/>
  <c r="M205" i="1"/>
  <c r="M204" i="1"/>
  <c r="M203" i="1"/>
  <c r="M202" i="1"/>
  <c r="M200" i="1"/>
  <c r="U213" i="1"/>
  <c r="U212" i="1"/>
  <c r="U211" i="1"/>
  <c r="U210" i="1"/>
  <c r="U209" i="1"/>
  <c r="U208" i="1"/>
  <c r="S206" i="1"/>
  <c r="S205" i="1"/>
  <c r="S204" i="1"/>
  <c r="S203" i="1"/>
  <c r="S202" i="1"/>
  <c r="S207" i="1"/>
  <c r="O213" i="1"/>
  <c r="O212" i="1"/>
  <c r="O211" i="1"/>
  <c r="O210" i="1"/>
  <c r="O209" i="1"/>
  <c r="O208" i="1"/>
  <c r="V207" i="1"/>
  <c r="V206" i="1"/>
  <c r="V205" i="1"/>
  <c r="V204" i="1"/>
  <c r="V203" i="1"/>
  <c r="V202" i="1"/>
  <c r="N189" i="1"/>
  <c r="N195" i="1"/>
  <c r="H189" i="1"/>
  <c r="R213" i="1"/>
  <c r="R212" i="1"/>
  <c r="R211" i="1"/>
  <c r="R210" i="1"/>
  <c r="R209" i="1"/>
  <c r="R208" i="1"/>
  <c r="Q198" i="1"/>
  <c r="G213" i="1"/>
  <c r="G212" i="1"/>
  <c r="G211" i="1"/>
  <c r="G210" i="1"/>
  <c r="G209" i="1"/>
  <c r="G208" i="1"/>
  <c r="P207" i="1"/>
  <c r="P206" i="1"/>
  <c r="P205" i="1"/>
  <c r="P204" i="1"/>
  <c r="P203" i="1"/>
  <c r="P202" i="1"/>
  <c r="X213" i="1"/>
  <c r="X212" i="1"/>
  <c r="X211" i="1"/>
  <c r="X210" i="1"/>
  <c r="X209" i="1"/>
  <c r="X208" i="1"/>
  <c r="J213" i="1"/>
  <c r="J212" i="1"/>
  <c r="J211" i="1"/>
  <c r="J210" i="1"/>
  <c r="J209" i="1"/>
  <c r="J208" i="1"/>
  <c r="O207" i="1"/>
  <c r="O206" i="1"/>
  <c r="O205" i="1"/>
  <c r="O204" i="1"/>
  <c r="O203" i="1"/>
  <c r="O202" i="1"/>
  <c r="I207" i="1"/>
  <c r="I206" i="1"/>
  <c r="I205" i="1"/>
  <c r="I204" i="1"/>
  <c r="I203" i="1"/>
  <c r="I202" i="1"/>
  <c r="S213" i="1"/>
  <c r="S212" i="1"/>
  <c r="S211" i="1"/>
  <c r="S210" i="1"/>
  <c r="S209" i="1"/>
  <c r="S208" i="1"/>
  <c r="R207" i="1"/>
  <c r="R206" i="1"/>
  <c r="R205" i="1"/>
  <c r="R204" i="1"/>
  <c r="R203" i="1"/>
  <c r="R202" i="1"/>
  <c r="U195" i="1"/>
  <c r="M189" i="1"/>
  <c r="G207" i="1"/>
  <c r="G206" i="1"/>
  <c r="G205" i="1"/>
  <c r="G204" i="1"/>
  <c r="G203" i="1"/>
  <c r="G202" i="1"/>
</calcChain>
</file>

<file path=xl/sharedStrings.xml><?xml version="1.0" encoding="utf-8"?>
<sst xmlns="http://schemas.openxmlformats.org/spreadsheetml/2006/main" count="672" uniqueCount="388">
  <si>
    <t xml:space="preserve">Wykonanie </t>
  </si>
  <si>
    <t>Plan 3 kw.</t>
  </si>
  <si>
    <t>Lp.</t>
  </si>
  <si>
    <t>Wyszczególnienie</t>
  </si>
  <si>
    <t>2010</t>
  </si>
  <si>
    <t>2011</t>
  </si>
  <si>
    <t>2012</t>
  </si>
  <si>
    <t>Dochody ogółem</t>
  </si>
  <si>
    <t>1.1</t>
  </si>
  <si>
    <t>Dochody bieżące, w tym:</t>
  </si>
  <si>
    <t>1.1.1</t>
  </si>
  <si>
    <t>dochody z tytułu udziału we wpływach z podatku dochodowego od osób fizycznych</t>
  </si>
  <si>
    <t>1.1.2</t>
  </si>
  <si>
    <t>dochody z tytułu udziału we wpływach z podatku dochodowego od osób prawnych</t>
  </si>
  <si>
    <t>1.1.3</t>
  </si>
  <si>
    <t>podatki i opłaty, w tym:</t>
  </si>
  <si>
    <t>1.1.3.1</t>
  </si>
  <si>
    <t>z podatku od nieruchomości</t>
  </si>
  <si>
    <t>1.1.4</t>
  </si>
  <si>
    <t>z subwencji ogólnej</t>
  </si>
  <si>
    <t>1.1.5</t>
  </si>
  <si>
    <t>z tytułu dotacji i środków przeznaczonych na cele bieżące</t>
  </si>
  <si>
    <t>1.2</t>
  </si>
  <si>
    <t>Dochody majątkowe, w tym:</t>
  </si>
  <si>
    <t>1.2.1</t>
  </si>
  <si>
    <t>ze sprzedaży majątku</t>
  </si>
  <si>
    <t>1.2.2</t>
  </si>
  <si>
    <t>z tytułu dotacji oraz środków przeznaczonych na inwestycje</t>
  </si>
  <si>
    <t>Wydatki ogółem</t>
  </si>
  <si>
    <t>2.1</t>
  </si>
  <si>
    <t>Wydatki bieżące, w tym:</t>
  </si>
  <si>
    <t>2.1.1</t>
  </si>
  <si>
    <t>z tytułu poręczeń i gwarancji, w tym:</t>
  </si>
  <si>
    <t>2.1.1.1</t>
  </si>
  <si>
    <t>gwarancje i poręczenia podlegające wyłączeniu z limitów spłaty zobowiązań  określonych w art. 243 ust. 3 pkt 2 ustawy z dnia 27 sierpnia 2009 r. o finansach publicznych (Dz. U. Nr 157, poz. 1240, z późn. zm.) lub art. 169 ust. 3 pkt 2 ustawy z dnia 30 czerwca 2005 r. o finansach publicznych (Dz. U. Nr 249, poz. 2104, z późn. zm)</t>
  </si>
  <si>
    <t>2.1.2</t>
  </si>
  <si>
    <t>na spłatę przejętych zobowiązań samodzielnego publicznego zakładu opieki zdrowotnej przekształconego na zasadach określonych w przepisach  o działalności leczniczej, w wysokości w jakiej nie podlegają sfinansowaniu dotacją z budżetu państwa)</t>
  </si>
  <si>
    <t>x</t>
  </si>
  <si>
    <t>2.1.3</t>
  </si>
  <si>
    <t>wydatki na obsługę długu, w tym:</t>
  </si>
  <si>
    <t>2.1.3.1</t>
  </si>
  <si>
    <t>odsetki i dyskonto określone w art. 243 ust. 1 ustawy lub art. 169 ust. 1 ufp z 2005 r..</t>
  </si>
  <si>
    <t>2.2</t>
  </si>
  <si>
    <t>Wydatki majątkowe</t>
  </si>
  <si>
    <t>Wynik budżetu</t>
  </si>
  <si>
    <t>Przychody budżetu</t>
  </si>
  <si>
    <t>4.1</t>
  </si>
  <si>
    <t>Nadwyżka budżetowa z lat ubiegłych, w tym:</t>
  </si>
  <si>
    <t>4.1.1</t>
  </si>
  <si>
    <t>na pokrycie deficytu budżetu</t>
  </si>
  <si>
    <t>4.2</t>
  </si>
  <si>
    <t>Wolne środki, o których mowa w art. 217 ust.2 pkt 6 ustawy, w tym:</t>
  </si>
  <si>
    <t>4.2.1</t>
  </si>
  <si>
    <t>4.3</t>
  </si>
  <si>
    <t>Kredyty, pożyczki, emisja papierów wartościowych, w tym:</t>
  </si>
  <si>
    <t>4.3.1</t>
  </si>
  <si>
    <t>4.4</t>
  </si>
  <si>
    <t>Inne przychody niezwiązane z zaciągnięciem długu, w tym:</t>
  </si>
  <si>
    <t>4.4.1</t>
  </si>
  <si>
    <t>Rozchody budżetu</t>
  </si>
  <si>
    <t>5.1</t>
  </si>
  <si>
    <t>Spłaty rat kapitałowych kredytów i pożyczek oraz wykup papierów wartościowych, w tym:</t>
  </si>
  <si>
    <t>5.1.1</t>
  </si>
  <si>
    <t>łączna kwota przypadających na dany rok kwot wyłączeń określonych w: art. 243 ust. 3 pkt 1 ustawy (lub art. 169 ust. 3 pkt 1 ufp z 2005 r.), art. 121a ustawy  z dnia 27 sierpnia 2009 r. – Przepisy wprowadzające ustawę o finansach publicznych  (Dz. U. Nr 157, poz. 1241, z późn. zm.) oraz art.  36 ustawy z dnia 7 grudnia 2012 r. o zmianie niektórych ustaw związanych z realizacją ustawy budżetowej (Dz.U. poz. 1456), w tym:</t>
  </si>
  <si>
    <t>5.1.1.1</t>
  </si>
  <si>
    <t>kwota przypadających na dany rok kwot wyłączeń określonych w art. 243 ust. 3 pkt 1 ustawy lub art. 169 ust. 3 pkt 1 ufp z 2005 r.</t>
  </si>
  <si>
    <t>5.2</t>
  </si>
  <si>
    <t>Inne rozchody niezwiązane ze spłatą długu</t>
  </si>
  <si>
    <t>Kwota długu</t>
  </si>
  <si>
    <t>6.1</t>
  </si>
  <si>
    <t xml:space="preserve">Łączna kwota wyłączeń z ograniczeń długu określonych w art. 170 ust. 3 ufp z 2005 r. oraz w art.  36 ustawy o zmianie niektórych ustaw związanych z realizacją ustawy budżetowej, w tym: </t>
  </si>
  <si>
    <t>6.1.1</t>
  </si>
  <si>
    <t xml:space="preserve">kwota wyłączeń z ograniczeń długu określonych w art. 170 ust. 3 ufp z 2005 r. </t>
  </si>
  <si>
    <t>6.2</t>
  </si>
  <si>
    <t>Wskaźnik zadłużenia do dochodów ogółem określony w art. 170 ufp z 2005 r.,  bez uwzględniania wyłączeń określonych w pkt 6.1.</t>
  </si>
  <si>
    <t>6.3</t>
  </si>
  <si>
    <r>
      <t xml:space="preserve">Wskaźnik zadłużenia do dochodów ogółem, o którym mowa w art.  170 ufp z 2005 r., </t>
    </r>
    <r>
      <rPr>
        <b/>
        <sz val="9"/>
        <color indexed="8"/>
        <rFont val="Times New Roman"/>
        <family val="1"/>
        <charset val="238"/>
      </rPr>
      <t xml:space="preserve">po uwzględnieniu wyłączeń określonych w pkt 6.1. </t>
    </r>
  </si>
  <si>
    <t>Kwota zobowiązań wynikających z przejęcia przez jednostkę samorządu terytorialnego zobowiązań po likwidowanych i przekształcanych jednostkach zaliczanych do sektora finansów publicznych</t>
  </si>
  <si>
    <t>Relacja zrównoważenia wydatków bieżących, o której mowa w art. 242 ustawy</t>
  </si>
  <si>
    <t>8.1</t>
  </si>
  <si>
    <t>Różnica między dochodami bieżącymi a wydatkami bieżącymi</t>
  </si>
  <si>
    <t>8.2</t>
  </si>
  <si>
    <t>Różnica między dochodami bieżącymi, powiększonymi o nadwyżkę budżetową określoną w pkt 4.1. i wolne środki określone w pkt 4.2.  a wydatkami bieżącymi, pomniejszonym o wydatki określone w pkt  2.1.2.</t>
  </si>
  <si>
    <t>Wskaźnik spłaty zobowiązań</t>
  </si>
  <si>
    <t>9.1</t>
  </si>
  <si>
    <t xml:space="preserve">Wskaźnik planowanej łącznej kwoty spłaty zobowiązań, o której mowa w art. 169 ust. 1 ufp z 2005 r. do dochodów ogółem, bez uwzględnienia wyłączeń określonych w pkt 5.1.1.  </t>
  </si>
  <si>
    <t>9.2</t>
  </si>
  <si>
    <t xml:space="preserve">Wskaźnik planowanej łącznej kwoty spłaty zobowiązań, o której mowa w art. 169 ust. 1 ufp z 2005 r. do dochodów ogółem, po uwzględnieniu wyłączeń przypadających na dany rok określonych w pkt 5.1.1. </t>
  </si>
  <si>
    <t>9.3</t>
  </si>
  <si>
    <t>Wskaźnik planowanej łącznej kwoty spłaty zobowiązań, o której mowa w art. 243 ust. 1 ustawy do dochodów ogółem, bez uwzględnienia zobowiązań związku współtworzonego przez jednostkę samorządu terytorialnego i bez uwzględniania wyłączeń przypadających na dany rok określonych w pkt 5.1.1.</t>
  </si>
  <si>
    <t>9.4</t>
  </si>
  <si>
    <t xml:space="preserve">Wskaźnik planowanej łącznej kwoty spłaty zobowiązań, o której mowa w art. 243 ust. 1 ustawy do dochodów ogółem, bez uwzględnienia zobowiązań związku współtworzonego przez jednostkę samorządu terytorialnego, po uwzględnieniu wyłączeń przypadających na dany rok określonych w pkt 5.1.1. </t>
  </si>
  <si>
    <t>9.5</t>
  </si>
  <si>
    <t xml:space="preserve">Kwota zobowiązań związku współtworzonego przez jednostkę samorządu terytorialnego przypadających do spłaty w danym roku budżetowym, podlegająca doliczeniu zgodnie z art. 244 ustawy </t>
  </si>
  <si>
    <t>9.6</t>
  </si>
  <si>
    <t>Wskaźnik planowanej łącznej kwoty spłaty zobowiązań, o której mowa w art. 243 ust. 1 ustawy do dochodów ogółem, po uwzględnieniu zobowiązań związku współtworzonego przez jednostkę samorządu terytorialnego oraz po uwzględnieniu wyłączeń przypadających na dany rok określonych w pkt 5.1.1.</t>
  </si>
  <si>
    <t>9.6.1</t>
  </si>
  <si>
    <t>Wskaźnik jednoroczny (prawa strona wzoru z art. 243)</t>
  </si>
  <si>
    <t>9.7</t>
  </si>
  <si>
    <t>Dopuszczalny wskaźnik spłaty zobowiązań określony w art. 243 ustawy, po uwzględnieniu wyłączeń określonych w art.  36 ustawy z dnia 7 grudnia 2012 r. o zmianie niektórych ustaw związanych z realizacją ustawy budżetowej, obliczony w oparciu o plan 3 kwartałów roku poprzedzającego rok budżetowy</t>
  </si>
  <si>
    <t>9.7.1</t>
  </si>
  <si>
    <t>Dopuszczalny wskaźnik spłaty zobowiązań określony w art. 243 ustawy, po uwzględnieniu wyłączeń określonych w art.  36 ustawy z dnia 7 grudnia 2012 r. o zmianie niektórych ustaw związanych z realizacją ustawy budżetowej, obliczony w oparciu o wykonanie roku poprzedzającego rok budżetowy</t>
  </si>
  <si>
    <t>9.8</t>
  </si>
  <si>
    <t>Informacja o spełnieniu wskaźnika spłaty zobowiązań określonego w art. 243 ustawy, po uwzględnieniu zobowiązań związku współtworzonego przez jednostkę samorządu terytorialnego oraz po uwzględnieniu wyłączeń określonych w pkt 5.1.1., obliczonego w oparciu o plan 3 kwartałów roku poprzedzającego rok budżetowy</t>
  </si>
  <si>
    <t>9.8.1</t>
  </si>
  <si>
    <t>Informacja o spełnieniu wskaźnika spłaty zobowiązań określonego w art. 243 ustawy, po uwzględnieniu zobowiązań związku współtworzonego przez jednostkę samorządu terytorialnego oraz po uwzględnieniu wyłączeń określonych w pkt 5.1.1., obliczonego w oparciu o wykonanie roku poprzedzającego rok budżetowy</t>
  </si>
  <si>
    <t>Przeznaczenie prognozowanej nadwyżki budżetowej, w tym na:</t>
  </si>
  <si>
    <t>10.1</t>
  </si>
  <si>
    <t>Spłaty kredytów, pożyczek i wykup papierów wartościowych</t>
  </si>
  <si>
    <t>Informacje uzupełniające o wybranych rodzajach wydatków budżetowych</t>
  </si>
  <si>
    <t>11.1</t>
  </si>
  <si>
    <t>Wydatki bieżące na wynagrodzenia i składki od nich naliczane</t>
  </si>
  <si>
    <t>11.2</t>
  </si>
  <si>
    <t>Wydatki związane z funkcjonowaniem organów jednostki samorządu terytorialnego</t>
  </si>
  <si>
    <t>11.3</t>
  </si>
  <si>
    <t>Wydatki objęte limitem art. 226 ust. 3 ustawy, z tego:</t>
  </si>
  <si>
    <t>11.3.1</t>
  </si>
  <si>
    <t>bieżące</t>
  </si>
  <si>
    <t>11.3.2</t>
  </si>
  <si>
    <t>majątkowe</t>
  </si>
  <si>
    <t>11.4</t>
  </si>
  <si>
    <t xml:space="preserve">Wydatki inwestycyjne kontynuowane </t>
  </si>
  <si>
    <t>11.5</t>
  </si>
  <si>
    <t>Nowe wydatki inwestycyjne</t>
  </si>
  <si>
    <t>11.6</t>
  </si>
  <si>
    <t xml:space="preserve">Wydatki majątkowe w formie dotacji </t>
  </si>
  <si>
    <t>Finansowanie programów, projektów lub zadań realizowanych z udziałem środków, o których mowa w art. 5 ust. 1 pkt 2 i 3 ustawy</t>
  </si>
  <si>
    <t>12.1</t>
  </si>
  <si>
    <t>Dochody bieżące  na programy, projekty lub zadania finansowane z udziałem środków, o których mowa w art. 5 ust. 1 pkt 2 i 3 ustawy, w tym:</t>
  </si>
  <si>
    <t>12.1.1</t>
  </si>
  <si>
    <t>środki określone w art. 5 ust. 1 pkt 2 ustawy, w tym:</t>
  </si>
  <si>
    <t>12.1.1.1</t>
  </si>
  <si>
    <t>środki określone w art. 5 ust. 1 pkt 2 ustawy wynikające wyłącznie z  zawartych umów na realizację programu, projektu lub zadania</t>
  </si>
  <si>
    <t>12.2</t>
  </si>
  <si>
    <t>Dochody majątkowe  na programy, projekty lub zadania finansowane z udziałem środków, o których mowa w art. 5 ust. 1 pkt 2 i 3 ustawy, w tym:</t>
  </si>
  <si>
    <t>12.2.1</t>
  </si>
  <si>
    <t>12.2.1.1</t>
  </si>
  <si>
    <t>środki określone w art. 5 ust. 1 pkt 2 ustawy wynikające wyłącznie z zawartych umów na realizację programu, projektu lub zadania</t>
  </si>
  <si>
    <t>12.3</t>
  </si>
  <si>
    <t>Wydatki bieżące na programy, projekty lub zadania finansowane z udziałem środków, o których mowa w art. 5 ust. 1 pkt 2 i 3 ustawy</t>
  </si>
  <si>
    <t>12.3.1</t>
  </si>
  <si>
    <t xml:space="preserve">w tym finansowane środkami określonymi w art. 5 ust. 1 pkt 2 ustawy </t>
  </si>
  <si>
    <t>12.3.2</t>
  </si>
  <si>
    <t xml:space="preserve">Wydatki bieżące na realizację programu, projektu lub zadania wynikające wyłącznie z zawartych umów z podmiotem dysponującym środkami, o których mowa w art. 5 ust. 1 pkt 2 ustawy </t>
  </si>
  <si>
    <t>12.4</t>
  </si>
  <si>
    <t>Wydatki majątkowe na programy, projekty lub zadania finansowane z udziałem środków, o których mowa w art. 5 ust. 1 pkt 2 i 3 ustawy</t>
  </si>
  <si>
    <t>12.4.1</t>
  </si>
  <si>
    <t>w tym finansowane środkami określonymi w art. 5 ust. 1 pkt 2 ustawy</t>
  </si>
  <si>
    <t>12.4.2</t>
  </si>
  <si>
    <t xml:space="preserve">Wydatki majątkowe na realizację programu, projektu lub zadania wynikające wyłącznie z zawartych umów z podmiotem dysponującym środkami, o których mowa w art. 5 ust. 1 pkt 2 ustawy </t>
  </si>
  <si>
    <t xml:space="preserve">Kwoty dotyczące przejęcia i spłaty zobowiązań po samodzielnych publicznych zakładach opieki zdrowotnej oraz pokrycia ujemnego wyniku </t>
  </si>
  <si>
    <t>13.1</t>
  </si>
  <si>
    <t>Kwota zobowiązań wynikających z przejęcia przez jednostkę samorządu terytorialnego zobowiązań po likwidowanych i przekształcanych samodzielnych zakładach opieki zdrowotnej</t>
  </si>
  <si>
    <t>13.2</t>
  </si>
  <si>
    <t>Dochody budżetowe z tytułu dotacji celowej z budżetu państwa, o której mowa w art. 196 ustawy z  dnia 15 kwietnia 2011 r.  o działalności leczniczej (Dz.U. Nr 112, poz. 654, z późn. zm.)</t>
  </si>
  <si>
    <t>13.3</t>
  </si>
  <si>
    <t>Wysokość zobowiązań podlegających umorzeniu, o którym mowa w art. 190 ustawy o działalności leczniczej</t>
  </si>
  <si>
    <t>13.4</t>
  </si>
  <si>
    <t>Wydatki na spłatę przejętych zobowiązań samodzielnego publicznego zakładu opieki zdrowotnej przekształconego na zasadach określonych w przepisach  o działalności leczniczej</t>
  </si>
  <si>
    <t>13.5</t>
  </si>
  <si>
    <t>Wydatki na spłatę przejętych zobowiązań samodzielnego publicznego zakładu opieki zdrowotnej likwidowanego na zasadach określonych w przepisach  o działalności leczniczej</t>
  </si>
  <si>
    <t>13.6</t>
  </si>
  <si>
    <t>Wydatki na spłatę zobowiązań samodzielnego publicznego zakładu opieki zdrowotnej przejętych do końca 2011 r. na podstawie przepisów o zakładach opieki zdrowotnej</t>
  </si>
  <si>
    <t>13.7</t>
  </si>
  <si>
    <t>Wydatki bieżące na pokrycie ujemnego wyniku finansowego samodzielnego publicznego zakładu opieki zdrowotnej</t>
  </si>
  <si>
    <t>Dane uzupełniające o długu i jego spłacie</t>
  </si>
  <si>
    <t>14.1</t>
  </si>
  <si>
    <t>Spłaty rat kapitałowych oraz wykup papierów wartościowych, o których mowa w pkt. 5.1., wynikające wyłącznie z tytułu zobowiązań już zaciągniętych</t>
  </si>
  <si>
    <t>14.2</t>
  </si>
  <si>
    <t>Kwota długu, którego planowana spłata dokona się z wydatków budżetu</t>
  </si>
  <si>
    <t>14.3</t>
  </si>
  <si>
    <t>Wydatki zmniejszające dług, w tym:</t>
  </si>
  <si>
    <t>14.3.1</t>
  </si>
  <si>
    <t>spłata zobowiązań wymagalnych z lat poprzednich, innych niż w pkt 14.3.3</t>
  </si>
  <si>
    <t>14.3.2</t>
  </si>
  <si>
    <t>związane z umowami zaliczanymi do tytułów dłużnych wliczanych w państwowy dług publiczny</t>
  </si>
  <si>
    <t>14.3.3</t>
  </si>
  <si>
    <t>wypłaty z tytułu wymagalnych poręczeń i gwarancji</t>
  </si>
  <si>
    <t>14.4</t>
  </si>
  <si>
    <t>Wynik operacji niekasowych wpływających na kwotę długu (m.in. umorzenia, różnice kursowe)</t>
  </si>
  <si>
    <t>UWAGA!</t>
  </si>
  <si>
    <t>Do symulacji prognozy i obserwacji zmian wskaźników z art. 243, 169 i 170 na podstawie danych wprowadzanych ręcznie służy arkusz "WPF_AnalizaWsk_Projektowanie"</t>
  </si>
  <si>
    <t>Weryfikacja danych wykazanych w tabeli Wieloletnia Prognoza Finansowa</t>
  </si>
  <si>
    <t>Reguła formalna</t>
  </si>
  <si>
    <t>Reguła rachunkowa</t>
  </si>
  <si>
    <t>Reguła logiczna</t>
  </si>
  <si>
    <t>Reguły kontrolne</t>
  </si>
  <si>
    <t>[1.1] + [4.1] + [4.2] &gt;= ([2.1] - [2.1.2])</t>
  </si>
  <si>
    <t>Spełnienie wskaźnika z art. 242</t>
  </si>
  <si>
    <t>Spełnienie wskaźnika z art. 169 suofp (bez wyłączeń)</t>
  </si>
  <si>
    <t>Spełnienie wskaźnika z art. 169 suofp (z wyłączeniami)</t>
  </si>
  <si>
    <t>Spełnienie wskaźnika z art. 170 suofp (bez wyłączeń)</t>
  </si>
  <si>
    <t>Spełnienie wskaźnika z art. 170 suofp (z wyłączeniami)</t>
  </si>
  <si>
    <t>[13.3] = 0 (dla lat 2014 i wyższych)</t>
  </si>
  <si>
    <t>Umorzenie zobowiązań, o którym mowa w art. 190 ustawy o działalności leczniczej nie wykracza poza ustawowy okres</t>
  </si>
  <si>
    <t>[1] + [4] - [2] - [5] = 0</t>
  </si>
  <si>
    <t>Kontrola poprawności zbilansowania budżetu</t>
  </si>
  <si>
    <t>[6]"n" = [6]"n-1" + [4.3]"n" - [5.1]"n" + ([7]"n"-[7]"n-1") + ([14.2]"n"-[14.2]"n-1") + [14.4]</t>
  </si>
  <si>
    <t>Kontrola poprawności wyliczenia kwoty długu</t>
  </si>
  <si>
    <t xml:space="preserve">[14.2] "n" =  obliczone z kol ( [14.2]  "n-1" -  [14.3] "n" ) </t>
  </si>
  <si>
    <t>Kontrola poprawności wyliczenia kwoty długu planowanego do spłaty z wydatków budżetu (różnica nie powinna być dodatnia)</t>
  </si>
  <si>
    <t xml:space="preserve">[13.1] "n" =  obliczone z kol "n-1"  ( [13.1]  -  ( [13.3] + [13.4] + [13.5] + [13.6] ) </t>
  </si>
  <si>
    <t>Kontrola poprawności wyliczenia zobowiązań wynikających z przejęcia przez jst zobowiązań po likwidowanych i przekształcanych SZOZ</t>
  </si>
  <si>
    <t>jeśli [3] &lt; 0 to sprawdź czy [4.1.1] + [4.2.1] + [4.3.1] + [4.4.1] + [3] = 0</t>
  </si>
  <si>
    <t>Kontrola poprawności wykazania źródeł pokrycia deficytu</t>
  </si>
  <si>
    <t>jeśli [3] &gt;= 0 to sprawdź czy [4.1.1]=0 i [4.2.1]=0 i [4.3.1]=0 i  [4.4.1] = 0</t>
  </si>
  <si>
    <t>Kontrola poprawności niewykazania źródeł pokrycia deficytu przy nadwyżce budżetu</t>
  </si>
  <si>
    <t>[1.1.3] &gt;=  [1.1.3.1]</t>
  </si>
  <si>
    <t>Reguła logiczna:  [1.1.3] &gt;=  [1.1.3.1]</t>
  </si>
  <si>
    <t>[1.1.5] &gt;= [13.2]</t>
  </si>
  <si>
    <t>Reguła logiczna:  [1.1.5] &gt;= [13.2]</t>
  </si>
  <si>
    <t>[1.1] &gt;=  ([1.1.1] + [1.1.2] + [1.1.3] + [1.1.4] + [1.1.5])</t>
  </si>
  <si>
    <t>Reguła logiczna:  [1.1] &gt;=  ([1.1.1] + [1.1.2] + [1.1.3] + [1.1.4] + [1.1.5])</t>
  </si>
  <si>
    <t>[1.1] &gt;= [12.1]</t>
  </si>
  <si>
    <t>Reguła logiczna:  [1.1] &gt;= [12.1]</t>
  </si>
  <si>
    <t>[1.2] &gt;= [1.2.1]</t>
  </si>
  <si>
    <t>Reguła logiczna:  [1.2] &gt;= [1.2.1]</t>
  </si>
  <si>
    <t>[1.2] &gt;= [1.2.2]</t>
  </si>
  <si>
    <t>Reguła logiczna:  [1.2] &gt;= [1.2.2]</t>
  </si>
  <si>
    <t>[1.2] &gt;= [12.2]</t>
  </si>
  <si>
    <t>Reguła logiczna:  [1.2] &gt;= [12.2]</t>
  </si>
  <si>
    <t>[10] &gt;= [10.1]</t>
  </si>
  <si>
    <t>Reguła logiczna:  [10] &gt;= [10.1]</t>
  </si>
  <si>
    <t>[12.1] &gt;= [12.1.1]</t>
  </si>
  <si>
    <t>Reguła logiczna:  [12.1] &gt;= [12.1.1]</t>
  </si>
  <si>
    <t>[12.1.1] &gt;= [12.1.1.1]</t>
  </si>
  <si>
    <t>Reguła logiczna:  [12.1.1] &gt;= [12.1.1.1]</t>
  </si>
  <si>
    <t>[12.2] &gt;= [12.2.1]</t>
  </si>
  <si>
    <t>Reguła logiczna:  [12.2] &gt;= [12.2.1]</t>
  </si>
  <si>
    <t>[12.2.1] &gt;= [12.2.1.1]</t>
  </si>
  <si>
    <t>Reguła logiczna:  [12.2.1] &gt;= [12.2.1.1]</t>
  </si>
  <si>
    <t>[12.3] &gt;= [12.3.1]</t>
  </si>
  <si>
    <t>Reguła logiczna:  [12.3] &gt;= [12.3.1]</t>
  </si>
  <si>
    <t>[12.3] &gt;= [12.3.2]</t>
  </si>
  <si>
    <t>Reguła logiczna:  [12.3] &gt;= [12.3.2]</t>
  </si>
  <si>
    <t>[12.4] &gt;= [12.4.1]</t>
  </si>
  <si>
    <t>Reguła logiczna:  [12.4] &gt;= [12.4.1]</t>
  </si>
  <si>
    <t>[12.4] &gt;= [12.4.2]</t>
  </si>
  <si>
    <t>Reguła logiczna:  [12.4] &gt;= [12.4.2]</t>
  </si>
  <si>
    <t>[13.1] &gt;= [13.3]</t>
  </si>
  <si>
    <t>Reguła logiczna:  [13.1] &gt;= [13.3]</t>
  </si>
  <si>
    <t>[13.4] &gt;= [2.1.2]</t>
  </si>
  <si>
    <t>Reguła logiczna:  [13.4] &gt;= [2.1.2]</t>
  </si>
  <si>
    <t>[14.3] &gt;= [14.3.1] + [14.3.2] + [14.3.3]</t>
  </si>
  <si>
    <t>Reguła logiczna:  [14.3] &gt;= [14.3.1] + [14.3.2] + [14.3.3]</t>
  </si>
  <si>
    <t>[2.1.1] &gt;= [2.1.1.1]</t>
  </si>
  <si>
    <t>Reguła logiczna:  [2.1.1] &gt;= [2.1.1.1]</t>
  </si>
  <si>
    <t>[2.1.1] &gt;= [14.3.3]</t>
  </si>
  <si>
    <t>Reguła logiczna:  [2.1.1] &gt;= [14.3.3]</t>
  </si>
  <si>
    <t xml:space="preserve">[2.1.3] &gt;= [2.1.3.1] </t>
  </si>
  <si>
    <t xml:space="preserve">Reguła logiczna:  [2.1.3] &gt;= [2.1.3.1] </t>
  </si>
  <si>
    <t>[2.1] &gt;= ([2.1.1] + [2.1.2] + [2.1.3])</t>
  </si>
  <si>
    <t>Reguła logiczna:  [2.1] &gt;= ([2.1.1] + [2.1.2] + [2.1.3])</t>
  </si>
  <si>
    <t>[2.1] &gt;= [11.1]</t>
  </si>
  <si>
    <t>Reguła logiczna:  [2.1] &gt;= [11.1]</t>
  </si>
  <si>
    <t>[2.1] &gt;= [11.3.1]</t>
  </si>
  <si>
    <t>Reguła logiczna:  [2.1] &gt;= [11.3.1]</t>
  </si>
  <si>
    <t>[2.1] &gt;= [12.3]</t>
  </si>
  <si>
    <t>Reguła logiczna:  [2.1] &gt;= [12.3]</t>
  </si>
  <si>
    <t>[2.1] &gt;= [13.7]</t>
  </si>
  <si>
    <t>Reguła logiczna:  [2.1] &gt;= [13.7]</t>
  </si>
  <si>
    <t>[2.2] &gt;= [11.3.2]</t>
  </si>
  <si>
    <t>Reguła logiczna:  [2.2] &gt;= [11.3.2]</t>
  </si>
  <si>
    <t>[2.2] &gt;= [11.4] + [11.5]</t>
  </si>
  <si>
    <t>Reguła logiczna:  [2.2] &gt;= [11.4] + [11.5]</t>
  </si>
  <si>
    <t>[2.2] &gt;= [11.6]</t>
  </si>
  <si>
    <t>Reguła logiczna:  [2.2] &gt;= [11.6]</t>
  </si>
  <si>
    <t>[2.2] &gt;= [12.4]</t>
  </si>
  <si>
    <t>Reguła logiczna:  [2.2] &gt;= [12.4]</t>
  </si>
  <si>
    <t>[4.1] &gt;= [4.1.1]</t>
  </si>
  <si>
    <t>Reguła logiczna:  [4.1] &gt;= [4.1.1]</t>
  </si>
  <si>
    <t>[4.2] &gt;= [4.2.1]</t>
  </si>
  <si>
    <t>Reguła logiczna:  [4.2] &gt;= [4.2.1]</t>
  </si>
  <si>
    <t>[4.3] &gt;= [4.3.1]</t>
  </si>
  <si>
    <t>Reguła logiczna:  [4.3] &gt;= [4.3.1]</t>
  </si>
  <si>
    <t>[4.4] &gt;= [4.4.1]</t>
  </si>
  <si>
    <t>Reguła logiczna:  [4.4] &gt;= [4.4.1]</t>
  </si>
  <si>
    <t>[5.1] &gt;= [5.1.1]</t>
  </si>
  <si>
    <t>Reguła logiczna:  [5.1] &gt;= [5.1.1]</t>
  </si>
  <si>
    <t>[5.1.1] &gt;= [5.1.1.1]</t>
  </si>
  <si>
    <t>Reguła logiczna:  [5.1.1] &gt;= [5.1.1.1]</t>
  </si>
  <si>
    <t>[5.1] &gt;= [10.1]</t>
  </si>
  <si>
    <t>Reguła logiczna:  [5.1] &gt;= [10.1]</t>
  </si>
  <si>
    <t>[5.1] &gt;= [14.1]</t>
  </si>
  <si>
    <t>Reguła logiczna:  [5.1] &gt;= [14.1]</t>
  </si>
  <si>
    <t>[6] &gt;= [6.1]</t>
  </si>
  <si>
    <t>Reguła logiczna:  [6] &gt;= [6.1]</t>
  </si>
  <si>
    <t>[6] &gt;=[7]</t>
  </si>
  <si>
    <t>Reguła logiczna:  [6] &gt;=[7]</t>
  </si>
  <si>
    <t>[6] &gt;= [14.2]</t>
  </si>
  <si>
    <t>Reguła logiczna:  [6] &gt;= [14.2]</t>
  </si>
  <si>
    <t>[6.1] &gt;= [6.1.1]</t>
  </si>
  <si>
    <t>Reguła logiczna:  [6.1] &gt;= [6.1.1]</t>
  </si>
  <si>
    <t>7&gt;=13.1</t>
  </si>
  <si>
    <t>Reguła logiczna:  7&gt;=13.1</t>
  </si>
  <si>
    <t xml:space="preserve">jeżeli [2.1.3] &lt;&gt; 0 to  [2.1.3.1] &lt;&gt; 0 </t>
  </si>
  <si>
    <t xml:space="preserve">Reguła logiczna:  jeżeli [2.1.3] &lt;&gt; 0 to  [2.1.3.1] &lt;&gt; 0 </t>
  </si>
  <si>
    <t>Kontrola poprawności podstawowych kwot</t>
  </si>
  <si>
    <t>Dochody ogółem = bieżące + majątkowe</t>
  </si>
  <si>
    <t>Wydatki ogółem = bieżące + majątkowe</t>
  </si>
  <si>
    <t>Wynik budżetu = dochody ogółem - wydatki ogółem</t>
  </si>
  <si>
    <t>Wyliczenie kwoty długu</t>
  </si>
  <si>
    <t>Wyliczenie zobowiązań wynikających z przejęcia przez jst zobowiązań po likwidowanych i przekształcanych SZOZ</t>
  </si>
  <si>
    <t>Analiza ryzyka niespełnienia wskaźnika z art. 243</t>
  </si>
  <si>
    <t>Analiza składowych wzoru wskaźnika z art. 243</t>
  </si>
  <si>
    <r>
      <t xml:space="preserve">max. limit spłat </t>
    </r>
    <r>
      <rPr>
        <b/>
        <sz val="9"/>
        <color indexed="8"/>
        <rFont val="Times New Roman"/>
        <family val="1"/>
        <charset val="238"/>
      </rPr>
      <t>(planistyczny)</t>
    </r>
    <r>
      <rPr>
        <sz val="9"/>
        <color indexed="8"/>
        <rFont val="Times New Roman"/>
        <family val="1"/>
        <charset val="238"/>
      </rPr>
      <t xml:space="preserve"> - (R+O)/D </t>
    </r>
    <r>
      <rPr>
        <b/>
        <sz val="9"/>
        <color indexed="8"/>
        <rFont val="Times New Roman"/>
        <family val="1"/>
        <charset val="238"/>
      </rPr>
      <t>(bez wyłączeń)</t>
    </r>
  </si>
  <si>
    <r>
      <t xml:space="preserve">max. limit spłat </t>
    </r>
    <r>
      <rPr>
        <b/>
        <sz val="9"/>
        <color indexed="8"/>
        <rFont val="Times New Roman"/>
        <family val="1"/>
        <charset val="238"/>
      </rPr>
      <t>(planistyczny)</t>
    </r>
    <r>
      <rPr>
        <sz val="9"/>
        <color indexed="8"/>
        <rFont val="Times New Roman"/>
        <family val="1"/>
        <charset val="238"/>
      </rPr>
      <t xml:space="preserve"> - (R+O)/D </t>
    </r>
    <r>
      <rPr>
        <b/>
        <sz val="9"/>
        <color indexed="8"/>
        <rFont val="Times New Roman"/>
        <family val="1"/>
        <charset val="238"/>
      </rPr>
      <t>(z wyłączeniami)</t>
    </r>
  </si>
  <si>
    <r>
      <t xml:space="preserve">max. limit spłat </t>
    </r>
    <r>
      <rPr>
        <b/>
        <sz val="9"/>
        <color indexed="8"/>
        <rFont val="Times New Roman"/>
        <family val="1"/>
        <charset val="238"/>
      </rPr>
      <t>(wg wykonania)</t>
    </r>
    <r>
      <rPr>
        <sz val="9"/>
        <color indexed="8"/>
        <rFont val="Times New Roman"/>
        <family val="1"/>
        <charset val="238"/>
      </rPr>
      <t xml:space="preserve"> - (R+O)/D (bez wyłączeń)</t>
    </r>
  </si>
  <si>
    <r>
      <t xml:space="preserve">max. limit spłat </t>
    </r>
    <r>
      <rPr>
        <b/>
        <sz val="9"/>
        <color indexed="8"/>
        <rFont val="Times New Roman"/>
        <family val="1"/>
        <charset val="238"/>
      </rPr>
      <t>(wg wykonania)</t>
    </r>
    <r>
      <rPr>
        <sz val="9"/>
        <color indexed="8"/>
        <rFont val="Times New Roman"/>
        <family val="1"/>
        <charset val="238"/>
      </rPr>
      <t xml:space="preserve"> - (R+O)/D </t>
    </r>
    <r>
      <rPr>
        <b/>
        <sz val="9"/>
        <color indexed="8"/>
        <rFont val="Times New Roman"/>
        <family val="1"/>
        <charset val="238"/>
      </rPr>
      <t>(z wyłączeniami)</t>
    </r>
  </si>
  <si>
    <t>DYNAMIKA podstawowych wielkości z prognozy</t>
  </si>
  <si>
    <t>-</t>
  </si>
  <si>
    <t>dochody ogółem bez środków UE (fin. i współfin.)</t>
  </si>
  <si>
    <t>dochody bieżące bez środków UE (fin. i współfin.)</t>
  </si>
  <si>
    <t>dochody majątkowe bez środków UE (fin. i współfin.)</t>
  </si>
  <si>
    <t>dochody majątkowe bez środków UE (fin. i współfin.) 
i bez sprzedaży majątku</t>
  </si>
  <si>
    <t>dochody ze sprzedaży majątku</t>
  </si>
  <si>
    <t>wydatki ogółem bez wydatków na projekty finansowane i współfinansowane środkami UE</t>
  </si>
  <si>
    <t>wydatki bieżące ogółem</t>
  </si>
  <si>
    <t>wydatki bieżące ogółem bez wydatków na projekty współfinansowane środkami UE</t>
  </si>
  <si>
    <t>wydatki bieżące na wynagrodzenia i składki od nich naliczane</t>
  </si>
  <si>
    <t>pozostałe wydatki bieżące (wydatki bieżące bez wynagrodzeń i pochodnych oraz wydatków związanych z funkcjonowaniem organów jst, wydatków na obsługę długu  oraz poręczeń i gwarancji)</t>
  </si>
  <si>
    <t>WIELKOŚĆ ZMIAN w podstawowych kwotach prognozy</t>
  </si>
  <si>
    <t>PODSTAWOWE wielkości ujęte w prognozie</t>
  </si>
  <si>
    <t xml:space="preserve">DYNAMIKA kwot ujętych w WPF </t>
  </si>
  <si>
    <t>na programy, projekty lub zadania finansowane z udziałem środków, o których mowa w art. 5 ust. 1 pkt 2 i 3 uofp</t>
  </si>
  <si>
    <t>wydatki bieżące bez wydatków na obsługę długu</t>
  </si>
  <si>
    <t>gwarancje i poręczenia podlegające wyłączeniu z limitów spłaty zobowiązań  określonych w art. 243 ust. 3 pkt 2 uofp, lub art. 169 ust. 3 pkt 2 suofp</t>
  </si>
  <si>
    <t>wydatki bieżące na obsługę długu, w tym:</t>
  </si>
  <si>
    <t xml:space="preserve">odsetki i dyskonto </t>
  </si>
  <si>
    <t>Wydatki majątkowe, w tym:</t>
  </si>
  <si>
    <t>Informacje uzupełniające z art. 226 ust. 1 i 2 uofp, tj. wydatki:</t>
  </si>
  <si>
    <t>na wynagrodzenia i składki od nich naliczane</t>
  </si>
  <si>
    <t>związane z funkcjonowaniem organów JST</t>
  </si>
  <si>
    <t>bieżące objęte limitem art. 226 ust. 4 uofp</t>
  </si>
  <si>
    <t>majątkowe objęte limitem art. 226 ust. 4 uofp</t>
  </si>
  <si>
    <t xml:space="preserve">Załącznik Nr 1 do Informacji o kształtowaniu się </t>
  </si>
  <si>
    <t xml:space="preserve">Wieloletniej Prognozy Finansowej Gminy Rogoźno </t>
  </si>
  <si>
    <t>na lata 2013-2025</t>
  </si>
  <si>
    <t>Wykonanie 30.06.2013 r.</t>
  </si>
  <si>
    <t>% 
wykonania</t>
  </si>
  <si>
    <t>Wykaz przedsiewzięć do Wieloletniej Prognozy Finansowej na lata 2013-2025</t>
  </si>
  <si>
    <t>Lp</t>
  </si>
  <si>
    <t>Nazwa i cel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</si>
  <si>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</si>
  <si>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</si>
  <si>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</si>
  <si>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</si>
  <si>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</si>
  <si>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</si>
  <si>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</si>
  <si>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</si>
  <si>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</si>
  <si>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</si>
  <si>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</si>
  <si>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</si>
  <si>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</si>
  <si>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</si>
  <si>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</si>
  <si>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</si>
  <si>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</si>
  <si>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</si>
  <si>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</si>
  <si>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r>
      <t xml:space="preserve">Wydatki na programy, projekty lub zadania związane z programami realizowanymi z udziałem środków, o których mowa w art. 5 ust. 1 pkt 2 i 3 ustawy z dnia 27 sierpnia 2009. r. o finansach publicznych (Dz. U. Nr 157, poz. 1240,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</si>
  <si>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</t>
  </si>
  <si>
    <t>1.1.2.</t>
  </si>
  <si>
    <t>1.1.2.1</t>
  </si>
  <si>
    <t>"Budowa kanalizacji sanitarnej i oczyszczalni ścieków etap II oraz separatorów na wlotach do  Jeziora Rogozińskiego i rzeki Wełny aglomeracji Rogoźno".</t>
  </si>
  <si>
    <t>Urząd Miejski w Rogoźnie</t>
  </si>
  <si>
    <r>
      <rPr>
        <b/>
        <sz val="8"/>
        <rFont val="Arial"/>
        <family val="2"/>
        <charset val="238"/>
      </rPr>
      <t xml:space="preserve">Program: </t>
    </r>
    <r>
      <rPr>
        <sz val="8"/>
        <rFont val="Arial"/>
        <family val="2"/>
        <charset val="238"/>
      </rPr>
      <t xml:space="preserve">Gmina przyjazna środowisku.
</t>
    </r>
    <r>
      <rPr>
        <b/>
        <sz val="8"/>
        <rFont val="Arial"/>
        <family val="2"/>
        <charset val="238"/>
      </rPr>
      <t>Cel:</t>
    </r>
    <r>
      <rPr>
        <sz val="8"/>
        <rFont val="Arial"/>
        <family val="2"/>
        <charset val="238"/>
      </rPr>
      <t xml:space="preserve"> ograniczenie zanieczyszczeń wpływających do Jeziora Rogozińskiego i poprawa jakości wód w zbiornikach wodnych.(Dz. 900, rozdz.90001).</t>
    </r>
  </si>
  <si>
    <t>1.1.2.2</t>
  </si>
  <si>
    <t>"Budowa targowiska miejskiego w Rogoźnie".</t>
  </si>
  <si>
    <r>
      <rPr>
        <b/>
        <sz val="8"/>
        <rFont val="Arial"/>
        <family val="2"/>
        <charset val="238"/>
      </rPr>
      <t xml:space="preserve">Program: </t>
    </r>
    <r>
      <rPr>
        <sz val="8"/>
        <rFont val="Arial"/>
        <family val="2"/>
        <charset val="238"/>
      </rPr>
      <t xml:space="preserve">Mój Rynek.
</t>
    </r>
    <r>
      <rPr>
        <b/>
        <sz val="8"/>
        <rFont val="Arial"/>
        <family val="2"/>
        <charset val="238"/>
      </rPr>
      <t>Cel:</t>
    </r>
    <r>
      <rPr>
        <sz val="8"/>
        <rFont val="Arial"/>
        <family val="2"/>
        <charset val="238"/>
      </rPr>
      <t xml:space="preserve"> Tworzenie nowoczesnej bazy miejsc handlowych, gdzie sprzedaż będzie się odbywała w godnych warunkach z zachowaniem standardów sanitarnychi weterynaryjnych(Dz. 900, rozdz. 90095)</t>
    </r>
  </si>
  <si>
    <t>1.1.2.3</t>
  </si>
  <si>
    <t>"Budowa promenady nad jeziorem Rogozińskim".</t>
  </si>
  <si>
    <r>
      <rPr>
        <b/>
        <sz val="8"/>
        <rFont val="Arial"/>
        <family val="2"/>
        <charset val="238"/>
      </rPr>
      <t xml:space="preserve">Program: </t>
    </r>
    <r>
      <rPr>
        <sz val="8"/>
        <rFont val="Arial"/>
        <family val="2"/>
        <charset val="238"/>
      </rPr>
      <t xml:space="preserve">Zmieniamy wygląd wokół naszego jeziora
</t>
    </r>
    <r>
      <rPr>
        <b/>
        <sz val="8"/>
        <rFont val="Arial"/>
        <family val="2"/>
        <charset val="238"/>
      </rPr>
      <t>Cel:</t>
    </r>
    <r>
      <rPr>
        <sz val="8"/>
        <rFont val="Arial"/>
        <family val="2"/>
        <charset val="238"/>
      </rPr>
      <t xml:space="preserve"> Zwiększenie atrakcyjności naszego regionu poprzez stworzenie dodatkowych miejsc do różnych form wypoczynku dla każdego (Dz. 900, rozdz. 90095)</t>
    </r>
  </si>
  <si>
    <t>1.1.2.4</t>
  </si>
  <si>
    <t>"Modernizacja świetlic wiejskich w m. Karolewo, Garbatka, Jaracz, Laskowo, Owieczki, Studzieniec".</t>
  </si>
  <si>
    <r>
      <rPr>
        <b/>
        <sz val="8"/>
        <rFont val="Arial"/>
        <family val="2"/>
        <charset val="238"/>
      </rPr>
      <t xml:space="preserve">Program: </t>
    </r>
    <r>
      <rPr>
        <sz val="8"/>
        <rFont val="Arial"/>
        <family val="2"/>
        <charset val="238"/>
      </rPr>
      <t xml:space="preserve">Odnowa i rozwój wsi
</t>
    </r>
    <r>
      <rPr>
        <b/>
        <sz val="8"/>
        <rFont val="Arial"/>
        <family val="2"/>
        <charset val="238"/>
      </rPr>
      <t>Cel:</t>
    </r>
    <r>
      <rPr>
        <sz val="8"/>
        <rFont val="Arial"/>
        <family val="2"/>
        <charset val="238"/>
      </rPr>
      <t xml:space="preserve"> Poprawa jakości życia na obszarach wijskich poprzez zaspokojenie potrzeb społecznych i kulturalnych mieszkańców wsi oraz promowanie obszarów wiejskich. (Dz. 921, rozdz. 92109)</t>
    </r>
  </si>
  <si>
    <t>1.2.</t>
  </si>
  <si>
    <r>
      <t>Wydatki na programy, projekty lub zadania związane z umowami partnerstwa publiczno- prywatnego, z</t>
    </r>
    <r>
      <rPr>
        <i/>
        <sz val="8"/>
        <rFont val="Times New Roman"/>
        <family val="1"/>
        <charset val="238"/>
      </rPr>
      <t xml:space="preserve"> </t>
    </r>
    <r>
      <rPr>
        <sz val="8"/>
        <rFont val="Times New Roman"/>
        <family val="1"/>
        <charset val="238"/>
      </rPr>
      <t>tego:</t>
    </r>
  </si>
  <si>
    <t>1.3.</t>
  </si>
  <si>
    <t>Wydatki na programy, projekty lub zadania pozostałe (inne niż wymienione w pkt 1.1 i 1.2), z tego:</t>
  </si>
  <si>
    <t>Wykonanie 
na 30.06.2013r.</t>
  </si>
  <si>
    <t>Spełniona</t>
  </si>
  <si>
    <t xml:space="preserve">Załącznik Nr 2 do Informacji o ksztaltowaniu się </t>
  </si>
  <si>
    <t>Wieloletniej Prognozy Finansowej na lata 2013-2025</t>
  </si>
  <si>
    <t>Jednostka 
odpowiedzialna 
lub 
koordynująca 
program</t>
  </si>
  <si>
    <t>% 
wykonania
(rubr. 8/7)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</si>
</sst>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[Red]\-#,##0.00\ "/>
    <numFmt numFmtId="165" formatCode="0.00%;[Red]\-0.00%"/>
    <numFmt numFmtId="166" formatCode="0.0%"/>
  </numFmts>
  <fonts count="7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indexed="8"/>
      <name val="Czcionka tekstu podstawowego"/>
      <family val="2"/>
      <charset val="238"/>
    </font>
    <font>
      <b/>
      <sz val="10"/>
      <color indexed="8"/>
      <name val="Czcionka tekstu podstawowego"/>
      <charset val="238"/>
    </font>
    <font>
      <b/>
      <sz val="11"/>
      <color indexed="8"/>
      <name val="Times New Roman"/>
      <family val="1"/>
      <charset val="238"/>
    </font>
    <font>
      <b/>
      <sz val="9"/>
      <color indexed="8"/>
      <name val="Czcionka tekstu podstawowego"/>
      <charset val="238"/>
    </font>
    <font>
      <b/>
      <sz val="12"/>
      <color indexed="8"/>
      <name val="Czcionka tekstu podstawowego"/>
      <charset val="238"/>
    </font>
    <font>
      <sz val="11"/>
      <color indexed="8"/>
      <name val="Czcionka tekstu podstawowego"/>
      <family val="2"/>
      <charset val="238"/>
    </font>
    <font>
      <b/>
      <sz val="9"/>
      <color theme="1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1"/>
      <color indexed="8"/>
      <name val="Czcionka tekstu podstawowego"/>
      <charset val="238"/>
    </font>
    <font>
      <b/>
      <sz val="11"/>
      <color rgb="FFFF0000"/>
      <name val="Czcionka tekstu podstawowego"/>
      <charset val="238"/>
    </font>
    <font>
      <b/>
      <sz val="9"/>
      <color rgb="FFFF0000"/>
      <name val="Czcionka tekstu podstawowego"/>
      <charset val="238"/>
    </font>
    <font>
      <b/>
      <sz val="11"/>
      <name val="Czcionka tekstu podstawowego"/>
      <charset val="238"/>
    </font>
    <font>
      <sz val="9"/>
      <name val="Czcionka tekstu podstawowego"/>
      <charset val="238"/>
    </font>
    <font>
      <b/>
      <sz val="9"/>
      <name val="Czcionka tekstu podstawowego"/>
      <charset val="238"/>
    </font>
    <font>
      <sz val="9"/>
      <color theme="0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9"/>
      <name val="Times New Roman"/>
      <family val="1"/>
      <charset val="238"/>
    </font>
    <font>
      <i/>
      <sz val="8"/>
      <color indexed="8"/>
      <name val="Czcionka tekstu podstawowego"/>
      <charset val="238"/>
    </font>
    <font>
      <b/>
      <sz val="10"/>
      <color indexed="8"/>
      <name val="Times New Roman"/>
      <family val="1"/>
      <charset val="238"/>
    </font>
    <font>
      <sz val="9"/>
      <color indexed="8"/>
      <name val="Czcionka tekstu podstawowego"/>
      <charset val="238"/>
    </font>
    <font>
      <b/>
      <sz val="9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8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9.5"/>
      <name val="Arial"/>
      <family val="2"/>
      <charset val="238"/>
    </font>
    <font>
      <b/>
      <sz val="5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sz val="7.5"/>
      <name val="Times New Roman"/>
      <family val="1"/>
      <charset val="238"/>
    </font>
  </fonts>
  <fills count="6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9630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105">
    <xf numFmtId="0" fontId="0" fillId="0" borderId="0"/>
    <xf numFmtId="9" fontId="23" fillId="0" borderId="0" applyFont="0" applyFill="0" applyBorder="0" applyAlignment="0" applyProtection="0"/>
    <xf numFmtId="0" fontId="23" fillId="0" borderId="0"/>
    <xf numFmtId="0" fontId="1" fillId="0" borderId="0"/>
    <xf numFmtId="9" fontId="23" fillId="0" borderId="0" applyFont="0" applyFill="0" applyBorder="0" applyAlignment="0" applyProtection="0"/>
    <xf numFmtId="0" fontId="23" fillId="40" borderId="0" applyNumberFormat="0" applyBorder="0" applyAlignment="0" applyProtection="0"/>
    <xf numFmtId="0" fontId="1" fillId="10" borderId="0" applyNumberFormat="0" applyBorder="0" applyAlignment="0" applyProtection="0"/>
    <xf numFmtId="0" fontId="23" fillId="41" borderId="0" applyNumberFormat="0" applyBorder="0" applyAlignment="0" applyProtection="0"/>
    <xf numFmtId="0" fontId="1" fillId="14" borderId="0" applyNumberFormat="0" applyBorder="0" applyAlignment="0" applyProtection="0"/>
    <xf numFmtId="0" fontId="23" fillId="42" borderId="0" applyNumberFormat="0" applyBorder="0" applyAlignment="0" applyProtection="0"/>
    <xf numFmtId="0" fontId="1" fillId="18" borderId="0" applyNumberFormat="0" applyBorder="0" applyAlignment="0" applyProtection="0"/>
    <xf numFmtId="0" fontId="23" fillId="43" borderId="0" applyNumberFormat="0" applyBorder="0" applyAlignment="0" applyProtection="0"/>
    <xf numFmtId="0" fontId="1" fillId="22" borderId="0" applyNumberFormat="0" applyBorder="0" applyAlignment="0" applyProtection="0"/>
    <xf numFmtId="0" fontId="23" fillId="44" borderId="0" applyNumberFormat="0" applyBorder="0" applyAlignment="0" applyProtection="0"/>
    <xf numFmtId="0" fontId="1" fillId="26" borderId="0" applyNumberFormat="0" applyBorder="0" applyAlignment="0" applyProtection="0"/>
    <xf numFmtId="0" fontId="23" fillId="45" borderId="0" applyNumberFormat="0" applyBorder="0" applyAlignment="0" applyProtection="0"/>
    <xf numFmtId="0" fontId="1" fillId="30" borderId="0" applyNumberFormat="0" applyBorder="0" applyAlignment="0" applyProtection="0"/>
    <xf numFmtId="0" fontId="23" fillId="46" borderId="0" applyNumberFormat="0" applyBorder="0" applyAlignment="0" applyProtection="0"/>
    <xf numFmtId="0" fontId="1" fillId="11" borderId="0" applyNumberFormat="0" applyBorder="0" applyAlignment="0" applyProtection="0"/>
    <xf numFmtId="0" fontId="23" fillId="47" borderId="0" applyNumberFormat="0" applyBorder="0" applyAlignment="0" applyProtection="0"/>
    <xf numFmtId="0" fontId="1" fillId="15" borderId="0" applyNumberFormat="0" applyBorder="0" applyAlignment="0" applyProtection="0"/>
    <xf numFmtId="0" fontId="23" fillId="48" borderId="0" applyNumberFormat="0" applyBorder="0" applyAlignment="0" applyProtection="0"/>
    <xf numFmtId="0" fontId="1" fillId="19" borderId="0" applyNumberFormat="0" applyBorder="0" applyAlignment="0" applyProtection="0"/>
    <xf numFmtId="0" fontId="23" fillId="43" borderId="0" applyNumberFormat="0" applyBorder="0" applyAlignment="0" applyProtection="0"/>
    <xf numFmtId="0" fontId="1" fillId="23" borderId="0" applyNumberFormat="0" applyBorder="0" applyAlignment="0" applyProtection="0"/>
    <xf numFmtId="0" fontId="23" fillId="46" borderId="0" applyNumberFormat="0" applyBorder="0" applyAlignment="0" applyProtection="0"/>
    <xf numFmtId="0" fontId="1" fillId="27" borderId="0" applyNumberFormat="0" applyBorder="0" applyAlignment="0" applyProtection="0"/>
    <xf numFmtId="0" fontId="23" fillId="49" borderId="0" applyNumberFormat="0" applyBorder="0" applyAlignment="0" applyProtection="0"/>
    <xf numFmtId="0" fontId="1" fillId="31" borderId="0" applyNumberFormat="0" applyBorder="0" applyAlignment="0" applyProtection="0"/>
    <xf numFmtId="0" fontId="42" fillId="50" borderId="0" applyNumberFormat="0" applyBorder="0" applyAlignment="0" applyProtection="0"/>
    <xf numFmtId="0" fontId="16" fillId="12" borderId="0" applyNumberFormat="0" applyBorder="0" applyAlignment="0" applyProtection="0"/>
    <xf numFmtId="0" fontId="42" fillId="47" borderId="0" applyNumberFormat="0" applyBorder="0" applyAlignment="0" applyProtection="0"/>
    <xf numFmtId="0" fontId="16" fillId="16" borderId="0" applyNumberFormat="0" applyBorder="0" applyAlignment="0" applyProtection="0"/>
    <xf numFmtId="0" fontId="42" fillId="48" borderId="0" applyNumberFormat="0" applyBorder="0" applyAlignment="0" applyProtection="0"/>
    <xf numFmtId="0" fontId="16" fillId="20" borderId="0" applyNumberFormat="0" applyBorder="0" applyAlignment="0" applyProtection="0"/>
    <xf numFmtId="0" fontId="42" fillId="51" borderId="0" applyNumberFormat="0" applyBorder="0" applyAlignment="0" applyProtection="0"/>
    <xf numFmtId="0" fontId="16" fillId="24" borderId="0" applyNumberFormat="0" applyBorder="0" applyAlignment="0" applyProtection="0"/>
    <xf numFmtId="0" fontId="42" fillId="52" borderId="0" applyNumberFormat="0" applyBorder="0" applyAlignment="0" applyProtection="0"/>
    <xf numFmtId="0" fontId="16" fillId="28" borderId="0" applyNumberFormat="0" applyBorder="0" applyAlignment="0" applyProtection="0"/>
    <xf numFmtId="0" fontId="42" fillId="53" borderId="0" applyNumberFormat="0" applyBorder="0" applyAlignment="0" applyProtection="0"/>
    <xf numFmtId="0" fontId="16" fillId="32" borderId="0" applyNumberFormat="0" applyBorder="0" applyAlignment="0" applyProtection="0"/>
    <xf numFmtId="0" fontId="42" fillId="54" borderId="0" applyNumberFormat="0" applyBorder="0" applyAlignment="0" applyProtection="0"/>
    <xf numFmtId="0" fontId="16" fillId="9" borderId="0" applyNumberFormat="0" applyBorder="0" applyAlignment="0" applyProtection="0"/>
    <xf numFmtId="0" fontId="42" fillId="55" borderId="0" applyNumberFormat="0" applyBorder="0" applyAlignment="0" applyProtection="0"/>
    <xf numFmtId="0" fontId="16" fillId="13" borderId="0" applyNumberFormat="0" applyBorder="0" applyAlignment="0" applyProtection="0"/>
    <xf numFmtId="0" fontId="42" fillId="56" borderId="0" applyNumberFormat="0" applyBorder="0" applyAlignment="0" applyProtection="0"/>
    <xf numFmtId="0" fontId="16" fillId="17" borderId="0" applyNumberFormat="0" applyBorder="0" applyAlignment="0" applyProtection="0"/>
    <xf numFmtId="0" fontId="42" fillId="51" borderId="0" applyNumberFormat="0" applyBorder="0" applyAlignment="0" applyProtection="0"/>
    <xf numFmtId="0" fontId="16" fillId="21" borderId="0" applyNumberFormat="0" applyBorder="0" applyAlignment="0" applyProtection="0"/>
    <xf numFmtId="0" fontId="42" fillId="52" borderId="0" applyNumberFormat="0" applyBorder="0" applyAlignment="0" applyProtection="0"/>
    <xf numFmtId="0" fontId="16" fillId="25" borderId="0" applyNumberFormat="0" applyBorder="0" applyAlignment="0" applyProtection="0"/>
    <xf numFmtId="0" fontId="42" fillId="57" borderId="0" applyNumberFormat="0" applyBorder="0" applyAlignment="0" applyProtection="0"/>
    <xf numFmtId="0" fontId="16" fillId="29" borderId="0" applyNumberFormat="0" applyBorder="0" applyAlignment="0" applyProtection="0"/>
    <xf numFmtId="0" fontId="43" fillId="45" borderId="40" applyNumberFormat="0" applyAlignment="0" applyProtection="0"/>
    <xf numFmtId="0" fontId="8" fillId="5" borderId="4" applyNumberFormat="0" applyAlignment="0" applyProtection="0"/>
    <xf numFmtId="0" fontId="44" fillId="58" borderId="41" applyNumberFormat="0" applyAlignment="0" applyProtection="0"/>
    <xf numFmtId="0" fontId="9" fillId="6" borderId="5" applyNumberFormat="0" applyAlignment="0" applyProtection="0"/>
    <xf numFmtId="0" fontId="45" fillId="42" borderId="0" applyNumberFormat="0" applyBorder="0" applyAlignment="0" applyProtection="0"/>
    <xf numFmtId="0" fontId="5" fillId="2" borderId="0" applyNumberFormat="0" applyBorder="0" applyAlignment="0" applyProtection="0"/>
    <xf numFmtId="0" fontId="46" fillId="0" borderId="42" applyNumberFormat="0" applyFill="0" applyAlignment="0" applyProtection="0"/>
    <xf numFmtId="0" fontId="11" fillId="0" borderId="6" applyNumberFormat="0" applyFill="0" applyAlignment="0" applyProtection="0"/>
    <xf numFmtId="0" fontId="47" fillId="59" borderId="43" applyNumberFormat="0" applyAlignment="0" applyProtection="0"/>
    <xf numFmtId="0" fontId="12" fillId="7" borderId="7" applyNumberFormat="0" applyAlignment="0" applyProtection="0"/>
    <xf numFmtId="0" fontId="48" fillId="0" borderId="44" applyNumberFormat="0" applyFill="0" applyAlignment="0" applyProtection="0"/>
    <xf numFmtId="0" fontId="2" fillId="0" borderId="1" applyNumberFormat="0" applyFill="0" applyAlignment="0" applyProtection="0"/>
    <xf numFmtId="0" fontId="49" fillId="0" borderId="45" applyNumberFormat="0" applyFill="0" applyAlignment="0" applyProtection="0"/>
    <xf numFmtId="0" fontId="3" fillId="0" borderId="2" applyNumberFormat="0" applyFill="0" applyAlignment="0" applyProtection="0"/>
    <xf numFmtId="0" fontId="50" fillId="0" borderId="46" applyNumberFormat="0" applyFill="0" applyAlignment="0" applyProtection="0"/>
    <xf numFmtId="0" fontId="4" fillId="0" borderId="3" applyNumberFormat="0" applyFill="0" applyAlignment="0" applyProtection="0"/>
    <xf numFmtId="0" fontId="50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1" fillId="60" borderId="0" applyNumberFormat="0" applyBorder="0" applyAlignment="0" applyProtection="0"/>
    <xf numFmtId="0" fontId="7" fillId="4" borderId="0" applyNumberFormat="0" applyBorder="0" applyAlignment="0" applyProtection="0"/>
    <xf numFmtId="0" fontId="5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3" fillId="0" borderId="0"/>
    <xf numFmtId="0" fontId="52" fillId="0" borderId="0"/>
    <xf numFmtId="0" fontId="52" fillId="0" borderId="0"/>
    <xf numFmtId="0" fontId="53" fillId="0" borderId="0" applyProtection="0"/>
    <xf numFmtId="0" fontId="23" fillId="0" borderId="0"/>
    <xf numFmtId="0" fontId="52" fillId="0" borderId="0"/>
    <xf numFmtId="0" fontId="52" fillId="0" borderId="0"/>
    <xf numFmtId="0" fontId="54" fillId="58" borderId="40" applyNumberFormat="0" applyAlignment="0" applyProtection="0"/>
    <xf numFmtId="0" fontId="10" fillId="6" borderId="4" applyNumberFormat="0" applyAlignment="0" applyProtection="0"/>
    <xf numFmtId="9" fontId="23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55" fillId="0" borderId="47" applyNumberFormat="0" applyFill="0" applyAlignment="0" applyProtection="0"/>
    <xf numFmtId="0" fontId="15" fillId="0" borderId="9" applyNumberFormat="0" applyFill="0" applyAlignment="0" applyProtection="0"/>
    <xf numFmtId="0" fontId="5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3" fillId="61" borderId="48" applyNumberFormat="0" applyFont="0" applyAlignment="0" applyProtection="0"/>
    <xf numFmtId="0" fontId="1" fillId="8" borderId="8" applyNumberFormat="0" applyFont="0" applyAlignment="0" applyProtection="0"/>
    <xf numFmtId="0" fontId="59" fillId="41" borderId="0" applyNumberFormat="0" applyBorder="0" applyAlignment="0" applyProtection="0"/>
    <xf numFmtId="0" fontId="6" fillId="3" borderId="0" applyNumberFormat="0" applyBorder="0" applyAlignment="0" applyProtection="0"/>
  </cellStyleXfs>
  <cellXfs count="344">
    <xf numFmtId="0" fontId="0" fillId="0" borderId="0" xfId="0"/>
    <xf numFmtId="0" fontId="18" fillId="0" borderId="0" xfId="0" applyFont="1" applyProtection="1">
      <protection locked="0"/>
    </xf>
    <xf numFmtId="0" fontId="18" fillId="0" borderId="0" xfId="0" applyFont="1" applyBorder="1" applyProtection="1">
      <protection locked="0"/>
    </xf>
    <xf numFmtId="0" fontId="20" fillId="0" borderId="10" xfId="0" applyFont="1" applyBorder="1" applyAlignment="1" applyProtection="1">
      <alignment horizontal="center" vertical="center" wrapText="1"/>
      <protection locked="0"/>
    </xf>
    <xf numFmtId="49" fontId="20" fillId="33" borderId="11" xfId="2" applyNumberFormat="1" applyFont="1" applyFill="1" applyBorder="1" applyAlignment="1">
      <alignment horizontal="center" vertical="center"/>
    </xf>
    <xf numFmtId="49" fontId="20" fillId="33" borderId="11" xfId="2" applyNumberFormat="1" applyFont="1" applyFill="1" applyBorder="1" applyAlignment="1">
      <alignment horizontal="center" vertical="center" wrapText="1"/>
    </xf>
    <xf numFmtId="49" fontId="20" fillId="33" borderId="14" xfId="2" applyNumberFormat="1" applyFont="1" applyFill="1" applyBorder="1" applyAlignment="1">
      <alignment horizontal="center" vertical="center" wrapText="1"/>
    </xf>
    <xf numFmtId="49" fontId="20" fillId="33" borderId="12" xfId="2" applyNumberFormat="1" applyFont="1" applyFill="1" applyBorder="1" applyAlignment="1">
      <alignment horizontal="center" vertical="center" wrapText="1"/>
    </xf>
    <xf numFmtId="1" fontId="20" fillId="33" borderId="14" xfId="2" applyNumberFormat="1" applyFont="1" applyFill="1" applyBorder="1" applyAlignment="1">
      <alignment horizontal="center" vertical="center"/>
    </xf>
    <xf numFmtId="0" fontId="24" fillId="0" borderId="15" xfId="0" applyFont="1" applyBorder="1" applyAlignment="1">
      <alignment horizontal="left" vertical="center"/>
    </xf>
    <xf numFmtId="164" fontId="25" fillId="34" borderId="15" xfId="2" applyNumberFormat="1" applyFont="1" applyFill="1" applyBorder="1" applyAlignment="1">
      <alignment vertical="center" shrinkToFit="1"/>
    </xf>
    <xf numFmtId="164" fontId="25" fillId="34" borderId="18" xfId="2" applyNumberFormat="1" applyFont="1" applyFill="1" applyBorder="1" applyAlignment="1">
      <alignment vertical="center" shrinkToFit="1"/>
    </xf>
    <xf numFmtId="164" fontId="25" fillId="34" borderId="16" xfId="2" applyNumberFormat="1" applyFont="1" applyFill="1" applyBorder="1" applyAlignment="1">
      <alignment vertical="center" shrinkToFit="1"/>
    </xf>
    <xf numFmtId="164" fontId="25" fillId="0" borderId="18" xfId="2" applyNumberFormat="1" applyFont="1" applyFill="1" applyBorder="1" applyAlignment="1">
      <alignment vertical="center" shrinkToFit="1"/>
    </xf>
    <xf numFmtId="0" fontId="26" fillId="0" borderId="15" xfId="0" applyFont="1" applyBorder="1" applyAlignment="1">
      <alignment horizontal="left" vertical="center"/>
    </xf>
    <xf numFmtId="0" fontId="26" fillId="0" borderId="16" xfId="0" applyFont="1" applyBorder="1" applyAlignment="1">
      <alignment horizontal="right" vertical="center"/>
    </xf>
    <xf numFmtId="164" fontId="27" fillId="34" borderId="15" xfId="2" applyNumberFormat="1" applyFont="1" applyFill="1" applyBorder="1" applyAlignment="1">
      <alignment vertical="center" shrinkToFit="1"/>
    </xf>
    <xf numFmtId="164" fontId="27" fillId="34" borderId="18" xfId="2" applyNumberFormat="1" applyFont="1" applyFill="1" applyBorder="1" applyAlignment="1">
      <alignment vertical="center" shrinkToFit="1"/>
    </xf>
    <xf numFmtId="164" fontId="27" fillId="34" borderId="16" xfId="2" applyNumberFormat="1" applyFont="1" applyFill="1" applyBorder="1" applyAlignment="1">
      <alignment vertical="center" shrinkToFit="1"/>
    </xf>
    <xf numFmtId="164" fontId="27" fillId="0" borderId="18" xfId="2" applyNumberFormat="1" applyFont="1" applyFill="1" applyBorder="1" applyAlignment="1">
      <alignment vertical="center" shrinkToFit="1"/>
    </xf>
    <xf numFmtId="0" fontId="26" fillId="0" borderId="17" xfId="0" applyFont="1" applyBorder="1" applyAlignment="1">
      <alignment horizontal="right" vertical="center"/>
    </xf>
    <xf numFmtId="0" fontId="26" fillId="0" borderId="17" xfId="0" applyFont="1" applyBorder="1" applyAlignment="1">
      <alignment horizontal="left" vertical="center" wrapText="1"/>
    </xf>
    <xf numFmtId="164" fontId="27" fillId="34" borderId="15" xfId="2" applyNumberFormat="1" applyFont="1" applyFill="1" applyBorder="1" applyAlignment="1">
      <alignment horizontal="center" vertical="center" shrinkToFit="1"/>
    </xf>
    <xf numFmtId="164" fontId="27" fillId="34" borderId="18" xfId="2" applyNumberFormat="1" applyFont="1" applyFill="1" applyBorder="1" applyAlignment="1">
      <alignment horizontal="center" vertical="center" shrinkToFit="1"/>
    </xf>
    <xf numFmtId="164" fontId="27" fillId="34" borderId="16" xfId="2" applyNumberFormat="1" applyFont="1" applyFill="1" applyBorder="1" applyAlignment="1">
      <alignment horizontal="center" vertical="center" shrinkToFit="1"/>
    </xf>
    <xf numFmtId="0" fontId="26" fillId="0" borderId="17" xfId="0" applyFont="1" applyBorder="1" applyAlignment="1">
      <alignment vertical="center" wrapText="1"/>
    </xf>
    <xf numFmtId="165" fontId="27" fillId="34" borderId="15" xfId="2" applyNumberFormat="1" applyFont="1" applyFill="1" applyBorder="1" applyAlignment="1">
      <alignment vertical="center" shrinkToFit="1"/>
    </xf>
    <xf numFmtId="165" fontId="27" fillId="34" borderId="18" xfId="2" applyNumberFormat="1" applyFont="1" applyFill="1" applyBorder="1" applyAlignment="1">
      <alignment vertical="center" shrinkToFit="1"/>
    </xf>
    <xf numFmtId="165" fontId="27" fillId="34" borderId="16" xfId="2" applyNumberFormat="1" applyFont="1" applyFill="1" applyBorder="1" applyAlignment="1">
      <alignment vertical="center" shrinkToFit="1"/>
    </xf>
    <xf numFmtId="165" fontId="27" fillId="0" borderId="18" xfId="2" applyNumberFormat="1" applyFont="1" applyFill="1" applyBorder="1" applyAlignment="1">
      <alignment vertical="center" shrinkToFit="1"/>
    </xf>
    <xf numFmtId="164" fontId="25" fillId="34" borderId="15" xfId="2" applyNumberFormat="1" applyFont="1" applyFill="1" applyBorder="1" applyAlignment="1">
      <alignment horizontal="center" vertical="center" shrinkToFit="1"/>
    </xf>
    <xf numFmtId="164" fontId="25" fillId="34" borderId="18" xfId="2" applyNumberFormat="1" applyFont="1" applyFill="1" applyBorder="1" applyAlignment="1">
      <alignment horizontal="center" vertical="center" shrinkToFit="1"/>
    </xf>
    <xf numFmtId="164" fontId="25" fillId="34" borderId="16" xfId="2" applyNumberFormat="1" applyFont="1" applyFill="1" applyBorder="1" applyAlignment="1">
      <alignment horizontal="center" vertical="center" shrinkToFit="1"/>
    </xf>
    <xf numFmtId="164" fontId="25" fillId="0" borderId="18" xfId="2" applyNumberFormat="1" applyFont="1" applyFill="1" applyBorder="1" applyAlignment="1">
      <alignment horizontal="center" vertical="center" shrinkToFit="1"/>
    </xf>
    <xf numFmtId="0" fontId="26" fillId="0" borderId="15" xfId="0" applyFont="1" applyBorder="1" applyAlignment="1" applyProtection="1">
      <alignment horizontal="left" vertical="center"/>
      <protection locked="0"/>
    </xf>
    <xf numFmtId="0" fontId="26" fillId="0" borderId="17" xfId="0" applyFont="1" applyBorder="1" applyAlignment="1" applyProtection="1">
      <alignment horizontal="left" vertical="center" wrapText="1"/>
      <protection locked="0"/>
    </xf>
    <xf numFmtId="0" fontId="26" fillId="0" borderId="16" xfId="0" applyFont="1" applyBorder="1" applyAlignment="1" applyProtection="1">
      <alignment horizontal="right" vertical="center"/>
      <protection locked="0"/>
    </xf>
    <xf numFmtId="0" fontId="24" fillId="0" borderId="17" xfId="0" applyFont="1" applyBorder="1" applyAlignment="1" applyProtection="1">
      <alignment horizontal="left" vertical="center"/>
      <protection locked="0"/>
    </xf>
    <xf numFmtId="0" fontId="26" fillId="0" borderId="17" xfId="0" applyFont="1" applyBorder="1" applyAlignment="1" applyProtection="1">
      <alignment horizontal="left" vertical="center"/>
      <protection locked="0"/>
    </xf>
    <xf numFmtId="0" fontId="27" fillId="0" borderId="18" xfId="2" applyNumberFormat="1" applyFont="1" applyFill="1" applyBorder="1" applyAlignment="1">
      <alignment horizontal="center" vertical="center" shrinkToFit="1"/>
    </xf>
    <xf numFmtId="0" fontId="26" fillId="0" borderId="19" xfId="0" applyFont="1" applyBorder="1" applyAlignment="1">
      <alignment horizontal="left" vertical="center"/>
    </xf>
    <xf numFmtId="0" fontId="26" fillId="0" borderId="20" xfId="0" applyFont="1" applyBorder="1" applyAlignment="1">
      <alignment horizontal="right" vertical="center"/>
    </xf>
    <xf numFmtId="164" fontId="27" fillId="34" borderId="19" xfId="2" applyNumberFormat="1" applyFont="1" applyFill="1" applyBorder="1" applyAlignment="1">
      <alignment vertical="center" shrinkToFit="1"/>
    </xf>
    <xf numFmtId="164" fontId="27" fillId="34" borderId="22" xfId="2" applyNumberFormat="1" applyFont="1" applyFill="1" applyBorder="1" applyAlignment="1">
      <alignment vertical="center" shrinkToFit="1"/>
    </xf>
    <xf numFmtId="164" fontId="27" fillId="34" borderId="20" xfId="2" applyNumberFormat="1" applyFont="1" applyFill="1" applyBorder="1" applyAlignment="1">
      <alignment vertical="center" shrinkToFit="1"/>
    </xf>
    <xf numFmtId="164" fontId="27" fillId="0" borderId="22" xfId="2" applyNumberFormat="1" applyFont="1" applyFill="1" applyBorder="1" applyAlignment="1">
      <alignment vertical="center" shrinkToFit="1"/>
    </xf>
    <xf numFmtId="0" fontId="18" fillId="0" borderId="0" xfId="0" applyFont="1" applyBorder="1" applyAlignment="1" applyProtection="1">
      <alignment vertical="center"/>
      <protection locked="0"/>
    </xf>
    <xf numFmtId="0" fontId="28" fillId="0" borderId="0" xfId="0" applyFont="1" applyBorder="1" applyAlignment="1" applyProtection="1">
      <alignment vertical="center"/>
      <protection locked="0"/>
    </xf>
    <xf numFmtId="0" fontId="21" fillId="0" borderId="0" xfId="0" applyFont="1" applyBorder="1" applyAlignment="1" applyProtection="1">
      <alignment vertical="center"/>
      <protection locked="0"/>
    </xf>
    <xf numFmtId="0" fontId="29" fillId="0" borderId="0" xfId="0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vertical="center" wrapText="1"/>
      <protection locked="0"/>
    </xf>
    <xf numFmtId="0" fontId="30" fillId="0" borderId="0" xfId="0" applyFont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left" vertical="center" wrapText="1"/>
      <protection locked="0"/>
    </xf>
    <xf numFmtId="0" fontId="32" fillId="0" borderId="0" xfId="0" applyFont="1" applyFill="1" applyBorder="1" applyAlignment="1" applyProtection="1">
      <alignment horizontal="left" vertical="center"/>
      <protection locked="0"/>
    </xf>
    <xf numFmtId="0" fontId="32" fillId="35" borderId="0" xfId="0" applyFont="1" applyFill="1" applyBorder="1" applyAlignment="1" applyProtection="1">
      <alignment horizontal="left" vertical="center" wrapText="1"/>
      <protection locked="0"/>
    </xf>
    <xf numFmtId="0" fontId="32" fillId="36" borderId="0" xfId="0" applyFont="1" applyFill="1" applyBorder="1" applyAlignment="1" applyProtection="1">
      <alignment horizontal="left" vertical="center" wrapText="1"/>
      <protection locked="0"/>
    </xf>
    <xf numFmtId="0" fontId="32" fillId="37" borderId="0" xfId="0" applyFont="1" applyFill="1" applyBorder="1" applyAlignment="1" applyProtection="1">
      <alignment horizontal="left" vertical="center" wrapText="1"/>
      <protection locked="0"/>
    </xf>
    <xf numFmtId="0" fontId="32" fillId="0" borderId="10" xfId="0" applyFont="1" applyFill="1" applyBorder="1" applyAlignment="1" applyProtection="1">
      <alignment vertical="center"/>
      <protection locked="0"/>
    </xf>
    <xf numFmtId="0" fontId="33" fillId="0" borderId="10" xfId="0" applyFont="1" applyFill="1" applyBorder="1" applyAlignment="1" applyProtection="1">
      <alignment vertical="center"/>
      <protection locked="0"/>
    </xf>
    <xf numFmtId="0" fontId="32" fillId="35" borderId="12" xfId="0" applyFont="1" applyFill="1" applyBorder="1" applyAlignment="1">
      <alignment horizontal="left" vertical="center" wrapText="1"/>
    </xf>
    <xf numFmtId="0" fontId="30" fillId="34" borderId="11" xfId="0" applyFont="1" applyFill="1" applyBorder="1" applyAlignment="1">
      <alignment vertical="center" wrapText="1"/>
    </xf>
    <xf numFmtId="0" fontId="30" fillId="34" borderId="14" xfId="0" applyFont="1" applyFill="1" applyBorder="1" applyAlignment="1">
      <alignment vertical="center" wrapText="1"/>
    </xf>
    <xf numFmtId="0" fontId="30" fillId="34" borderId="25" xfId="0" applyFont="1" applyFill="1" applyBorder="1" applyAlignment="1">
      <alignment vertical="center" wrapText="1"/>
    </xf>
    <xf numFmtId="0" fontId="18" fillId="0" borderId="24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32" fillId="35" borderId="16" xfId="0" applyFont="1" applyFill="1" applyBorder="1" applyAlignment="1">
      <alignment horizontal="left" vertical="center" wrapText="1"/>
    </xf>
    <xf numFmtId="0" fontId="30" fillId="34" borderId="15" xfId="0" applyFont="1" applyFill="1" applyBorder="1" applyAlignment="1">
      <alignment vertical="center" wrapText="1"/>
    </xf>
    <xf numFmtId="0" fontId="30" fillId="34" borderId="18" xfId="0" applyFont="1" applyFill="1" applyBorder="1" applyAlignment="1">
      <alignment vertical="center" wrapText="1"/>
    </xf>
    <xf numFmtId="0" fontId="30" fillId="34" borderId="28" xfId="0" applyFont="1" applyFill="1" applyBorder="1" applyAlignment="1">
      <alignment vertical="center" wrapText="1"/>
    </xf>
    <xf numFmtId="0" fontId="18" fillId="0" borderId="2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32" fillId="36" borderId="16" xfId="0" applyFont="1" applyFill="1" applyBorder="1" applyAlignment="1">
      <alignment horizontal="left" vertical="center" wrapText="1"/>
    </xf>
    <xf numFmtId="164" fontId="35" fillId="0" borderId="27" xfId="0" applyNumberFormat="1" applyFont="1" applyFill="1" applyBorder="1" applyAlignment="1">
      <alignment horizontal="center" vertical="center"/>
    </xf>
    <xf numFmtId="164" fontId="35" fillId="0" borderId="18" xfId="0" applyNumberFormat="1" applyFont="1" applyFill="1" applyBorder="1" applyAlignment="1">
      <alignment horizontal="center" vertical="center"/>
    </xf>
    <xf numFmtId="0" fontId="30" fillId="34" borderId="15" xfId="0" applyFont="1" applyFill="1" applyBorder="1" applyAlignment="1">
      <alignment vertical="center"/>
    </xf>
    <xf numFmtId="0" fontId="32" fillId="37" borderId="16" xfId="0" applyFont="1" applyFill="1" applyBorder="1" applyAlignment="1">
      <alignment horizontal="left" vertical="center" wrapText="1"/>
    </xf>
    <xf numFmtId="0" fontId="35" fillId="0" borderId="27" xfId="0" applyNumberFormat="1" applyFont="1" applyFill="1" applyBorder="1" applyAlignment="1">
      <alignment horizontal="center" vertical="center"/>
    </xf>
    <xf numFmtId="0" fontId="35" fillId="0" borderId="18" xfId="0" applyNumberFormat="1" applyFont="1" applyFill="1" applyBorder="1" applyAlignment="1">
      <alignment horizontal="center" vertical="center"/>
    </xf>
    <xf numFmtId="0" fontId="32" fillId="37" borderId="20" xfId="0" applyFont="1" applyFill="1" applyBorder="1" applyAlignment="1">
      <alignment horizontal="left" vertical="center" wrapText="1"/>
    </xf>
    <xf numFmtId="0" fontId="30" fillId="34" borderId="19" xfId="0" applyFont="1" applyFill="1" applyBorder="1" applyAlignment="1">
      <alignment vertical="center" wrapText="1"/>
    </xf>
    <xf numFmtId="0" fontId="30" fillId="34" borderId="22" xfId="0" applyFont="1" applyFill="1" applyBorder="1" applyAlignment="1">
      <alignment vertical="center" wrapText="1"/>
    </xf>
    <xf numFmtId="0" fontId="30" fillId="34" borderId="31" xfId="0" applyFont="1" applyFill="1" applyBorder="1" applyAlignment="1">
      <alignment vertical="center" wrapText="1"/>
    </xf>
    <xf numFmtId="0" fontId="18" fillId="0" borderId="30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0" fontId="36" fillId="0" borderId="0" xfId="0" applyFont="1"/>
    <xf numFmtId="0" fontId="27" fillId="38" borderId="23" xfId="0" applyFont="1" applyFill="1" applyBorder="1" applyAlignment="1">
      <alignment vertical="center"/>
    </xf>
    <xf numFmtId="4" fontId="27" fillId="34" borderId="11" xfId="0" applyNumberFormat="1" applyFont="1" applyFill="1" applyBorder="1" applyAlignment="1">
      <alignment vertical="center"/>
    </xf>
    <xf numFmtId="4" fontId="27" fillId="34" borderId="14" xfId="0" applyNumberFormat="1" applyFont="1" applyFill="1" applyBorder="1" applyAlignment="1">
      <alignment vertical="center"/>
    </xf>
    <xf numFmtId="4" fontId="27" fillId="34" borderId="25" xfId="0" applyNumberFormat="1" applyFont="1" applyFill="1" applyBorder="1" applyAlignment="1">
      <alignment vertical="center"/>
    </xf>
    <xf numFmtId="4" fontId="27" fillId="0" borderId="24" xfId="0" applyNumberFormat="1" applyFont="1" applyBorder="1" applyAlignment="1">
      <alignment vertical="center"/>
    </xf>
    <xf numFmtId="4" fontId="27" fillId="0" borderId="14" xfId="0" applyNumberFormat="1" applyFont="1" applyBorder="1" applyAlignment="1">
      <alignment vertical="center"/>
    </xf>
    <xf numFmtId="0" fontId="27" fillId="38" borderId="26" xfId="0" applyFont="1" applyFill="1" applyBorder="1" applyAlignment="1">
      <alignment vertical="center"/>
    </xf>
    <xf numFmtId="4" fontId="27" fillId="34" borderId="15" xfId="0" applyNumberFormat="1" applyFont="1" applyFill="1" applyBorder="1" applyAlignment="1">
      <alignment vertical="center"/>
    </xf>
    <xf numFmtId="4" fontId="27" fillId="34" borderId="18" xfId="0" applyNumberFormat="1" applyFont="1" applyFill="1" applyBorder="1" applyAlignment="1">
      <alignment vertical="center"/>
    </xf>
    <xf numFmtId="4" fontId="27" fillId="34" borderId="28" xfId="0" applyNumberFormat="1" applyFont="1" applyFill="1" applyBorder="1" applyAlignment="1">
      <alignment vertical="center"/>
    </xf>
    <xf numFmtId="4" fontId="27" fillId="0" borderId="2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37" fillId="38" borderId="26" xfId="0" applyFont="1" applyFill="1" applyBorder="1" applyAlignment="1">
      <alignment horizontal="left" vertical="center" wrapText="1"/>
    </xf>
    <xf numFmtId="0" fontId="37" fillId="38" borderId="29" xfId="0" applyFont="1" applyFill="1" applyBorder="1" applyAlignment="1">
      <alignment horizontal="left" vertical="center" wrapText="1"/>
    </xf>
    <xf numFmtId="4" fontId="27" fillId="34" borderId="19" xfId="0" applyNumberFormat="1" applyFont="1" applyFill="1" applyBorder="1" applyAlignment="1">
      <alignment horizontal="center" vertical="center"/>
    </xf>
    <xf numFmtId="4" fontId="27" fillId="34" borderId="22" xfId="0" applyNumberFormat="1" applyFont="1" applyFill="1" applyBorder="1" applyAlignment="1">
      <alignment vertical="center"/>
    </xf>
    <xf numFmtId="4" fontId="27" fillId="34" borderId="31" xfId="0" applyNumberFormat="1" applyFont="1" applyFill="1" applyBorder="1" applyAlignment="1">
      <alignment vertical="center"/>
    </xf>
    <xf numFmtId="4" fontId="27" fillId="0" borderId="30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18" fillId="0" borderId="0" xfId="0" applyFont="1"/>
    <xf numFmtId="0" fontId="18" fillId="0" borderId="0" xfId="0" applyFont="1" applyFill="1"/>
    <xf numFmtId="0" fontId="22" fillId="0" borderId="0" xfId="0" applyFont="1"/>
    <xf numFmtId="0" fontId="28" fillId="0" borderId="0" xfId="0" applyFont="1" applyFill="1"/>
    <xf numFmtId="0" fontId="20" fillId="0" borderId="0" xfId="0" applyFont="1"/>
    <xf numFmtId="0" fontId="19" fillId="0" borderId="0" xfId="0" applyFont="1" applyFill="1"/>
    <xf numFmtId="166" fontId="21" fillId="39" borderId="0" xfId="1" applyNumberFormat="1" applyFont="1" applyFill="1" applyAlignment="1">
      <alignment vertical="center"/>
    </xf>
    <xf numFmtId="0" fontId="38" fillId="0" borderId="0" xfId="0" applyFont="1" applyAlignment="1">
      <alignment vertical="center"/>
    </xf>
    <xf numFmtId="166" fontId="21" fillId="0" borderId="0" xfId="1" applyNumberFormat="1" applyFont="1" applyFill="1" applyAlignment="1">
      <alignment vertical="center"/>
    </xf>
    <xf numFmtId="0" fontId="18" fillId="0" borderId="0" xfId="0" applyFont="1" applyAlignment="1">
      <alignment vertical="center"/>
    </xf>
    <xf numFmtId="166" fontId="21" fillId="36" borderId="0" xfId="1" applyNumberFormat="1" applyFont="1" applyFill="1" applyAlignment="1">
      <alignment vertical="center"/>
    </xf>
    <xf numFmtId="166" fontId="21" fillId="37" borderId="0" xfId="1" applyNumberFormat="1" applyFont="1" applyFill="1" applyAlignment="1">
      <alignment vertical="center"/>
    </xf>
    <xf numFmtId="0" fontId="27" fillId="0" borderId="32" xfId="0" applyFont="1" applyBorder="1"/>
    <xf numFmtId="10" fontId="27" fillId="34" borderId="11" xfId="0" applyNumberFormat="1" applyFont="1" applyFill="1" applyBorder="1" applyAlignment="1">
      <alignment horizontal="right"/>
    </xf>
    <xf numFmtId="10" fontId="27" fillId="34" borderId="14" xfId="0" applyNumberFormat="1" applyFont="1" applyFill="1" applyBorder="1" applyAlignment="1">
      <alignment horizontal="right"/>
    </xf>
    <xf numFmtId="10" fontId="27" fillId="34" borderId="25" xfId="0" applyNumberFormat="1" applyFont="1" applyFill="1" applyBorder="1" applyAlignment="1">
      <alignment horizontal="right"/>
    </xf>
    <xf numFmtId="10" fontId="27" fillId="0" borderId="24" xfId="0" applyNumberFormat="1" applyFont="1" applyFill="1" applyBorder="1" applyAlignment="1">
      <alignment vertical="center"/>
    </xf>
    <xf numFmtId="10" fontId="27" fillId="0" borderId="14" xfId="0" applyNumberFormat="1" applyFont="1" applyFill="1" applyBorder="1" applyAlignment="1">
      <alignment vertical="center"/>
    </xf>
    <xf numFmtId="0" fontId="27" fillId="0" borderId="33" xfId="0" applyFont="1" applyBorder="1"/>
    <xf numFmtId="10" fontId="27" fillId="34" borderId="19" xfId="0" applyNumberFormat="1" applyFont="1" applyFill="1" applyBorder="1" applyAlignment="1">
      <alignment horizontal="right"/>
    </xf>
    <xf numFmtId="10" fontId="27" fillId="34" borderId="22" xfId="0" applyNumberFormat="1" applyFont="1" applyFill="1" applyBorder="1" applyAlignment="1">
      <alignment horizontal="right"/>
    </xf>
    <xf numFmtId="10" fontId="27" fillId="34" borderId="31" xfId="0" applyNumberFormat="1" applyFont="1" applyFill="1" applyBorder="1" applyAlignment="1">
      <alignment horizontal="right"/>
    </xf>
    <xf numFmtId="10" fontId="27" fillId="0" borderId="30" xfId="0" applyNumberFormat="1" applyFont="1" applyFill="1" applyBorder="1" applyAlignment="1">
      <alignment vertical="center"/>
    </xf>
    <xf numFmtId="10" fontId="27" fillId="0" borderId="22" xfId="0" applyNumberFormat="1" applyFont="1" applyFill="1" applyBorder="1" applyAlignment="1">
      <alignment vertical="center"/>
    </xf>
    <xf numFmtId="166" fontId="18" fillId="37" borderId="0" xfId="4" applyNumberFormat="1" applyFont="1" applyFill="1" applyAlignment="1">
      <alignment vertical="center"/>
    </xf>
    <xf numFmtId="166" fontId="18" fillId="0" borderId="0" xfId="4" applyNumberFormat="1" applyFont="1" applyFill="1" applyAlignment="1">
      <alignment vertical="center"/>
    </xf>
    <xf numFmtId="166" fontId="18" fillId="36" borderId="0" xfId="4" applyNumberFormat="1" applyFont="1" applyFill="1" applyAlignment="1">
      <alignment vertical="center"/>
    </xf>
    <xf numFmtId="166" fontId="18" fillId="39" borderId="0" xfId="4" applyNumberFormat="1" applyFont="1" applyFill="1" applyAlignment="1">
      <alignment vertical="center"/>
    </xf>
    <xf numFmtId="0" fontId="25" fillId="0" borderId="0" xfId="0" applyFont="1"/>
    <xf numFmtId="0" fontId="25" fillId="0" borderId="32" xfId="0" applyFont="1" applyBorder="1" applyAlignment="1">
      <alignment vertical="center"/>
    </xf>
    <xf numFmtId="166" fontId="25" fillId="34" borderId="11" xfId="0" applyNumberFormat="1" applyFont="1" applyFill="1" applyBorder="1" applyAlignment="1">
      <alignment horizontal="right" vertical="center"/>
    </xf>
    <xf numFmtId="166" fontId="25" fillId="34" borderId="14" xfId="0" applyNumberFormat="1" applyFont="1" applyFill="1" applyBorder="1" applyAlignment="1">
      <alignment horizontal="right" vertical="center"/>
    </xf>
    <xf numFmtId="166" fontId="25" fillId="34" borderId="25" xfId="0" applyNumberFormat="1" applyFont="1" applyFill="1" applyBorder="1" applyAlignment="1">
      <alignment horizontal="right" vertical="center"/>
    </xf>
    <xf numFmtId="166" fontId="25" fillId="0" borderId="24" xfId="1" applyNumberFormat="1" applyFont="1" applyFill="1" applyBorder="1" applyAlignment="1">
      <alignment horizontal="right" vertical="center"/>
    </xf>
    <xf numFmtId="166" fontId="25" fillId="0" borderId="14" xfId="1" applyNumberFormat="1" applyFont="1" applyFill="1" applyBorder="1" applyAlignment="1">
      <alignment horizontal="right" vertical="center"/>
    </xf>
    <xf numFmtId="0" fontId="27" fillId="0" borderId="0" xfId="0" applyFont="1"/>
    <xf numFmtId="0" fontId="27" fillId="0" borderId="34" xfId="0" applyFont="1" applyBorder="1" applyAlignment="1">
      <alignment horizontal="left" vertical="center" indent="1"/>
    </xf>
    <xf numFmtId="166" fontId="27" fillId="34" borderId="15" xfId="0" applyNumberFormat="1" applyFont="1" applyFill="1" applyBorder="1" applyAlignment="1">
      <alignment horizontal="right" vertical="center"/>
    </xf>
    <xf numFmtId="166" fontId="27" fillId="34" borderId="18" xfId="0" applyNumberFormat="1" applyFont="1" applyFill="1" applyBorder="1" applyAlignment="1">
      <alignment horizontal="right" vertical="center"/>
    </xf>
    <xf numFmtId="166" fontId="27" fillId="34" borderId="28" xfId="0" applyNumberFormat="1" applyFont="1" applyFill="1" applyBorder="1" applyAlignment="1">
      <alignment horizontal="right" vertical="center"/>
    </xf>
    <xf numFmtId="166" fontId="27" fillId="0" borderId="27" xfId="1" applyNumberFormat="1" applyFont="1" applyFill="1" applyBorder="1" applyAlignment="1">
      <alignment horizontal="right" vertical="center"/>
    </xf>
    <xf numFmtId="166" fontId="27" fillId="0" borderId="18" xfId="1" applyNumberFormat="1" applyFont="1" applyFill="1" applyBorder="1" applyAlignment="1">
      <alignment horizontal="right" vertical="center"/>
    </xf>
    <xf numFmtId="0" fontId="27" fillId="0" borderId="34" xfId="0" applyFont="1" applyBorder="1" applyAlignment="1">
      <alignment horizontal="left" vertical="center" wrapText="1" indent="2"/>
    </xf>
    <xf numFmtId="166" fontId="27" fillId="34" borderId="15" xfId="0" applyNumberFormat="1" applyFont="1" applyFill="1" applyBorder="1" applyAlignment="1">
      <alignment horizontal="right" vertical="center" wrapText="1"/>
    </xf>
    <xf numFmtId="166" fontId="27" fillId="34" borderId="18" xfId="0" applyNumberFormat="1" applyFont="1" applyFill="1" applyBorder="1" applyAlignment="1">
      <alignment horizontal="right" vertical="center" wrapText="1"/>
    </xf>
    <xf numFmtId="166" fontId="27" fillId="34" borderId="28" xfId="0" applyNumberFormat="1" applyFont="1" applyFill="1" applyBorder="1" applyAlignment="1">
      <alignment horizontal="right" vertical="center" wrapText="1"/>
    </xf>
    <xf numFmtId="0" fontId="27" fillId="0" borderId="33" xfId="0" applyFont="1" applyBorder="1" applyAlignment="1">
      <alignment horizontal="left" vertical="center" wrapText="1" indent="2"/>
    </xf>
    <xf numFmtId="166" fontId="27" fillId="34" borderId="35" xfId="0" applyNumberFormat="1" applyFont="1" applyFill="1" applyBorder="1" applyAlignment="1">
      <alignment horizontal="right" vertical="center" wrapText="1"/>
    </xf>
    <xf numFmtId="166" fontId="27" fillId="34" borderId="36" xfId="0" applyNumberFormat="1" applyFont="1" applyFill="1" applyBorder="1" applyAlignment="1">
      <alignment horizontal="right" vertical="center" wrapText="1"/>
    </xf>
    <xf numFmtId="166" fontId="27" fillId="34" borderId="37" xfId="0" applyNumberFormat="1" applyFont="1" applyFill="1" applyBorder="1" applyAlignment="1">
      <alignment horizontal="right" vertical="center" wrapText="1"/>
    </xf>
    <xf numFmtId="166" fontId="27" fillId="0" borderId="38" xfId="1" applyNumberFormat="1" applyFont="1" applyFill="1" applyBorder="1" applyAlignment="1">
      <alignment horizontal="right" vertical="center"/>
    </xf>
    <xf numFmtId="166" fontId="27" fillId="0" borderId="36" xfId="1" applyNumberFormat="1" applyFont="1" applyFill="1" applyBorder="1" applyAlignment="1">
      <alignment horizontal="right" vertical="center"/>
    </xf>
    <xf numFmtId="0" fontId="27" fillId="0" borderId="34" xfId="0" applyFont="1" applyBorder="1" applyAlignment="1">
      <alignment horizontal="left" vertical="center" wrapText="1" indent="1"/>
    </xf>
    <xf numFmtId="0" fontId="25" fillId="0" borderId="34" xfId="0" applyFont="1" applyBorder="1" applyAlignment="1">
      <alignment horizontal="left" vertical="center" indent="1"/>
    </xf>
    <xf numFmtId="166" fontId="25" fillId="34" borderId="15" xfId="0" applyNumberFormat="1" applyFont="1" applyFill="1" applyBorder="1" applyAlignment="1">
      <alignment horizontal="right" vertical="center"/>
    </xf>
    <xf numFmtId="166" fontId="25" fillId="34" borderId="18" xfId="0" applyNumberFormat="1" applyFont="1" applyFill="1" applyBorder="1" applyAlignment="1">
      <alignment horizontal="right" vertical="center"/>
    </xf>
    <xf numFmtId="166" fontId="25" fillId="34" borderId="28" xfId="0" applyNumberFormat="1" applyFont="1" applyFill="1" applyBorder="1" applyAlignment="1">
      <alignment horizontal="right" vertical="center"/>
    </xf>
    <xf numFmtId="166" fontId="25" fillId="0" borderId="27" xfId="1" applyNumberFormat="1" applyFont="1" applyFill="1" applyBorder="1" applyAlignment="1">
      <alignment horizontal="right" vertical="center"/>
    </xf>
    <xf numFmtId="166" fontId="25" fillId="0" borderId="18" xfId="1" applyNumberFormat="1" applyFont="1" applyFill="1" applyBorder="1" applyAlignment="1">
      <alignment horizontal="right" vertical="center"/>
    </xf>
    <xf numFmtId="166" fontId="27" fillId="34" borderId="19" xfId="0" applyNumberFormat="1" applyFont="1" applyFill="1" applyBorder="1" applyAlignment="1">
      <alignment horizontal="right" vertical="center" wrapText="1"/>
    </xf>
    <xf numFmtId="166" fontId="27" fillId="34" borderId="22" xfId="0" applyNumberFormat="1" applyFont="1" applyFill="1" applyBorder="1" applyAlignment="1">
      <alignment horizontal="right" vertical="center" wrapText="1"/>
    </xf>
    <xf numFmtId="166" fontId="27" fillId="34" borderId="31" xfId="0" applyNumberFormat="1" applyFont="1" applyFill="1" applyBorder="1" applyAlignment="1">
      <alignment horizontal="right" vertical="center" wrapText="1"/>
    </xf>
    <xf numFmtId="166" fontId="27" fillId="0" borderId="30" xfId="1" applyNumberFormat="1" applyFont="1" applyFill="1" applyBorder="1" applyAlignment="1">
      <alignment horizontal="right" vertical="center"/>
    </xf>
    <xf numFmtId="166" fontId="27" fillId="0" borderId="22" xfId="1" applyNumberFormat="1" applyFont="1" applyFill="1" applyBorder="1" applyAlignment="1">
      <alignment horizontal="right" vertical="center"/>
    </xf>
    <xf numFmtId="0" fontId="39" fillId="0" borderId="0" xfId="0" applyFont="1" applyFill="1"/>
    <xf numFmtId="0" fontId="27" fillId="0" borderId="0" xfId="0" applyFont="1" applyAlignment="1">
      <alignment vertical="center"/>
    </xf>
    <xf numFmtId="164" fontId="25" fillId="34" borderId="11" xfId="0" applyNumberFormat="1" applyFont="1" applyFill="1" applyBorder="1" applyAlignment="1">
      <alignment horizontal="right" vertical="center"/>
    </xf>
    <xf numFmtId="164" fontId="25" fillId="34" borderId="14" xfId="0" applyNumberFormat="1" applyFont="1" applyFill="1" applyBorder="1" applyAlignment="1">
      <alignment horizontal="right" vertical="center"/>
    </xf>
    <xf numFmtId="164" fontId="25" fillId="34" borderId="25" xfId="0" applyNumberFormat="1" applyFont="1" applyFill="1" applyBorder="1" applyAlignment="1">
      <alignment horizontal="right" vertical="center"/>
    </xf>
    <xf numFmtId="164" fontId="25" fillId="0" borderId="24" xfId="0" applyNumberFormat="1" applyFont="1" applyBorder="1" applyAlignment="1">
      <alignment vertical="center"/>
    </xf>
    <xf numFmtId="164" fontId="25" fillId="0" borderId="14" xfId="0" applyNumberFormat="1" applyFont="1" applyBorder="1" applyAlignment="1">
      <alignment vertical="center"/>
    </xf>
    <xf numFmtId="164" fontId="27" fillId="34" borderId="15" xfId="0" applyNumberFormat="1" applyFont="1" applyFill="1" applyBorder="1" applyAlignment="1">
      <alignment horizontal="right" vertical="center"/>
    </xf>
    <xf numFmtId="164" fontId="27" fillId="34" borderId="18" xfId="0" applyNumberFormat="1" applyFont="1" applyFill="1" applyBorder="1" applyAlignment="1">
      <alignment horizontal="right" vertical="center"/>
    </xf>
    <xf numFmtId="164" fontId="27" fillId="34" borderId="28" xfId="0" applyNumberFormat="1" applyFont="1" applyFill="1" applyBorder="1" applyAlignment="1">
      <alignment horizontal="right" vertical="center"/>
    </xf>
    <xf numFmtId="164" fontId="27" fillId="0" borderId="27" xfId="0" applyNumberFormat="1" applyFont="1" applyBorder="1" applyAlignment="1">
      <alignment vertical="center"/>
    </xf>
    <xf numFmtId="164" fontId="27" fillId="0" borderId="18" xfId="0" applyNumberFormat="1" applyFont="1" applyBorder="1" applyAlignment="1">
      <alignment vertical="center"/>
    </xf>
    <xf numFmtId="164" fontId="27" fillId="34" borderId="15" xfId="0" applyNumberFormat="1" applyFont="1" applyFill="1" applyBorder="1" applyAlignment="1">
      <alignment horizontal="right" vertical="center" wrapText="1"/>
    </xf>
    <xf numFmtId="164" fontId="27" fillId="34" borderId="18" xfId="0" applyNumberFormat="1" applyFont="1" applyFill="1" applyBorder="1" applyAlignment="1">
      <alignment horizontal="right" vertical="center" wrapText="1"/>
    </xf>
    <xf numFmtId="164" fontId="27" fillId="34" borderId="28" xfId="0" applyNumberFormat="1" applyFont="1" applyFill="1" applyBorder="1" applyAlignment="1">
      <alignment horizontal="right" vertical="center" wrapText="1"/>
    </xf>
    <xf numFmtId="164" fontId="27" fillId="34" borderId="19" xfId="0" applyNumberFormat="1" applyFont="1" applyFill="1" applyBorder="1" applyAlignment="1">
      <alignment horizontal="right" vertical="center" wrapText="1"/>
    </xf>
    <xf numFmtId="164" fontId="27" fillId="34" borderId="22" xfId="0" applyNumberFormat="1" applyFont="1" applyFill="1" applyBorder="1" applyAlignment="1">
      <alignment horizontal="right" vertical="center" wrapText="1"/>
    </xf>
    <xf numFmtId="164" fontId="27" fillId="34" borderId="31" xfId="0" applyNumberFormat="1" applyFont="1" applyFill="1" applyBorder="1" applyAlignment="1">
      <alignment horizontal="right" vertical="center" wrapText="1"/>
    </xf>
    <xf numFmtId="164" fontId="27" fillId="0" borderId="30" xfId="0" applyNumberFormat="1" applyFont="1" applyBorder="1" applyAlignment="1">
      <alignment vertical="center"/>
    </xf>
    <xf numFmtId="164" fontId="27" fillId="0" borderId="22" xfId="0" applyNumberFormat="1" applyFont="1" applyBorder="1" applyAlignment="1">
      <alignment vertical="center"/>
    </xf>
    <xf numFmtId="164" fontId="25" fillId="34" borderId="15" xfId="0" applyNumberFormat="1" applyFont="1" applyFill="1" applyBorder="1" applyAlignment="1">
      <alignment horizontal="right" vertical="center"/>
    </xf>
    <xf numFmtId="164" fontId="25" fillId="34" borderId="18" xfId="0" applyNumberFormat="1" applyFont="1" applyFill="1" applyBorder="1" applyAlignment="1">
      <alignment horizontal="right" vertical="center"/>
    </xf>
    <xf numFmtId="164" fontId="25" fillId="34" borderId="28" xfId="0" applyNumberFormat="1" applyFont="1" applyFill="1" applyBorder="1" applyAlignment="1">
      <alignment horizontal="right" vertical="center"/>
    </xf>
    <xf numFmtId="164" fontId="25" fillId="0" borderId="27" xfId="0" applyNumberFormat="1" applyFont="1" applyBorder="1" applyAlignment="1">
      <alignment vertical="center"/>
    </xf>
    <xf numFmtId="164" fontId="25" fillId="0" borderId="18" xfId="0" applyNumberFormat="1" applyFont="1" applyBorder="1" applyAlignment="1">
      <alignment vertical="center"/>
    </xf>
    <xf numFmtId="164" fontId="25" fillId="34" borderId="11" xfId="0" applyNumberFormat="1" applyFont="1" applyFill="1" applyBorder="1" applyAlignment="1">
      <alignment vertical="center"/>
    </xf>
    <xf numFmtId="164" fontId="25" fillId="34" borderId="14" xfId="0" applyNumberFormat="1" applyFont="1" applyFill="1" applyBorder="1" applyAlignment="1">
      <alignment vertical="center"/>
    </xf>
    <xf numFmtId="164" fontId="25" fillId="34" borderId="25" xfId="0" applyNumberFormat="1" applyFont="1" applyFill="1" applyBorder="1" applyAlignment="1">
      <alignment vertical="center"/>
    </xf>
    <xf numFmtId="164" fontId="27" fillId="34" borderId="15" xfId="0" applyNumberFormat="1" applyFont="1" applyFill="1" applyBorder="1" applyAlignment="1">
      <alignment vertical="center"/>
    </xf>
    <xf numFmtId="164" fontId="27" fillId="34" borderId="18" xfId="0" applyNumberFormat="1" applyFont="1" applyFill="1" applyBorder="1" applyAlignment="1">
      <alignment vertical="center"/>
    </xf>
    <xf numFmtId="164" fontId="27" fillId="34" borderId="28" xfId="0" applyNumberFormat="1" applyFont="1" applyFill="1" applyBorder="1" applyAlignment="1">
      <alignment vertical="center"/>
    </xf>
    <xf numFmtId="164" fontId="27" fillId="34" borderId="19" xfId="0" applyNumberFormat="1" applyFont="1" applyFill="1" applyBorder="1" applyAlignment="1">
      <alignment vertical="center"/>
    </xf>
    <xf numFmtId="164" fontId="27" fillId="34" borderId="22" xfId="0" applyNumberFormat="1" applyFont="1" applyFill="1" applyBorder="1" applyAlignment="1">
      <alignment vertical="center"/>
    </xf>
    <xf numFmtId="164" fontId="27" fillId="34" borderId="31" xfId="0" applyNumberFormat="1" applyFont="1" applyFill="1" applyBorder="1" applyAlignment="1">
      <alignment vertical="center"/>
    </xf>
    <xf numFmtId="164" fontId="25" fillId="34" borderId="15" xfId="0" applyNumberFormat="1" applyFont="1" applyFill="1" applyBorder="1" applyAlignment="1">
      <alignment vertical="center"/>
    </xf>
    <xf numFmtId="164" fontId="25" fillId="34" borderId="18" xfId="0" applyNumberFormat="1" applyFont="1" applyFill="1" applyBorder="1" applyAlignment="1">
      <alignment vertical="center"/>
    </xf>
    <xf numFmtId="164" fontId="25" fillId="34" borderId="28" xfId="0" applyNumberFormat="1" applyFont="1" applyFill="1" applyBorder="1" applyAlignment="1">
      <alignment vertical="center"/>
    </xf>
    <xf numFmtId="0" fontId="40" fillId="0" borderId="0" xfId="0" applyFont="1" applyAlignment="1">
      <alignment horizontal="left" indent="1"/>
    </xf>
    <xf numFmtId="0" fontId="40" fillId="0" borderId="0" xfId="0" applyFont="1" applyFill="1" applyAlignment="1">
      <alignment horizontal="left" indent="1"/>
    </xf>
    <xf numFmtId="164" fontId="18" fillId="0" borderId="0" xfId="0" applyNumberFormat="1" applyFont="1"/>
    <xf numFmtId="0" fontId="41" fillId="0" borderId="0" xfId="0" applyFont="1"/>
    <xf numFmtId="0" fontId="25" fillId="0" borderId="32" xfId="2" applyFont="1" applyFill="1" applyBorder="1" applyAlignment="1">
      <alignment vertical="center" wrapText="1"/>
    </xf>
    <xf numFmtId="166" fontId="25" fillId="34" borderId="11" xfId="2" applyNumberFormat="1" applyFont="1" applyFill="1" applyBorder="1" applyAlignment="1">
      <alignment horizontal="right" vertical="center" wrapText="1"/>
    </xf>
    <xf numFmtId="166" fontId="25" fillId="34" borderId="14" xfId="2" applyNumberFormat="1" applyFont="1" applyFill="1" applyBorder="1" applyAlignment="1">
      <alignment horizontal="right" vertical="center" wrapText="1"/>
    </xf>
    <xf numFmtId="166" fontId="25" fillId="34" borderId="25" xfId="2" applyNumberFormat="1" applyFont="1" applyFill="1" applyBorder="1" applyAlignment="1">
      <alignment horizontal="right" vertical="center" wrapText="1"/>
    </xf>
    <xf numFmtId="166" fontId="25" fillId="0" borderId="24" xfId="1" applyNumberFormat="1" applyFont="1" applyFill="1" applyBorder="1" applyAlignment="1">
      <alignment horizontal="right" vertical="center" wrapText="1"/>
    </xf>
    <xf numFmtId="166" fontId="25" fillId="0" borderId="14" xfId="1" applyNumberFormat="1" applyFont="1" applyFill="1" applyBorder="1" applyAlignment="1">
      <alignment horizontal="right" vertical="center" wrapText="1"/>
    </xf>
    <xf numFmtId="0" fontId="27" fillId="0" borderId="34" xfId="2" applyFont="1" applyFill="1" applyBorder="1" applyAlignment="1">
      <alignment horizontal="left" vertical="center" wrapText="1" indent="1"/>
    </xf>
    <xf numFmtId="166" fontId="27" fillId="34" borderId="15" xfId="2" applyNumberFormat="1" applyFont="1" applyFill="1" applyBorder="1" applyAlignment="1">
      <alignment horizontal="right" vertical="center" wrapText="1"/>
    </xf>
    <xf numFmtId="166" fontId="27" fillId="34" borderId="18" xfId="2" applyNumberFormat="1" applyFont="1" applyFill="1" applyBorder="1" applyAlignment="1">
      <alignment horizontal="right" vertical="center" wrapText="1"/>
    </xf>
    <xf numFmtId="166" fontId="27" fillId="34" borderId="28" xfId="2" applyNumberFormat="1" applyFont="1" applyFill="1" applyBorder="1" applyAlignment="1">
      <alignment horizontal="right" vertical="center" wrapText="1"/>
    </xf>
    <xf numFmtId="166" fontId="27" fillId="0" borderId="27" xfId="1" applyNumberFormat="1" applyFont="1" applyFill="1" applyBorder="1" applyAlignment="1">
      <alignment horizontal="right" vertical="center" wrapText="1"/>
    </xf>
    <xf numFmtId="166" fontId="27" fillId="0" borderId="18" xfId="1" applyNumberFormat="1" applyFont="1" applyFill="1" applyBorder="1" applyAlignment="1">
      <alignment horizontal="right" vertical="center" wrapText="1"/>
    </xf>
    <xf numFmtId="0" fontId="27" fillId="0" borderId="34" xfId="2" applyFont="1" applyFill="1" applyBorder="1" applyAlignment="1">
      <alignment horizontal="left" vertical="center" wrapText="1" indent="2"/>
    </xf>
    <xf numFmtId="166" fontId="25" fillId="34" borderId="15" xfId="2" applyNumberFormat="1" applyFont="1" applyFill="1" applyBorder="1" applyAlignment="1">
      <alignment horizontal="right" vertical="center" wrapText="1"/>
    </xf>
    <xf numFmtId="166" fontId="25" fillId="34" borderId="18" xfId="2" applyNumberFormat="1" applyFont="1" applyFill="1" applyBorder="1" applyAlignment="1">
      <alignment horizontal="right" vertical="center" wrapText="1"/>
    </xf>
    <xf numFmtId="166" fontId="25" fillId="34" borderId="28" xfId="2" applyNumberFormat="1" applyFont="1" applyFill="1" applyBorder="1" applyAlignment="1">
      <alignment horizontal="right" vertical="center" wrapText="1"/>
    </xf>
    <xf numFmtId="0" fontId="27" fillId="0" borderId="34" xfId="2" applyNumberFormat="1" applyFont="1" applyFill="1" applyBorder="1" applyAlignment="1">
      <alignment horizontal="left" vertical="center" wrapText="1" indent="2"/>
    </xf>
    <xf numFmtId="0" fontId="27" fillId="0" borderId="33" xfId="2" applyFont="1" applyFill="1" applyBorder="1" applyAlignment="1">
      <alignment horizontal="left" vertical="center" wrapText="1" indent="2"/>
    </xf>
    <xf numFmtId="166" fontId="25" fillId="34" borderId="19" xfId="2" applyNumberFormat="1" applyFont="1" applyFill="1" applyBorder="1" applyAlignment="1">
      <alignment horizontal="right" vertical="center" wrapText="1"/>
    </xf>
    <xf numFmtId="166" fontId="25" fillId="34" borderId="22" xfId="2" applyNumberFormat="1" applyFont="1" applyFill="1" applyBorder="1" applyAlignment="1">
      <alignment horizontal="right" vertical="center" wrapText="1"/>
    </xf>
    <xf numFmtId="166" fontId="25" fillId="34" borderId="31" xfId="2" applyNumberFormat="1" applyFont="1" applyFill="1" applyBorder="1" applyAlignment="1">
      <alignment horizontal="right" vertical="center" wrapText="1"/>
    </xf>
    <xf numFmtId="166" fontId="27" fillId="0" borderId="30" xfId="1" applyNumberFormat="1" applyFont="1" applyFill="1" applyBorder="1" applyAlignment="1">
      <alignment horizontal="right" vertical="center" wrapText="1"/>
    </xf>
    <xf numFmtId="166" fontId="27" fillId="0" borderId="22" xfId="1" applyNumberFormat="1" applyFont="1" applyFill="1" applyBorder="1" applyAlignment="1">
      <alignment horizontal="right" vertical="center" wrapText="1"/>
    </xf>
    <xf numFmtId="0" fontId="27" fillId="0" borderId="34" xfId="2" applyFont="1" applyFill="1" applyBorder="1" applyAlignment="1">
      <alignment horizontal="left" vertical="center" wrapText="1" indent="3"/>
    </xf>
    <xf numFmtId="166" fontId="27" fillId="34" borderId="19" xfId="2" applyNumberFormat="1" applyFont="1" applyFill="1" applyBorder="1" applyAlignment="1">
      <alignment horizontal="right" vertical="center" wrapText="1"/>
    </xf>
    <xf numFmtId="166" fontId="27" fillId="34" borderId="22" xfId="2" applyNumberFormat="1" applyFont="1" applyFill="1" applyBorder="1" applyAlignment="1">
      <alignment horizontal="right" vertical="center" wrapText="1"/>
    </xf>
    <xf numFmtId="166" fontId="27" fillId="34" borderId="31" xfId="2" applyNumberFormat="1" applyFont="1" applyFill="1" applyBorder="1" applyAlignment="1">
      <alignment horizontal="right" vertical="center" wrapText="1"/>
    </xf>
    <xf numFmtId="0" fontId="25" fillId="0" borderId="39" xfId="2" applyFont="1" applyFill="1" applyBorder="1" applyAlignment="1">
      <alignment vertical="center" wrapText="1"/>
    </xf>
    <xf numFmtId="0" fontId="25" fillId="0" borderId="0" xfId="2" applyFont="1" applyFill="1" applyBorder="1" applyAlignment="1">
      <alignment vertical="center" wrapText="1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Border="1"/>
    <xf numFmtId="0" fontId="27" fillId="0" borderId="32" xfId="2" applyFont="1" applyFill="1" applyBorder="1" applyAlignment="1">
      <alignment horizontal="left" vertical="center" wrapText="1" indent="1"/>
    </xf>
    <xf numFmtId="166" fontId="27" fillId="34" borderId="11" xfId="2" applyNumberFormat="1" applyFont="1" applyFill="1" applyBorder="1" applyAlignment="1">
      <alignment horizontal="right" vertical="center" wrapText="1"/>
    </xf>
    <xf numFmtId="166" fontId="27" fillId="34" borderId="14" xfId="2" applyNumberFormat="1" applyFont="1" applyFill="1" applyBorder="1" applyAlignment="1">
      <alignment horizontal="right" vertical="center" wrapText="1"/>
    </xf>
    <xf numFmtId="166" fontId="27" fillId="34" borderId="25" xfId="2" applyNumberFormat="1" applyFont="1" applyFill="1" applyBorder="1" applyAlignment="1">
      <alignment horizontal="right" vertical="center" wrapText="1"/>
    </xf>
    <xf numFmtId="166" fontId="27" fillId="0" borderId="24" xfId="1" applyNumberFormat="1" applyFont="1" applyFill="1" applyBorder="1" applyAlignment="1">
      <alignment horizontal="right" vertical="center" wrapText="1"/>
    </xf>
    <xf numFmtId="166" fontId="27" fillId="0" borderId="14" xfId="1" applyNumberFormat="1" applyFont="1" applyFill="1" applyBorder="1" applyAlignment="1">
      <alignment horizontal="right" vertical="center" wrapText="1"/>
    </xf>
    <xf numFmtId="0" fontId="27" fillId="0" borderId="33" xfId="2" applyFont="1" applyFill="1" applyBorder="1" applyAlignment="1">
      <alignment horizontal="left" vertical="center" wrapText="1" indent="1"/>
    </xf>
    <xf numFmtId="0" fontId="22" fillId="0" borderId="0" xfId="0" applyFont="1" applyBorder="1" applyAlignment="1" applyProtection="1">
      <alignment vertical="center" wrapText="1"/>
      <protection locked="0"/>
    </xf>
    <xf numFmtId="0" fontId="20" fillId="0" borderId="0" xfId="0" applyFont="1" applyBorder="1" applyAlignment="1" applyProtection="1">
      <alignment horizontal="center" vertical="center" wrapText="1"/>
      <protection locked="0"/>
    </xf>
    <xf numFmtId="0" fontId="18" fillId="0" borderId="0" xfId="0" applyFont="1" applyBorder="1" applyAlignment="1" applyProtection="1">
      <alignment horizontal="center" vertical="center" wrapText="1"/>
      <protection locked="0"/>
    </xf>
    <xf numFmtId="1" fontId="20" fillId="33" borderId="14" xfId="2" applyNumberFormat="1" applyFont="1" applyFill="1" applyBorder="1" applyAlignment="1">
      <alignment horizontal="center" vertical="center" wrapText="1"/>
    </xf>
    <xf numFmtId="0" fontId="61" fillId="0" borderId="0" xfId="0" applyNumberFormat="1" applyFont="1" applyFill="1" applyBorder="1" applyAlignment="1" applyProtection="1">
      <alignment vertical="top"/>
    </xf>
    <xf numFmtId="0" fontId="62" fillId="0" borderId="0" xfId="0" applyNumberFormat="1" applyFont="1" applyFill="1" applyBorder="1" applyAlignment="1" applyProtection="1">
      <alignment vertical="top"/>
    </xf>
    <xf numFmtId="0" fontId="52" fillId="0" borderId="0" xfId="0" applyNumberFormat="1" applyFont="1" applyFill="1" applyBorder="1" applyAlignment="1" applyProtection="1">
      <alignment vertical="top"/>
    </xf>
    <xf numFmtId="0" fontId="63" fillId="0" borderId="0" xfId="0" applyNumberFormat="1" applyFont="1" applyFill="1" applyBorder="1" applyAlignment="1" applyProtection="1">
      <alignment vertical="top"/>
    </xf>
    <xf numFmtId="0" fontId="64" fillId="0" borderId="0" xfId="0" applyNumberFormat="1" applyFont="1" applyFill="1" applyBorder="1" applyAlignment="1" applyProtection="1">
      <alignment vertical="top"/>
    </xf>
    <xf numFmtId="0" fontId="65" fillId="0" borderId="53" xfId="0" applyNumberFormat="1" applyFont="1" applyFill="1" applyBorder="1" applyAlignment="1" applyProtection="1">
      <alignment horizontal="center" vertical="top"/>
    </xf>
    <xf numFmtId="0" fontId="66" fillId="0" borderId="53" xfId="0" applyNumberFormat="1" applyFont="1" applyFill="1" applyBorder="1" applyAlignment="1" applyProtection="1">
      <alignment horizontal="center" vertical="top"/>
    </xf>
    <xf numFmtId="0" fontId="52" fillId="0" borderId="53" xfId="0" applyNumberFormat="1" applyFont="1" applyFill="1" applyBorder="1" applyAlignment="1" applyProtection="1">
      <alignment horizontal="left" vertical="top"/>
    </xf>
    <xf numFmtId="4" fontId="69" fillId="0" borderId="53" xfId="0" applyNumberFormat="1" applyFont="1" applyFill="1" applyBorder="1" applyAlignment="1" applyProtection="1">
      <alignment horizontal="right" vertical="top"/>
    </xf>
    <xf numFmtId="4" fontId="70" fillId="0" borderId="53" xfId="0" applyNumberFormat="1" applyFont="1" applyFill="1" applyBorder="1" applyAlignment="1" applyProtection="1">
      <alignment horizontal="right" vertical="top"/>
    </xf>
    <xf numFmtId="0" fontId="70" fillId="0" borderId="0" xfId="0" applyNumberFormat="1" applyFont="1" applyFill="1" applyBorder="1" applyAlignment="1" applyProtection="1">
      <alignment vertical="top" wrapText="1"/>
    </xf>
    <xf numFmtId="0" fontId="70" fillId="0" borderId="53" xfId="0" applyNumberFormat="1" applyFont="1" applyFill="1" applyBorder="1" applyAlignment="1" applyProtection="1">
      <alignment horizontal="left" vertical="top" wrapText="1"/>
    </xf>
    <xf numFmtId="0" fontId="65" fillId="0" borderId="53" xfId="0" applyNumberFormat="1" applyFont="1" applyFill="1" applyBorder="1" applyAlignment="1" applyProtection="1">
      <alignment horizontal="center" vertical="top" wrapText="1"/>
    </xf>
    <xf numFmtId="0" fontId="73" fillId="0" borderId="53" xfId="0" applyNumberFormat="1" applyFont="1" applyFill="1" applyBorder="1" applyAlignment="1" applyProtection="1">
      <alignment horizontal="center" vertical="center"/>
    </xf>
    <xf numFmtId="0" fontId="65" fillId="0" borderId="51" xfId="0" applyNumberFormat="1" applyFont="1" applyFill="1" applyBorder="1" applyAlignment="1" applyProtection="1">
      <alignment horizontal="center" vertical="top"/>
    </xf>
    <xf numFmtId="0" fontId="73" fillId="0" borderId="51" xfId="0" applyNumberFormat="1" applyFont="1" applyFill="1" applyBorder="1" applyAlignment="1" applyProtection="1">
      <alignment horizontal="center" vertical="center"/>
    </xf>
    <xf numFmtId="4" fontId="69" fillId="0" borderId="51" xfId="0" applyNumberFormat="1" applyFont="1" applyFill="1" applyBorder="1" applyAlignment="1" applyProtection="1">
      <alignment horizontal="right" vertical="top"/>
    </xf>
    <xf numFmtId="4" fontId="70" fillId="0" borderId="51" xfId="0" applyNumberFormat="1" applyFont="1" applyFill="1" applyBorder="1" applyAlignment="1" applyProtection="1">
      <alignment horizontal="right" vertical="top"/>
    </xf>
    <xf numFmtId="0" fontId="72" fillId="0" borderId="54" xfId="0" applyNumberFormat="1" applyFont="1" applyFill="1" applyBorder="1" applyAlignment="1" applyProtection="1">
      <alignment horizontal="center" vertical="top" wrapText="1"/>
    </xf>
    <xf numFmtId="0" fontId="73" fillId="0" borderId="54" xfId="0" applyNumberFormat="1" applyFont="1" applyFill="1" applyBorder="1" applyAlignment="1" applyProtection="1">
      <alignment horizontal="center" vertical="center"/>
    </xf>
    <xf numFmtId="10" fontId="69" fillId="0" borderId="54" xfId="0" applyNumberFormat="1" applyFont="1" applyFill="1" applyBorder="1" applyAlignment="1" applyProtection="1">
      <alignment horizontal="right" vertical="top"/>
    </xf>
    <xf numFmtId="10" fontId="70" fillId="0" borderId="54" xfId="0" applyNumberFormat="1" applyFont="1" applyFill="1" applyBorder="1" applyAlignment="1" applyProtection="1">
      <alignment horizontal="right" vertical="top"/>
    </xf>
    <xf numFmtId="1" fontId="20" fillId="33" borderId="24" xfId="2" applyNumberFormat="1" applyFont="1" applyFill="1" applyBorder="1" applyAlignment="1">
      <alignment horizontal="center" vertical="center"/>
    </xf>
    <xf numFmtId="164" fontId="25" fillId="0" borderId="27" xfId="2" applyNumberFormat="1" applyFont="1" applyFill="1" applyBorder="1" applyAlignment="1">
      <alignment vertical="center" shrinkToFit="1"/>
    </xf>
    <xf numFmtId="164" fontId="27" fillId="0" borderId="27" xfId="2" applyNumberFormat="1" applyFont="1" applyFill="1" applyBorder="1" applyAlignment="1">
      <alignment vertical="center" shrinkToFit="1"/>
    </xf>
    <xf numFmtId="165" fontId="27" fillId="0" borderId="27" xfId="2" applyNumberFormat="1" applyFont="1" applyFill="1" applyBorder="1" applyAlignment="1">
      <alignment vertical="center" shrinkToFit="1"/>
    </xf>
    <xf numFmtId="164" fontId="25" fillId="0" borderId="27" xfId="2" applyNumberFormat="1" applyFont="1" applyFill="1" applyBorder="1" applyAlignment="1">
      <alignment horizontal="center" vertical="center" shrinkToFit="1"/>
    </xf>
    <xf numFmtId="0" fontId="27" fillId="0" borderId="27" xfId="2" applyNumberFormat="1" applyFont="1" applyFill="1" applyBorder="1" applyAlignment="1">
      <alignment horizontal="center" vertical="center" shrinkToFit="1"/>
    </xf>
    <xf numFmtId="164" fontId="27" fillId="0" borderId="30" xfId="2" applyNumberFormat="1" applyFont="1" applyFill="1" applyBorder="1" applyAlignment="1">
      <alignment vertical="center" shrinkToFit="1"/>
    </xf>
    <xf numFmtId="1" fontId="60" fillId="33" borderId="59" xfId="2" applyNumberFormat="1" applyFont="1" applyFill="1" applyBorder="1" applyAlignment="1">
      <alignment horizontal="center" vertical="center" wrapText="1"/>
    </xf>
    <xf numFmtId="10" fontId="25" fillId="0" borderId="60" xfId="2" applyNumberFormat="1" applyFont="1" applyFill="1" applyBorder="1" applyAlignment="1">
      <alignment vertical="center" shrinkToFit="1"/>
    </xf>
    <xf numFmtId="10" fontId="27" fillId="0" borderId="60" xfId="2" applyNumberFormat="1" applyFont="1" applyFill="1" applyBorder="1" applyAlignment="1">
      <alignment vertical="center" shrinkToFit="1"/>
    </xf>
    <xf numFmtId="10" fontId="25" fillId="0" borderId="60" xfId="2" applyNumberFormat="1" applyFont="1" applyFill="1" applyBorder="1" applyAlignment="1">
      <alignment horizontal="center" vertical="center" shrinkToFit="1"/>
    </xf>
    <xf numFmtId="10" fontId="27" fillId="0" borderId="60" xfId="2" applyNumberFormat="1" applyFont="1" applyFill="1" applyBorder="1" applyAlignment="1">
      <alignment horizontal="center" vertical="center" shrinkToFit="1"/>
    </xf>
    <xf numFmtId="10" fontId="27" fillId="0" borderId="61" xfId="2" applyNumberFormat="1" applyFont="1" applyFill="1" applyBorder="1" applyAlignment="1">
      <alignment vertical="center" shrinkToFit="1"/>
    </xf>
    <xf numFmtId="10" fontId="25" fillId="0" borderId="60" xfId="2" applyNumberFormat="1" applyFont="1" applyFill="1" applyBorder="1" applyAlignment="1">
      <alignment horizontal="center" shrinkToFit="1"/>
    </xf>
    <xf numFmtId="0" fontId="71" fillId="0" borderId="0" xfId="0" applyNumberFormat="1" applyFont="1" applyFill="1" applyBorder="1" applyAlignment="1" applyProtection="1">
      <alignment vertical="top"/>
    </xf>
    <xf numFmtId="0" fontId="19" fillId="0" borderId="0" xfId="0" applyFont="1" applyBorder="1" applyAlignment="1" applyProtection="1">
      <alignment horizontal="left"/>
      <protection locked="0"/>
    </xf>
    <xf numFmtId="0" fontId="19" fillId="0" borderId="10" xfId="0" applyFont="1" applyBorder="1" applyAlignment="1" applyProtection="1">
      <alignment horizontal="left"/>
      <protection locked="0"/>
    </xf>
    <xf numFmtId="0" fontId="34" fillId="0" borderId="26" xfId="3" applyFont="1" applyBorder="1" applyAlignment="1">
      <alignment horizontal="left" vertical="center"/>
    </xf>
    <xf numFmtId="0" fontId="34" fillId="0" borderId="17" xfId="3" applyFont="1" applyBorder="1" applyAlignment="1">
      <alignment horizontal="left" vertical="center"/>
    </xf>
    <xf numFmtId="0" fontId="34" fillId="0" borderId="27" xfId="3" applyFont="1" applyBorder="1" applyAlignment="1">
      <alignment horizontal="left" vertical="center"/>
    </xf>
    <xf numFmtId="0" fontId="34" fillId="0" borderId="29" xfId="3" applyFont="1" applyBorder="1" applyAlignment="1">
      <alignment horizontal="left" vertical="center"/>
    </xf>
    <xf numFmtId="0" fontId="34" fillId="0" borderId="21" xfId="3" applyFont="1" applyBorder="1" applyAlignment="1">
      <alignment horizontal="left" vertical="center"/>
    </xf>
    <xf numFmtId="0" fontId="34" fillId="0" borderId="30" xfId="3" applyFont="1" applyBorder="1" applyAlignment="1">
      <alignment horizontal="left" vertical="center"/>
    </xf>
    <xf numFmtId="0" fontId="34" fillId="0" borderId="23" xfId="3" applyFont="1" applyBorder="1" applyAlignment="1">
      <alignment horizontal="left" vertical="center"/>
    </xf>
    <xf numFmtId="0" fontId="34" fillId="0" borderId="13" xfId="3" applyFont="1" applyBorder="1" applyAlignment="1">
      <alignment horizontal="left" vertical="center"/>
    </xf>
    <xf numFmtId="0" fontId="34" fillId="0" borderId="24" xfId="3" applyFont="1" applyBorder="1" applyAlignment="1">
      <alignment horizontal="left" vertical="center"/>
    </xf>
    <xf numFmtId="0" fontId="26" fillId="0" borderId="17" xfId="0" applyFont="1" applyBorder="1" applyAlignment="1">
      <alignment horizontal="left" vertical="center" wrapText="1"/>
    </xf>
    <xf numFmtId="0" fontId="26" fillId="0" borderId="21" xfId="0" applyFont="1" applyBorder="1" applyAlignment="1">
      <alignment horizontal="left" vertical="center" wrapText="1"/>
    </xf>
    <xf numFmtId="0" fontId="24" fillId="0" borderId="16" xfId="0" applyFont="1" applyBorder="1" applyAlignment="1">
      <alignment horizontal="left" vertical="center" wrapText="1"/>
    </xf>
    <xf numFmtId="0" fontId="24" fillId="0" borderId="17" xfId="0" applyFont="1" applyBorder="1" applyAlignment="1">
      <alignment horizontal="left" vertical="center" wrapText="1"/>
    </xf>
    <xf numFmtId="0" fontId="20" fillId="0" borderId="10" xfId="0" applyFont="1" applyBorder="1" applyAlignment="1" applyProtection="1">
      <alignment horizontal="center" vertical="center" wrapText="1"/>
      <protection locked="0"/>
    </xf>
    <xf numFmtId="49" fontId="20" fillId="33" borderId="12" xfId="2" applyNumberFormat="1" applyFont="1" applyFill="1" applyBorder="1" applyAlignment="1">
      <alignment horizontal="center" vertical="center"/>
    </xf>
    <xf numFmtId="49" fontId="20" fillId="33" borderId="13" xfId="2" applyNumberFormat="1" applyFont="1" applyFill="1" applyBorder="1" applyAlignment="1">
      <alignment horizontal="center" vertical="center"/>
    </xf>
    <xf numFmtId="0" fontId="66" fillId="0" borderId="50" xfId="0" applyNumberFormat="1" applyFont="1" applyFill="1" applyBorder="1" applyAlignment="1" applyProtection="1">
      <alignment horizontal="left" vertical="top" wrapText="1"/>
    </xf>
    <xf numFmtId="0" fontId="66" fillId="0" borderId="39" xfId="0" applyNumberFormat="1" applyFont="1" applyFill="1" applyBorder="1" applyAlignment="1" applyProtection="1">
      <alignment horizontal="left" vertical="top" wrapText="1"/>
    </xf>
    <xf numFmtId="0" fontId="66" fillId="0" borderId="51" xfId="0" applyNumberFormat="1" applyFont="1" applyFill="1" applyBorder="1" applyAlignment="1" applyProtection="1">
      <alignment horizontal="left" vertical="top" wrapText="1"/>
    </xf>
    <xf numFmtId="4" fontId="70" fillId="0" borderId="49" xfId="0" applyNumberFormat="1" applyFont="1" applyFill="1" applyBorder="1" applyAlignment="1" applyProtection="1">
      <alignment horizontal="right" vertical="center"/>
    </xf>
    <xf numFmtId="4" fontId="70" fillId="0" borderId="52" xfId="0" applyNumberFormat="1" applyFont="1" applyFill="1" applyBorder="1" applyAlignment="1" applyProtection="1">
      <alignment horizontal="right" vertical="center"/>
    </xf>
    <xf numFmtId="10" fontId="70" fillId="0" borderId="57" xfId="0" applyNumberFormat="1" applyFont="1" applyFill="1" applyBorder="1" applyAlignment="1" applyProtection="1">
      <alignment horizontal="center" vertical="center"/>
    </xf>
    <xf numFmtId="10" fontId="70" fillId="0" borderId="58" xfId="0" applyNumberFormat="1" applyFont="1" applyFill="1" applyBorder="1" applyAlignment="1" applyProtection="1">
      <alignment horizontal="center" vertical="center"/>
    </xf>
    <xf numFmtId="4" fontId="70" fillId="0" borderId="55" xfId="0" applyNumberFormat="1" applyFont="1" applyFill="1" applyBorder="1" applyAlignment="1" applyProtection="1">
      <alignment horizontal="right" vertical="center"/>
    </xf>
    <xf numFmtId="4" fontId="70" fillId="0" borderId="56" xfId="0" applyNumberFormat="1" applyFont="1" applyFill="1" applyBorder="1" applyAlignment="1" applyProtection="1">
      <alignment horizontal="right" vertical="center"/>
    </xf>
    <xf numFmtId="0" fontId="66" fillId="0" borderId="49" xfId="0" applyNumberFormat="1" applyFont="1" applyFill="1" applyBorder="1" applyAlignment="1" applyProtection="1">
      <alignment horizontal="center" vertical="top"/>
    </xf>
    <xf numFmtId="0" fontId="66" fillId="0" borderId="52" xfId="0" applyNumberFormat="1" applyFont="1" applyFill="1" applyBorder="1" applyAlignment="1" applyProtection="1">
      <alignment horizontal="center" vertical="top"/>
    </xf>
    <xf numFmtId="0" fontId="70" fillId="0" borderId="49" xfId="0" applyNumberFormat="1" applyFont="1" applyFill="1" applyBorder="1" applyAlignment="1" applyProtection="1">
      <alignment horizontal="center" vertical="top" wrapText="1"/>
    </xf>
    <xf numFmtId="0" fontId="70" fillId="0" borderId="52" xfId="0" applyNumberFormat="1" applyFont="1" applyFill="1" applyBorder="1" applyAlignment="1" applyProtection="1">
      <alignment horizontal="center" vertical="top" wrapText="1"/>
    </xf>
    <xf numFmtId="0" fontId="70" fillId="0" borderId="49" xfId="0" applyNumberFormat="1" applyFont="1" applyFill="1" applyBorder="1" applyAlignment="1" applyProtection="1">
      <alignment horizontal="left" vertical="center"/>
    </xf>
    <xf numFmtId="0" fontId="70" fillId="0" borderId="52" xfId="0" applyNumberFormat="1" applyFont="1" applyFill="1" applyBorder="1" applyAlignment="1" applyProtection="1">
      <alignment horizontal="left" vertical="center"/>
    </xf>
    <xf numFmtId="0" fontId="65" fillId="0" borderId="49" xfId="0" applyNumberFormat="1" applyFont="1" applyFill="1" applyBorder="1" applyAlignment="1" applyProtection="1">
      <alignment horizontal="left" vertical="top" wrapText="1"/>
    </xf>
    <xf numFmtId="0" fontId="65" fillId="0" borderId="52" xfId="0" applyNumberFormat="1" applyFont="1" applyFill="1" applyBorder="1" applyAlignment="1" applyProtection="1">
      <alignment horizontal="left" vertical="top" wrapText="1"/>
    </xf>
    <xf numFmtId="0" fontId="66" fillId="0" borderId="50" xfId="0" applyNumberFormat="1" applyFont="1" applyFill="1" applyBorder="1" applyAlignment="1" applyProtection="1">
      <alignment horizontal="left" vertical="top"/>
    </xf>
    <xf numFmtId="0" fontId="66" fillId="0" borderId="39" xfId="0" applyNumberFormat="1" applyFont="1" applyFill="1" applyBorder="1" applyAlignment="1" applyProtection="1">
      <alignment horizontal="left" vertical="top"/>
    </xf>
    <xf numFmtId="0" fontId="66" fillId="0" borderId="51" xfId="0" applyNumberFormat="1" applyFont="1" applyFill="1" applyBorder="1" applyAlignment="1" applyProtection="1">
      <alignment horizontal="left" vertical="top"/>
    </xf>
    <xf numFmtId="0" fontId="65" fillId="0" borderId="50" xfId="0" applyNumberFormat="1" applyFont="1" applyFill="1" applyBorder="1" applyAlignment="1" applyProtection="1">
      <alignment horizontal="left" vertical="top" wrapText="1"/>
    </xf>
    <xf numFmtId="0" fontId="65" fillId="0" borderId="39" xfId="0" applyNumberFormat="1" applyFont="1" applyFill="1" applyBorder="1" applyAlignment="1" applyProtection="1">
      <alignment horizontal="left" vertical="top" wrapText="1"/>
    </xf>
    <xf numFmtId="0" fontId="65" fillId="0" borderId="51" xfId="0" applyNumberFormat="1" applyFont="1" applyFill="1" applyBorder="1" applyAlignment="1" applyProtection="1">
      <alignment horizontal="left" vertical="top" wrapText="1"/>
    </xf>
    <xf numFmtId="0" fontId="65" fillId="0" borderId="50" xfId="0" applyNumberFormat="1" applyFont="1" applyFill="1" applyBorder="1" applyAlignment="1" applyProtection="1">
      <alignment horizontal="center" vertical="top" wrapText="1"/>
    </xf>
    <xf numFmtId="0" fontId="65" fillId="0" borderId="39" xfId="0" applyNumberFormat="1" applyFont="1" applyFill="1" applyBorder="1" applyAlignment="1" applyProtection="1">
      <alignment horizontal="center" vertical="top" wrapText="1"/>
    </xf>
    <xf numFmtId="0" fontId="65" fillId="0" borderId="51" xfId="0" applyNumberFormat="1" applyFont="1" applyFill="1" applyBorder="1" applyAlignment="1" applyProtection="1">
      <alignment horizontal="center" vertical="top" wrapText="1"/>
    </xf>
    <xf numFmtId="0" fontId="71" fillId="0" borderId="0" xfId="0" applyNumberFormat="1" applyFont="1" applyFill="1" applyBorder="1" applyAlignment="1" applyProtection="1">
      <alignment horizontal="left" vertical="top"/>
    </xf>
    <xf numFmtId="0" fontId="63" fillId="0" borderId="0" xfId="0" applyNumberFormat="1" applyFont="1" applyFill="1" applyBorder="1" applyAlignment="1" applyProtection="1">
      <alignment horizontal="center" vertical="top"/>
    </xf>
    <xf numFmtId="0" fontId="65" fillId="0" borderId="49" xfId="0" applyNumberFormat="1" applyFont="1" applyFill="1" applyBorder="1" applyAlignment="1" applyProtection="1">
      <alignment horizontal="center" vertical="top"/>
    </xf>
    <xf numFmtId="0" fontId="65" fillId="0" borderId="52" xfId="0" applyNumberFormat="1" applyFont="1" applyFill="1" applyBorder="1" applyAlignment="1" applyProtection="1">
      <alignment horizontal="center" vertical="top"/>
    </xf>
    <xf numFmtId="0" fontId="65" fillId="0" borderId="49" xfId="0" applyNumberFormat="1" applyFont="1" applyFill="1" applyBorder="1" applyAlignment="1" applyProtection="1">
      <alignment horizontal="center" vertical="top" wrapText="1"/>
    </xf>
    <xf numFmtId="0" fontId="65" fillId="0" borderId="52" xfId="0" applyNumberFormat="1" applyFont="1" applyFill="1" applyBorder="1" applyAlignment="1" applyProtection="1">
      <alignment horizontal="center" vertical="top" wrapText="1"/>
    </xf>
    <xf numFmtId="0" fontId="74" fillId="0" borderId="49" xfId="0" applyNumberFormat="1" applyFont="1" applyFill="1" applyBorder="1" applyAlignment="1" applyProtection="1">
      <alignment horizontal="center" vertical="top" wrapText="1"/>
    </xf>
    <xf numFmtId="0" fontId="74" fillId="0" borderId="52" xfId="0" applyNumberFormat="1" applyFont="1" applyFill="1" applyBorder="1" applyAlignment="1" applyProtection="1">
      <alignment horizontal="center" vertical="top" wrapText="1"/>
    </xf>
  </cellXfs>
  <cellStyles count="105">
    <cellStyle name="20% - akcent 1 2" xfId="5"/>
    <cellStyle name="20% - akcent 1 3" xfId="6"/>
    <cellStyle name="20% - akcent 2 2" xfId="7"/>
    <cellStyle name="20% - akcent 2 3" xfId="8"/>
    <cellStyle name="20% - akcent 3 2" xfId="9"/>
    <cellStyle name="20% - akcent 3 3" xfId="10"/>
    <cellStyle name="20% - akcent 4 2" xfId="11"/>
    <cellStyle name="20% - akcent 4 3" xfId="12"/>
    <cellStyle name="20% - akcent 5 2" xfId="13"/>
    <cellStyle name="20% - akcent 5 3" xfId="14"/>
    <cellStyle name="20% - akcent 6 2" xfId="15"/>
    <cellStyle name="20% - akcent 6 3" xfId="16"/>
    <cellStyle name="40% - akcent 1 2" xfId="17"/>
    <cellStyle name="40% - akcent 1 3" xfId="18"/>
    <cellStyle name="40% - akcent 2 2" xfId="19"/>
    <cellStyle name="40% - akcent 2 3" xfId="20"/>
    <cellStyle name="40% - akcent 3 2" xfId="21"/>
    <cellStyle name="40% - akcent 3 3" xfId="22"/>
    <cellStyle name="40% - akcent 4 2" xfId="23"/>
    <cellStyle name="40% - akcent 4 3" xfId="24"/>
    <cellStyle name="40% - akcent 5 2" xfId="25"/>
    <cellStyle name="40% - akcent 5 3" xfId="26"/>
    <cellStyle name="40% - akcent 6 2" xfId="27"/>
    <cellStyle name="40% - akcent 6 3" xfId="28"/>
    <cellStyle name="60% - akcent 1 2" xfId="29"/>
    <cellStyle name="60% - akcent 1 3" xfId="30"/>
    <cellStyle name="60% - akcent 2 2" xfId="31"/>
    <cellStyle name="60% - akcent 2 3" xfId="32"/>
    <cellStyle name="60% - akcent 3 2" xfId="33"/>
    <cellStyle name="60% - akcent 3 3" xfId="34"/>
    <cellStyle name="60% - akcent 4 2" xfId="35"/>
    <cellStyle name="60% - akcent 4 3" xfId="36"/>
    <cellStyle name="60% - akcent 5 2" xfId="37"/>
    <cellStyle name="60% - akcent 5 3" xfId="38"/>
    <cellStyle name="60% - akcent 6 2" xfId="39"/>
    <cellStyle name="60% - akcent 6 3" xfId="40"/>
    <cellStyle name="Akcent 1 2" xfId="41"/>
    <cellStyle name="Akcent 1 3" xfId="42"/>
    <cellStyle name="Akcent 2 2" xfId="43"/>
    <cellStyle name="Akcent 2 3" xfId="44"/>
    <cellStyle name="Akcent 3 2" xfId="45"/>
    <cellStyle name="Akcent 3 3" xfId="46"/>
    <cellStyle name="Akcent 4 2" xfId="47"/>
    <cellStyle name="Akcent 4 3" xfId="48"/>
    <cellStyle name="Akcent 5 2" xfId="49"/>
    <cellStyle name="Akcent 5 3" xfId="50"/>
    <cellStyle name="Akcent 6 2" xfId="51"/>
    <cellStyle name="Akcent 6 3" xfId="52"/>
    <cellStyle name="Dane wejściowe 2" xfId="53"/>
    <cellStyle name="Dane wejściowe 3" xfId="54"/>
    <cellStyle name="Dane wyjściowe 2" xfId="55"/>
    <cellStyle name="Dane wyjściowe 3" xfId="56"/>
    <cellStyle name="Dobre 2" xfId="57"/>
    <cellStyle name="Dobre 3" xfId="58"/>
    <cellStyle name="Komórka połączona 2" xfId="59"/>
    <cellStyle name="Komórka połączona 3" xfId="60"/>
    <cellStyle name="Komórka zaznaczona 2" xfId="61"/>
    <cellStyle name="Komórka zaznaczona 3" xfId="62"/>
    <cellStyle name="Nagłówek 1 2" xfId="63"/>
    <cellStyle name="Nagłówek 1 3" xfId="64"/>
    <cellStyle name="Nagłówek 2 2" xfId="65"/>
    <cellStyle name="Nagłówek 2 3" xfId="66"/>
    <cellStyle name="Nagłówek 3 2" xfId="67"/>
    <cellStyle name="Nagłówek 3 3" xfId="68"/>
    <cellStyle name="Nagłówek 4 2" xfId="69"/>
    <cellStyle name="Nagłówek 4 3" xfId="70"/>
    <cellStyle name="Neutralne 2" xfId="71"/>
    <cellStyle name="Neutralne 3" xfId="72"/>
    <cellStyle name="Normalny" xfId="0" builtinId="0"/>
    <cellStyle name="Normalny 2" xfId="73"/>
    <cellStyle name="Normalny 2 2" xfId="74"/>
    <cellStyle name="Normalny 2 3" xfId="75"/>
    <cellStyle name="Normalny 2 4" xfId="76"/>
    <cellStyle name="Normalny 2 5" xfId="77"/>
    <cellStyle name="Normalny 2 6" xfId="78"/>
    <cellStyle name="Normalny 2 7" xfId="79"/>
    <cellStyle name="Normalny 3" xfId="80"/>
    <cellStyle name="Normalny 4" xfId="81"/>
    <cellStyle name="Normalny 5" xfId="82"/>
    <cellStyle name="Normalny 6" xfId="83"/>
    <cellStyle name="Normalny 6 2" xfId="2"/>
    <cellStyle name="Normalny 7" xfId="84"/>
    <cellStyle name="Normalny 7 2" xfId="85"/>
    <cellStyle name="Normalny 8" xfId="3"/>
    <cellStyle name="Obliczenia 2" xfId="86"/>
    <cellStyle name="Obliczenia 3" xfId="87"/>
    <cellStyle name="Procentowy" xfId="1" builtinId="5"/>
    <cellStyle name="Procentowy 2" xfId="88"/>
    <cellStyle name="Procentowy 2 2" xfId="4"/>
    <cellStyle name="Procentowy 2 3" xfId="89"/>
    <cellStyle name="Procentowy 3" xfId="90"/>
    <cellStyle name="Procentowy 3 2" xfId="91"/>
    <cellStyle name="Procentowy 4" xfId="92"/>
    <cellStyle name="Procentowy 5" xfId="93"/>
    <cellStyle name="Suma 2" xfId="94"/>
    <cellStyle name="Suma 3" xfId="95"/>
    <cellStyle name="Tekst objaśnienia 2" xfId="96"/>
    <cellStyle name="Tekst objaśnienia 3" xfId="97"/>
    <cellStyle name="Tekst ostrzeżenia 2" xfId="98"/>
    <cellStyle name="Tekst ostrzeżenia 3" xfId="99"/>
    <cellStyle name="Tytuł 2" xfId="100"/>
    <cellStyle name="Uwaga 2" xfId="101"/>
    <cellStyle name="Uwaga 3" xfId="102"/>
    <cellStyle name="Złe 2" xfId="103"/>
    <cellStyle name="Złe 3" xfId="104"/>
  </cellStyles>
  <dxfs count="13">
    <dxf>
      <fill>
        <patternFill>
          <bgColor rgb="FFF66A44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ont>
        <color rgb="FFFF0000"/>
      </font>
      <fill>
        <patternFill>
          <bgColor rgb="FFFFE101"/>
        </patternFill>
      </fill>
    </dxf>
    <dxf>
      <font>
        <b val="0"/>
        <i val="0"/>
        <color rgb="FFFF0000"/>
      </font>
      <fill>
        <patternFill>
          <bgColor rgb="FFFFE101"/>
        </patternFill>
      </fill>
    </dxf>
    <dxf>
      <fill>
        <patternFill>
          <bgColor indexed="13"/>
        </patternFill>
      </fill>
    </dxf>
    <dxf>
      <fill>
        <patternFill>
          <bgColor indexed="51"/>
        </patternFill>
      </fill>
    </dxf>
    <dxf>
      <font>
        <b/>
        <i val="0"/>
      </font>
      <fill>
        <patternFill>
          <bgColor indexed="10"/>
        </patternFill>
      </fill>
    </dxf>
    <dxf>
      <font>
        <b/>
        <i val="0"/>
        <color rgb="FFFF0000"/>
      </font>
    </dxf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!!!%20Dokumenty%20!!!\Uchwa&#322;y%20i%20Zarz&#261;dzenia%20WFP%20na%202013%20rok\Zarz&#261;dzenie%20OR.0050.1.98.2013%20z%2028%20czerwca%202013%20roku\Za&#322;&#261;cznik%20nr%201%20do%20zarz&#261;dzenia%20OR.005.1.98.2013%20z%2028%20czerwca%202013%20w%20sprawie%20zmian%20w%20WP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1_WPF_bazowy"/>
      <sheetName val="rysunki"/>
      <sheetName val="WPF_AnalizaWsk_Projektowanie"/>
      <sheetName val="definicja"/>
      <sheetName val="DaneZrodlowe"/>
      <sheetName val="DaneZrodloweDoWsk"/>
    </sheetNames>
    <sheetDataSet>
      <sheetData sheetId="0"/>
      <sheetData sheetId="1"/>
      <sheetData sheetId="2"/>
      <sheetData sheetId="3">
        <row r="9">
          <cell r="E9">
            <v>2013</v>
          </cell>
          <cell r="F9">
            <v>2014</v>
          </cell>
          <cell r="G9">
            <v>2015</v>
          </cell>
          <cell r="H9">
            <v>2016</v>
          </cell>
          <cell r="I9">
            <v>2017</v>
          </cell>
          <cell r="J9">
            <v>2018</v>
          </cell>
          <cell r="K9">
            <v>2019</v>
          </cell>
          <cell r="L9">
            <v>2020</v>
          </cell>
          <cell r="M9">
            <v>2021</v>
          </cell>
          <cell r="N9">
            <v>2022</v>
          </cell>
          <cell r="O9">
            <v>2023</v>
          </cell>
          <cell r="P9">
            <v>2024</v>
          </cell>
          <cell r="Q9">
            <v>2025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rgb="FF00B050"/>
    <outlinePr summaryBelow="0"/>
  </sheetPr>
  <dimension ref="A2:X249"/>
  <sheetViews>
    <sheetView topLeftCell="D1" zoomScale="90" zoomScaleNormal="90" zoomScaleSheetLayoutView="100" workbookViewId="0">
      <selection activeCell="L101" sqref="L101"/>
    </sheetView>
  </sheetViews>
  <sheetFormatPr defaultRowHeight="14.25" outlineLevelRow="3" outlineLevelCol="1"/>
  <cols>
    <col min="1" max="1" width="5.75" style="108" bestFit="1" customWidth="1"/>
    <col min="2" max="4" width="1.75" style="108" customWidth="1"/>
    <col min="5" max="5" width="70.125" style="108" customWidth="1"/>
    <col min="6" max="9" width="14" style="108" hidden="1" customWidth="1" outlineLevel="1"/>
    <col min="10" max="10" width="14" style="108" customWidth="1" collapsed="1"/>
    <col min="11" max="11" width="13.625" style="108" customWidth="1"/>
    <col min="12" max="12" width="7.625" style="108" customWidth="1"/>
    <col min="13" max="24" width="14" style="108" customWidth="1"/>
  </cols>
  <sheetData>
    <row r="2" spans="1:24" ht="15.75">
      <c r="A2" s="1"/>
      <c r="B2" s="2"/>
      <c r="C2" s="251"/>
      <c r="D2" s="251"/>
      <c r="E2" s="2"/>
      <c r="F2" s="307" t="s">
        <v>0</v>
      </c>
      <c r="G2" s="307"/>
      <c r="H2" s="3" t="s">
        <v>1</v>
      </c>
      <c r="I2" s="3" t="s">
        <v>0</v>
      </c>
      <c r="J2" s="253"/>
      <c r="K2" s="253"/>
      <c r="L2" s="253"/>
      <c r="M2" s="253"/>
      <c r="N2" s="253"/>
      <c r="O2" s="292" t="s">
        <v>335</v>
      </c>
      <c r="P2" s="292"/>
      <c r="Q2" s="292"/>
      <c r="R2" s="292"/>
      <c r="S2" s="292"/>
      <c r="T2" s="1"/>
      <c r="U2" s="1"/>
      <c r="V2" s="1"/>
      <c r="W2" s="1"/>
      <c r="X2" s="1"/>
    </row>
    <row r="3" spans="1:24" ht="15.75">
      <c r="A3" s="1"/>
      <c r="B3" s="2"/>
      <c r="C3" s="251"/>
      <c r="D3" s="251"/>
      <c r="E3" s="2"/>
      <c r="F3" s="252"/>
      <c r="G3" s="252"/>
      <c r="H3" s="252"/>
      <c r="I3" s="252"/>
      <c r="J3" s="253"/>
      <c r="K3" s="253"/>
      <c r="L3" s="253"/>
      <c r="M3" s="253"/>
      <c r="N3" s="253"/>
      <c r="O3" s="292" t="s">
        <v>336</v>
      </c>
      <c r="P3" s="292"/>
      <c r="Q3" s="292"/>
      <c r="R3" s="292"/>
      <c r="S3" s="292"/>
      <c r="T3" s="1"/>
      <c r="U3" s="1"/>
      <c r="V3" s="1"/>
      <c r="W3" s="1"/>
      <c r="X3" s="1"/>
    </row>
    <row r="4" spans="1:24" ht="15.75">
      <c r="A4" s="1"/>
      <c r="B4" s="2"/>
      <c r="C4" s="251"/>
      <c r="D4" s="251"/>
      <c r="E4" s="2"/>
      <c r="F4" s="252"/>
      <c r="G4" s="252"/>
      <c r="H4" s="252"/>
      <c r="I4" s="252"/>
      <c r="J4" s="253"/>
      <c r="K4" s="253"/>
      <c r="L4" s="253"/>
      <c r="M4" s="253"/>
      <c r="N4" s="253"/>
      <c r="O4" s="293" t="s">
        <v>337</v>
      </c>
      <c r="P4" s="293"/>
      <c r="Q4" s="293"/>
      <c r="R4" s="293"/>
      <c r="S4" s="293"/>
      <c r="T4" s="1"/>
      <c r="U4" s="1"/>
      <c r="V4" s="1"/>
      <c r="W4" s="1"/>
      <c r="X4" s="1"/>
    </row>
    <row r="5" spans="1:24" ht="31.5">
      <c r="A5" s="4" t="s">
        <v>2</v>
      </c>
      <c r="B5" s="308" t="s">
        <v>3</v>
      </c>
      <c r="C5" s="309"/>
      <c r="D5" s="309"/>
      <c r="E5" s="309"/>
      <c r="F5" s="5" t="s">
        <v>4</v>
      </c>
      <c r="G5" s="6" t="s">
        <v>5</v>
      </c>
      <c r="H5" s="6" t="s">
        <v>6</v>
      </c>
      <c r="I5" s="7" t="s">
        <v>6</v>
      </c>
      <c r="J5" s="8">
        <f>+[1]definicja!E9</f>
        <v>2013</v>
      </c>
      <c r="K5" s="254" t="s">
        <v>338</v>
      </c>
      <c r="L5" s="284" t="s">
        <v>339</v>
      </c>
      <c r="M5" s="277">
        <f>+[1]definicja!F9</f>
        <v>2014</v>
      </c>
      <c r="N5" s="8">
        <f>+[1]definicja!G9</f>
        <v>2015</v>
      </c>
      <c r="O5" s="8">
        <f>+[1]definicja!H9</f>
        <v>2016</v>
      </c>
      <c r="P5" s="8">
        <f>+[1]definicja!I9</f>
        <v>2017</v>
      </c>
      <c r="Q5" s="8">
        <f>+[1]definicja!J9</f>
        <v>2018</v>
      </c>
      <c r="R5" s="8">
        <f>+[1]definicja!K9</f>
        <v>2019</v>
      </c>
      <c r="S5" s="8">
        <f>+[1]definicja!L9</f>
        <v>2020</v>
      </c>
      <c r="T5" s="8">
        <f>+[1]definicja!M9</f>
        <v>2021</v>
      </c>
      <c r="U5" s="8">
        <f>+[1]definicja!N9</f>
        <v>2022</v>
      </c>
      <c r="V5" s="8">
        <f>+[1]definicja!O9</f>
        <v>2023</v>
      </c>
      <c r="W5" s="8">
        <f>+[1]definicja!P9</f>
        <v>2024</v>
      </c>
      <c r="X5" s="8">
        <f>+[1]definicja!Q9</f>
        <v>2025</v>
      </c>
    </row>
    <row r="6" spans="1:24" ht="15" customHeight="1" outlineLevel="1">
      <c r="A6" s="9">
        <v>1</v>
      </c>
      <c r="B6" s="305" t="s">
        <v>7</v>
      </c>
      <c r="C6" s="306"/>
      <c r="D6" s="306"/>
      <c r="E6" s="306"/>
      <c r="F6" s="10">
        <f>43547520.88</f>
        <v>43547520.880000003</v>
      </c>
      <c r="G6" s="11">
        <f>43678117.66</f>
        <v>43678117.659999996</v>
      </c>
      <c r="H6" s="11">
        <f>56684709.06</f>
        <v>56684709.060000002</v>
      </c>
      <c r="I6" s="12">
        <f>57149784.27</f>
        <v>57149784.270000003</v>
      </c>
      <c r="J6" s="13">
        <f>50218292.15</f>
        <v>50218292.149999999</v>
      </c>
      <c r="K6" s="13">
        <f>K7+K14</f>
        <v>27808013.82</v>
      </c>
      <c r="L6" s="285">
        <f>K6/J6</f>
        <v>0.55374272261068924</v>
      </c>
      <c r="M6" s="278">
        <f>49149369</f>
        <v>49149369</v>
      </c>
      <c r="N6" s="13">
        <f>47528749</f>
        <v>47528749</v>
      </c>
      <c r="O6" s="13">
        <f>49361094</f>
        <v>49361094</v>
      </c>
      <c r="P6" s="13">
        <f>50316773</f>
        <v>50316773</v>
      </c>
      <c r="Q6" s="13">
        <f>50800240</f>
        <v>50800240</v>
      </c>
      <c r="R6" s="13">
        <f>52344204</f>
        <v>52344204</v>
      </c>
      <c r="S6" s="13">
        <f>53952760</f>
        <v>53952760</v>
      </c>
      <c r="T6" s="13">
        <f>55628819</f>
        <v>55628819</v>
      </c>
      <c r="U6" s="13">
        <f>57340713</f>
        <v>57340713</v>
      </c>
      <c r="V6" s="13">
        <f>59132417</f>
        <v>59132417</v>
      </c>
      <c r="W6" s="13">
        <f>60439559</f>
        <v>60439559</v>
      </c>
      <c r="X6" s="13">
        <f>61776769</f>
        <v>61776769</v>
      </c>
    </row>
    <row r="7" spans="1:24" ht="15" customHeight="1" outlineLevel="2">
      <c r="A7" s="14" t="s">
        <v>8</v>
      </c>
      <c r="B7" s="15"/>
      <c r="C7" s="303" t="s">
        <v>9</v>
      </c>
      <c r="D7" s="303"/>
      <c r="E7" s="303"/>
      <c r="F7" s="16">
        <f>42310991.72</f>
        <v>42310991.719999999</v>
      </c>
      <c r="G7" s="17">
        <f>40366155.36</f>
        <v>40366155.359999999</v>
      </c>
      <c r="H7" s="17">
        <f>44629277.06</f>
        <v>44629277.060000002</v>
      </c>
      <c r="I7" s="18">
        <f>45784305</f>
        <v>45784305</v>
      </c>
      <c r="J7" s="19">
        <f>47094780.15</f>
        <v>47094780.149999999</v>
      </c>
      <c r="K7" s="19">
        <v>25632850.170000002</v>
      </c>
      <c r="L7" s="286">
        <f>K7/J7</f>
        <v>0.54428219196177741</v>
      </c>
      <c r="M7" s="279">
        <f>45949469</f>
        <v>45949469</v>
      </c>
      <c r="N7" s="19">
        <f>46528749</f>
        <v>46528749</v>
      </c>
      <c r="O7" s="19">
        <f>47861094</f>
        <v>47861094</v>
      </c>
      <c r="P7" s="19">
        <f>49316773</f>
        <v>49316773</v>
      </c>
      <c r="Q7" s="19">
        <f>50800240</f>
        <v>50800240</v>
      </c>
      <c r="R7" s="19">
        <f>52344204</f>
        <v>52344204</v>
      </c>
      <c r="S7" s="19">
        <f>53952760</f>
        <v>53952760</v>
      </c>
      <c r="T7" s="19">
        <f>55628819</f>
        <v>55628819</v>
      </c>
      <c r="U7" s="19">
        <f>57340713</f>
        <v>57340713</v>
      </c>
      <c r="V7" s="19">
        <f>59132417</f>
        <v>59132417</v>
      </c>
      <c r="W7" s="19">
        <f>60439559</f>
        <v>60439559</v>
      </c>
      <c r="X7" s="19">
        <f>61776769</f>
        <v>61776769</v>
      </c>
    </row>
    <row r="8" spans="1:24" ht="15" customHeight="1" outlineLevel="2">
      <c r="A8" s="14" t="s">
        <v>10</v>
      </c>
      <c r="B8" s="15"/>
      <c r="C8" s="20"/>
      <c r="D8" s="303" t="s">
        <v>11</v>
      </c>
      <c r="E8" s="303"/>
      <c r="F8" s="16">
        <f>5602866</f>
        <v>5602866</v>
      </c>
      <c r="G8" s="17">
        <f>6065549</f>
        <v>6065549</v>
      </c>
      <c r="H8" s="17">
        <f>6562226</f>
        <v>6562226</v>
      </c>
      <c r="I8" s="18">
        <f>6380088</f>
        <v>6380088</v>
      </c>
      <c r="J8" s="19">
        <f>7050625</f>
        <v>7050625</v>
      </c>
      <c r="K8" s="19">
        <v>2941729</v>
      </c>
      <c r="L8" s="286">
        <f t="shared" ref="L8:L18" si="0">K8/J8</f>
        <v>0.41722953638861804</v>
      </c>
      <c r="M8" s="279">
        <f>7226890</f>
        <v>7226890</v>
      </c>
      <c r="N8" s="19">
        <f>7407563</f>
        <v>7407563</v>
      </c>
      <c r="O8" s="19">
        <f>7592752</f>
        <v>7592752</v>
      </c>
      <c r="P8" s="19">
        <f>0</f>
        <v>0</v>
      </c>
      <c r="Q8" s="19">
        <f>0</f>
        <v>0</v>
      </c>
      <c r="R8" s="19">
        <f>0</f>
        <v>0</v>
      </c>
      <c r="S8" s="19">
        <f>0</f>
        <v>0</v>
      </c>
      <c r="T8" s="19">
        <f>0</f>
        <v>0</v>
      </c>
      <c r="U8" s="19">
        <f>0</f>
        <v>0</v>
      </c>
      <c r="V8" s="19">
        <f>0</f>
        <v>0</v>
      </c>
      <c r="W8" s="19">
        <f>0</f>
        <v>0</v>
      </c>
      <c r="X8" s="19">
        <f>0</f>
        <v>0</v>
      </c>
    </row>
    <row r="9" spans="1:24" ht="15" customHeight="1" outlineLevel="2">
      <c r="A9" s="14" t="s">
        <v>12</v>
      </c>
      <c r="B9" s="15"/>
      <c r="C9" s="20"/>
      <c r="D9" s="303" t="s">
        <v>13</v>
      </c>
      <c r="E9" s="303"/>
      <c r="F9" s="16">
        <f>258125.7</f>
        <v>258125.7</v>
      </c>
      <c r="G9" s="17">
        <f>265696.22</f>
        <v>265696.21999999997</v>
      </c>
      <c r="H9" s="17">
        <f>200000</f>
        <v>200000</v>
      </c>
      <c r="I9" s="18">
        <f>602353.41</f>
        <v>602353.41</v>
      </c>
      <c r="J9" s="19">
        <f>1373000</f>
        <v>1373000</v>
      </c>
      <c r="K9" s="19">
        <v>870133.44</v>
      </c>
      <c r="L9" s="286">
        <f t="shared" si="0"/>
        <v>0.63374613255644574</v>
      </c>
      <c r="M9" s="279">
        <f>615000</f>
        <v>615000</v>
      </c>
      <c r="N9" s="19">
        <f>630375</f>
        <v>630375</v>
      </c>
      <c r="O9" s="19">
        <f>646134</f>
        <v>646134</v>
      </c>
      <c r="P9" s="19">
        <f>0</f>
        <v>0</v>
      </c>
      <c r="Q9" s="19">
        <f>0</f>
        <v>0</v>
      </c>
      <c r="R9" s="19">
        <f>0</f>
        <v>0</v>
      </c>
      <c r="S9" s="19">
        <f>0</f>
        <v>0</v>
      </c>
      <c r="T9" s="19">
        <f>0</f>
        <v>0</v>
      </c>
      <c r="U9" s="19">
        <f>0</f>
        <v>0</v>
      </c>
      <c r="V9" s="19">
        <f>0</f>
        <v>0</v>
      </c>
      <c r="W9" s="19">
        <f>0</f>
        <v>0</v>
      </c>
      <c r="X9" s="19">
        <f>0</f>
        <v>0</v>
      </c>
    </row>
    <row r="10" spans="1:24" ht="15" customHeight="1" outlineLevel="2">
      <c r="A10" s="14" t="s">
        <v>14</v>
      </c>
      <c r="B10" s="15"/>
      <c r="C10" s="20"/>
      <c r="D10" s="303" t="s">
        <v>15</v>
      </c>
      <c r="E10" s="303"/>
      <c r="F10" s="16">
        <f>8304754.42</f>
        <v>8304754.4199999999</v>
      </c>
      <c r="G10" s="17">
        <f>8344946.17</f>
        <v>8344946.1699999999</v>
      </c>
      <c r="H10" s="17">
        <f>9341132</f>
        <v>9341132</v>
      </c>
      <c r="I10" s="18">
        <f>9818720.92</f>
        <v>9818720.9199999999</v>
      </c>
      <c r="J10" s="19">
        <f>10539955</f>
        <v>10539955</v>
      </c>
      <c r="K10" s="19">
        <v>5382915.0499999998</v>
      </c>
      <c r="L10" s="286">
        <f t="shared" si="0"/>
        <v>0.51071518331909382</v>
      </c>
      <c r="M10" s="279">
        <f>11671041.88</f>
        <v>11671041.880000001</v>
      </c>
      <c r="N10" s="19">
        <f>11962818</f>
        <v>11962818</v>
      </c>
      <c r="O10" s="19">
        <f>12261888</f>
        <v>12261888</v>
      </c>
      <c r="P10" s="19">
        <f>0</f>
        <v>0</v>
      </c>
      <c r="Q10" s="19">
        <f>0</f>
        <v>0</v>
      </c>
      <c r="R10" s="19">
        <f>0</f>
        <v>0</v>
      </c>
      <c r="S10" s="19">
        <f>0</f>
        <v>0</v>
      </c>
      <c r="T10" s="19">
        <f>0</f>
        <v>0</v>
      </c>
      <c r="U10" s="19">
        <f>0</f>
        <v>0</v>
      </c>
      <c r="V10" s="19">
        <f>0</f>
        <v>0</v>
      </c>
      <c r="W10" s="19">
        <f>0</f>
        <v>0</v>
      </c>
      <c r="X10" s="19">
        <f>0</f>
        <v>0</v>
      </c>
    </row>
    <row r="11" spans="1:24" ht="15" customHeight="1" outlineLevel="2">
      <c r="A11" s="14" t="s">
        <v>16</v>
      </c>
      <c r="B11" s="15"/>
      <c r="C11" s="20"/>
      <c r="D11" s="20"/>
      <c r="E11" s="21" t="s">
        <v>17</v>
      </c>
      <c r="F11" s="16">
        <f>5587895.44</f>
        <v>5587895.4400000004</v>
      </c>
      <c r="G11" s="17">
        <f>5842363.75</f>
        <v>5842363.75</v>
      </c>
      <c r="H11" s="17">
        <f>6683000</f>
        <v>6683000</v>
      </c>
      <c r="I11" s="18">
        <f>7013519.69</f>
        <v>7013519.6900000004</v>
      </c>
      <c r="J11" s="19">
        <f>7240983</f>
        <v>7240983</v>
      </c>
      <c r="K11" s="19">
        <v>3983320.37</v>
      </c>
      <c r="L11" s="286">
        <f t="shared" si="0"/>
        <v>0.55010768151230294</v>
      </c>
      <c r="M11" s="279">
        <f>7422008</f>
        <v>7422008</v>
      </c>
      <c r="N11" s="19">
        <f>7607558</f>
        <v>7607558</v>
      </c>
      <c r="O11" s="19">
        <f>7797747</f>
        <v>7797747</v>
      </c>
      <c r="P11" s="19">
        <f>0</f>
        <v>0</v>
      </c>
      <c r="Q11" s="19">
        <f>0</f>
        <v>0</v>
      </c>
      <c r="R11" s="19">
        <f>0</f>
        <v>0</v>
      </c>
      <c r="S11" s="19">
        <f>0</f>
        <v>0</v>
      </c>
      <c r="T11" s="19">
        <f>0</f>
        <v>0</v>
      </c>
      <c r="U11" s="19">
        <f>0</f>
        <v>0</v>
      </c>
      <c r="V11" s="19">
        <f>0</f>
        <v>0</v>
      </c>
      <c r="W11" s="19">
        <f>0</f>
        <v>0</v>
      </c>
      <c r="X11" s="19">
        <f>0</f>
        <v>0</v>
      </c>
    </row>
    <row r="12" spans="1:24" ht="15" customHeight="1" outlineLevel="2">
      <c r="A12" s="14" t="s">
        <v>18</v>
      </c>
      <c r="B12" s="15"/>
      <c r="C12" s="20"/>
      <c r="D12" s="303" t="s">
        <v>19</v>
      </c>
      <c r="E12" s="303"/>
      <c r="F12" s="16">
        <f>14487903</f>
        <v>14487903</v>
      </c>
      <c r="G12" s="17">
        <f>14941302</f>
        <v>14941302</v>
      </c>
      <c r="H12" s="17">
        <f>15585105</f>
        <v>15585105</v>
      </c>
      <c r="I12" s="18">
        <f>15717478</f>
        <v>15717478</v>
      </c>
      <c r="J12" s="19">
        <f>17127631</f>
        <v>17127631</v>
      </c>
      <c r="K12" s="19">
        <v>9963074</v>
      </c>
      <c r="L12" s="286">
        <f t="shared" si="0"/>
        <v>0.58169597418346997</v>
      </c>
      <c r="M12" s="279">
        <f>17473342</f>
        <v>17473342</v>
      </c>
      <c r="N12" s="19">
        <f>17910175</f>
        <v>17910175</v>
      </c>
      <c r="O12" s="19">
        <f>18357930</f>
        <v>18357930</v>
      </c>
      <c r="P12" s="19">
        <f>0</f>
        <v>0</v>
      </c>
      <c r="Q12" s="19">
        <f>0</f>
        <v>0</v>
      </c>
      <c r="R12" s="19">
        <f>0</f>
        <v>0</v>
      </c>
      <c r="S12" s="19">
        <f>0</f>
        <v>0</v>
      </c>
      <c r="T12" s="19">
        <f>0</f>
        <v>0</v>
      </c>
      <c r="U12" s="19">
        <f>0</f>
        <v>0</v>
      </c>
      <c r="V12" s="19">
        <f>0</f>
        <v>0</v>
      </c>
      <c r="W12" s="19">
        <f>0</f>
        <v>0</v>
      </c>
      <c r="X12" s="19">
        <f>0</f>
        <v>0</v>
      </c>
    </row>
    <row r="13" spans="1:24" ht="15" customHeight="1" outlineLevel="2">
      <c r="A13" s="14" t="s">
        <v>20</v>
      </c>
      <c r="B13" s="15"/>
      <c r="C13" s="20"/>
      <c r="D13" s="303" t="s">
        <v>21</v>
      </c>
      <c r="E13" s="303"/>
      <c r="F13" s="16">
        <f>8687205.04</f>
        <v>8687205.0399999991</v>
      </c>
      <c r="G13" s="17">
        <f>8341772.97</f>
        <v>8341772.9699999997</v>
      </c>
      <c r="H13" s="17">
        <f>7860761</f>
        <v>7860761</v>
      </c>
      <c r="I13" s="18">
        <f>8366350.09</f>
        <v>8366350.0899999999</v>
      </c>
      <c r="J13" s="19">
        <f>7810362.15</f>
        <v>7810362.1500000004</v>
      </c>
      <c r="K13" s="19">
        <v>4473265.1500000004</v>
      </c>
      <c r="L13" s="286">
        <f t="shared" si="0"/>
        <v>0.57273466506287418</v>
      </c>
      <c r="M13" s="279">
        <f>6897479</f>
        <v>6897479</v>
      </c>
      <c r="N13" s="19">
        <f>7069916</f>
        <v>7069916</v>
      </c>
      <c r="O13" s="19">
        <f>7246664</f>
        <v>7246664</v>
      </c>
      <c r="P13" s="19">
        <f>0</f>
        <v>0</v>
      </c>
      <c r="Q13" s="19">
        <f>0</f>
        <v>0</v>
      </c>
      <c r="R13" s="19">
        <f>0</f>
        <v>0</v>
      </c>
      <c r="S13" s="19">
        <f>0</f>
        <v>0</v>
      </c>
      <c r="T13" s="19">
        <f>0</f>
        <v>0</v>
      </c>
      <c r="U13" s="19">
        <f>0</f>
        <v>0</v>
      </c>
      <c r="V13" s="19">
        <f>0</f>
        <v>0</v>
      </c>
      <c r="W13" s="19">
        <f>0</f>
        <v>0</v>
      </c>
      <c r="X13" s="19">
        <f>0</f>
        <v>0</v>
      </c>
    </row>
    <row r="14" spans="1:24" ht="15" customHeight="1" outlineLevel="2">
      <c r="A14" s="14" t="s">
        <v>22</v>
      </c>
      <c r="B14" s="15"/>
      <c r="C14" s="303" t="s">
        <v>23</v>
      </c>
      <c r="D14" s="303"/>
      <c r="E14" s="303"/>
      <c r="F14" s="16">
        <f>1236529.16</f>
        <v>1236529.1599999999</v>
      </c>
      <c r="G14" s="17">
        <f>3311962.3</f>
        <v>3311962.3</v>
      </c>
      <c r="H14" s="17">
        <f>12055432</f>
        <v>12055432</v>
      </c>
      <c r="I14" s="18">
        <f>11365479.27</f>
        <v>11365479.27</v>
      </c>
      <c r="J14" s="19">
        <f>3123512</f>
        <v>3123512</v>
      </c>
      <c r="K14" s="19">
        <v>2175163.65</v>
      </c>
      <c r="L14" s="286">
        <f t="shared" si="0"/>
        <v>0.69638395818552956</v>
      </c>
      <c r="M14" s="279">
        <f>3199900</f>
        <v>3199900</v>
      </c>
      <c r="N14" s="19">
        <f>1000000</f>
        <v>1000000</v>
      </c>
      <c r="O14" s="19">
        <f>1500000</f>
        <v>1500000</v>
      </c>
      <c r="P14" s="19">
        <f>1000000</f>
        <v>1000000</v>
      </c>
      <c r="Q14" s="19">
        <f>0</f>
        <v>0</v>
      </c>
      <c r="R14" s="19">
        <f>0</f>
        <v>0</v>
      </c>
      <c r="S14" s="19">
        <f>0</f>
        <v>0</v>
      </c>
      <c r="T14" s="19">
        <f>0</f>
        <v>0</v>
      </c>
      <c r="U14" s="19">
        <f>0</f>
        <v>0</v>
      </c>
      <c r="V14" s="19">
        <f>0</f>
        <v>0</v>
      </c>
      <c r="W14" s="19">
        <f>0</f>
        <v>0</v>
      </c>
      <c r="X14" s="19">
        <f>0</f>
        <v>0</v>
      </c>
    </row>
    <row r="15" spans="1:24" ht="15" customHeight="1" outlineLevel="2">
      <c r="A15" s="14" t="s">
        <v>24</v>
      </c>
      <c r="B15" s="15"/>
      <c r="C15" s="20"/>
      <c r="D15" s="303" t="s">
        <v>25</v>
      </c>
      <c r="E15" s="303"/>
      <c r="F15" s="16">
        <f>406325.44</f>
        <v>406325.44</v>
      </c>
      <c r="G15" s="17">
        <f>266109.93</f>
        <v>266109.93</v>
      </c>
      <c r="H15" s="17">
        <f>2000000</f>
        <v>2000000</v>
      </c>
      <c r="I15" s="18">
        <f>1762385.42</f>
        <v>1762385.42</v>
      </c>
      <c r="J15" s="19">
        <f>698000</f>
        <v>698000</v>
      </c>
      <c r="K15" s="19">
        <v>208695.06</v>
      </c>
      <c r="L15" s="286">
        <f t="shared" si="0"/>
        <v>0.29899005730659023</v>
      </c>
      <c r="M15" s="279">
        <f>600900</f>
        <v>600900</v>
      </c>
      <c r="N15" s="19">
        <f>1000000</f>
        <v>1000000</v>
      </c>
      <c r="O15" s="19">
        <f>1500000</f>
        <v>1500000</v>
      </c>
      <c r="P15" s="19">
        <f>1000000</f>
        <v>1000000</v>
      </c>
      <c r="Q15" s="19">
        <f>0</f>
        <v>0</v>
      </c>
      <c r="R15" s="19">
        <f>0</f>
        <v>0</v>
      </c>
      <c r="S15" s="19">
        <f>0</f>
        <v>0</v>
      </c>
      <c r="T15" s="19">
        <f>0</f>
        <v>0</v>
      </c>
      <c r="U15" s="19">
        <f>0</f>
        <v>0</v>
      </c>
      <c r="V15" s="19">
        <f>0</f>
        <v>0</v>
      </c>
      <c r="W15" s="19">
        <f>0</f>
        <v>0</v>
      </c>
      <c r="X15" s="19">
        <f>0</f>
        <v>0</v>
      </c>
    </row>
    <row r="16" spans="1:24" ht="15" customHeight="1" outlineLevel="2">
      <c r="A16" s="14" t="s">
        <v>26</v>
      </c>
      <c r="B16" s="15"/>
      <c r="C16" s="20"/>
      <c r="D16" s="303" t="s">
        <v>27</v>
      </c>
      <c r="E16" s="303"/>
      <c r="F16" s="16">
        <f>813854.64</f>
        <v>813854.64</v>
      </c>
      <c r="G16" s="17">
        <f>6481713.97</f>
        <v>6481713.9699999997</v>
      </c>
      <c r="H16" s="17">
        <f>10051432</f>
        <v>10051432</v>
      </c>
      <c r="I16" s="18">
        <f>9569850.87</f>
        <v>9569850.8699999992</v>
      </c>
      <c r="J16" s="19">
        <f>2421512</f>
        <v>2421512</v>
      </c>
      <c r="K16" s="19">
        <v>1964061.19</v>
      </c>
      <c r="L16" s="286">
        <f t="shared" si="0"/>
        <v>0.81108877015682757</v>
      </c>
      <c r="M16" s="279">
        <f>2599000</f>
        <v>2599000</v>
      </c>
      <c r="N16" s="19">
        <f>0</f>
        <v>0</v>
      </c>
      <c r="O16" s="19">
        <f>0</f>
        <v>0</v>
      </c>
      <c r="P16" s="19">
        <f>0</f>
        <v>0</v>
      </c>
      <c r="Q16" s="19">
        <f>0</f>
        <v>0</v>
      </c>
      <c r="R16" s="19">
        <f>0</f>
        <v>0</v>
      </c>
      <c r="S16" s="19">
        <f>0</f>
        <v>0</v>
      </c>
      <c r="T16" s="19">
        <f>0</f>
        <v>0</v>
      </c>
      <c r="U16" s="19">
        <f>0</f>
        <v>0</v>
      </c>
      <c r="V16" s="19">
        <f>0</f>
        <v>0</v>
      </c>
      <c r="W16" s="19">
        <f>0</f>
        <v>0</v>
      </c>
      <c r="X16" s="19">
        <f>0</f>
        <v>0</v>
      </c>
    </row>
    <row r="17" spans="1:24" ht="15" customHeight="1" outlineLevel="1">
      <c r="A17" s="9">
        <v>2</v>
      </c>
      <c r="B17" s="305" t="s">
        <v>28</v>
      </c>
      <c r="C17" s="306"/>
      <c r="D17" s="306"/>
      <c r="E17" s="306"/>
      <c r="F17" s="10">
        <f>43246893.2</f>
        <v>43246893.200000003</v>
      </c>
      <c r="G17" s="11">
        <f>44225485.79</f>
        <v>44225485.789999999</v>
      </c>
      <c r="H17" s="11">
        <f>60442357</f>
        <v>60442357</v>
      </c>
      <c r="I17" s="12">
        <f>57174534.86</f>
        <v>57174534.859999999</v>
      </c>
      <c r="J17" s="13">
        <f>58251598.15</f>
        <v>58251598.149999999</v>
      </c>
      <c r="K17" s="13">
        <f>K18+K24</f>
        <v>27309915.079999998</v>
      </c>
      <c r="L17" s="285">
        <f t="shared" si="0"/>
        <v>0.46882688110420534</v>
      </c>
      <c r="M17" s="278">
        <f>47382369</f>
        <v>47382369</v>
      </c>
      <c r="N17" s="13">
        <f>45864749</f>
        <v>45864749</v>
      </c>
      <c r="O17" s="13">
        <f>47697094</f>
        <v>47697094</v>
      </c>
      <c r="P17" s="13">
        <f>48702773</f>
        <v>48702773</v>
      </c>
      <c r="Q17" s="13">
        <f>49186240</f>
        <v>49186240</v>
      </c>
      <c r="R17" s="13">
        <f>50730204</f>
        <v>50730204</v>
      </c>
      <c r="S17" s="13">
        <f>53070760</f>
        <v>53070760</v>
      </c>
      <c r="T17" s="13">
        <f>54746819</f>
        <v>54746819</v>
      </c>
      <c r="U17" s="13">
        <f>56464179</f>
        <v>56464179</v>
      </c>
      <c r="V17" s="13">
        <f>58298880</f>
        <v>58298880</v>
      </c>
      <c r="W17" s="13">
        <f>60019559</f>
        <v>60019559</v>
      </c>
      <c r="X17" s="13">
        <f>61362442.93</f>
        <v>61362442.93</v>
      </c>
    </row>
    <row r="18" spans="1:24" ht="15" customHeight="1" outlineLevel="2">
      <c r="A18" s="14" t="s">
        <v>29</v>
      </c>
      <c r="B18" s="15"/>
      <c r="C18" s="303" t="s">
        <v>30</v>
      </c>
      <c r="D18" s="303"/>
      <c r="E18" s="303"/>
      <c r="F18" s="16">
        <f>39016612.57</f>
        <v>39016612.57</v>
      </c>
      <c r="G18" s="17">
        <f>38909726.63</f>
        <v>38909726.630000003</v>
      </c>
      <c r="H18" s="17">
        <f>41900213</f>
        <v>41900213</v>
      </c>
      <c r="I18" s="18">
        <f>41279194.72</f>
        <v>41279194.719999999</v>
      </c>
      <c r="J18" s="19">
        <f>45274533.15</f>
        <v>45274533.149999999</v>
      </c>
      <c r="K18" s="19">
        <v>22787177.84</v>
      </c>
      <c r="L18" s="286">
        <f t="shared" si="0"/>
        <v>0.50331116092358874</v>
      </c>
      <c r="M18" s="279">
        <f>42800000</f>
        <v>42800000</v>
      </c>
      <c r="N18" s="19">
        <f>44864749</f>
        <v>44864749</v>
      </c>
      <c r="O18" s="19">
        <f>46197094</f>
        <v>46197094</v>
      </c>
      <c r="P18" s="19">
        <f>47702773</f>
        <v>47702773</v>
      </c>
      <c r="Q18" s="19">
        <f>49186240</f>
        <v>49186240</v>
      </c>
      <c r="R18" s="19">
        <f>50730204</f>
        <v>50730204</v>
      </c>
      <c r="S18" s="19">
        <f>53070760</f>
        <v>53070760</v>
      </c>
      <c r="T18" s="19">
        <f>54746819</f>
        <v>54746819</v>
      </c>
      <c r="U18" s="19">
        <f>56464179</f>
        <v>56464179</v>
      </c>
      <c r="V18" s="19">
        <f>58298880</f>
        <v>58298880</v>
      </c>
      <c r="W18" s="19">
        <f>60019559</f>
        <v>60019559</v>
      </c>
      <c r="X18" s="19">
        <f>61362442.93</f>
        <v>61362442.93</v>
      </c>
    </row>
    <row r="19" spans="1:24" ht="15" customHeight="1" outlineLevel="2">
      <c r="A19" s="14" t="s">
        <v>31</v>
      </c>
      <c r="B19" s="15"/>
      <c r="C19" s="20"/>
      <c r="D19" s="303" t="s">
        <v>32</v>
      </c>
      <c r="E19" s="303"/>
      <c r="F19" s="16">
        <f>0</f>
        <v>0</v>
      </c>
      <c r="G19" s="17">
        <f>0</f>
        <v>0</v>
      </c>
      <c r="H19" s="17">
        <f>0</f>
        <v>0</v>
      </c>
      <c r="I19" s="18">
        <f>0</f>
        <v>0</v>
      </c>
      <c r="J19" s="19">
        <f>0</f>
        <v>0</v>
      </c>
      <c r="K19" s="19">
        <v>0</v>
      </c>
      <c r="L19" s="286">
        <v>0</v>
      </c>
      <c r="M19" s="279">
        <f>0</f>
        <v>0</v>
      </c>
      <c r="N19" s="19">
        <f>0</f>
        <v>0</v>
      </c>
      <c r="O19" s="19">
        <f>0</f>
        <v>0</v>
      </c>
      <c r="P19" s="19">
        <f>0</f>
        <v>0</v>
      </c>
      <c r="Q19" s="19">
        <f>0</f>
        <v>0</v>
      </c>
      <c r="R19" s="19">
        <f>0</f>
        <v>0</v>
      </c>
      <c r="S19" s="19">
        <f>0</f>
        <v>0</v>
      </c>
      <c r="T19" s="19">
        <f>0</f>
        <v>0</v>
      </c>
      <c r="U19" s="19">
        <f>0</f>
        <v>0</v>
      </c>
      <c r="V19" s="19">
        <f>0</f>
        <v>0</v>
      </c>
      <c r="W19" s="19">
        <f>0</f>
        <v>0</v>
      </c>
      <c r="X19" s="19">
        <f>0</f>
        <v>0</v>
      </c>
    </row>
    <row r="20" spans="1:24" ht="48" customHeight="1" outlineLevel="2">
      <c r="A20" s="14" t="s">
        <v>33</v>
      </c>
      <c r="B20" s="15"/>
      <c r="C20" s="20"/>
      <c r="D20" s="20"/>
      <c r="E20" s="21" t="s">
        <v>34</v>
      </c>
      <c r="F20" s="16">
        <f>0</f>
        <v>0</v>
      </c>
      <c r="G20" s="17">
        <f>0</f>
        <v>0</v>
      </c>
      <c r="H20" s="17">
        <f>0</f>
        <v>0</v>
      </c>
      <c r="I20" s="18">
        <f>0</f>
        <v>0</v>
      </c>
      <c r="J20" s="19">
        <f>0</f>
        <v>0</v>
      </c>
      <c r="K20" s="19">
        <v>0</v>
      </c>
      <c r="L20" s="286">
        <v>0</v>
      </c>
      <c r="M20" s="279">
        <f>0</f>
        <v>0</v>
      </c>
      <c r="N20" s="19">
        <f>0</f>
        <v>0</v>
      </c>
      <c r="O20" s="19">
        <f>0</f>
        <v>0</v>
      </c>
      <c r="P20" s="19">
        <f>0</f>
        <v>0</v>
      </c>
      <c r="Q20" s="19">
        <f>0</f>
        <v>0</v>
      </c>
      <c r="R20" s="19">
        <f>0</f>
        <v>0</v>
      </c>
      <c r="S20" s="19">
        <f>0</f>
        <v>0</v>
      </c>
      <c r="T20" s="19">
        <f>0</f>
        <v>0</v>
      </c>
      <c r="U20" s="19">
        <f>0</f>
        <v>0</v>
      </c>
      <c r="V20" s="19">
        <f>0</f>
        <v>0</v>
      </c>
      <c r="W20" s="19">
        <f>0</f>
        <v>0</v>
      </c>
      <c r="X20" s="19">
        <f>0</f>
        <v>0</v>
      </c>
    </row>
    <row r="21" spans="1:24" ht="39" customHeight="1" outlineLevel="2">
      <c r="A21" s="14" t="s">
        <v>35</v>
      </c>
      <c r="B21" s="15"/>
      <c r="C21" s="20"/>
      <c r="D21" s="303" t="s">
        <v>36</v>
      </c>
      <c r="E21" s="303"/>
      <c r="F21" s="22" t="s">
        <v>37</v>
      </c>
      <c r="G21" s="23" t="s">
        <v>37</v>
      </c>
      <c r="H21" s="23" t="s">
        <v>37</v>
      </c>
      <c r="I21" s="24" t="s">
        <v>37</v>
      </c>
      <c r="J21" s="19">
        <f>0</f>
        <v>0</v>
      </c>
      <c r="K21" s="19">
        <v>0</v>
      </c>
      <c r="L21" s="286">
        <v>0</v>
      </c>
      <c r="M21" s="279">
        <f>0</f>
        <v>0</v>
      </c>
      <c r="N21" s="19">
        <f>0</f>
        <v>0</v>
      </c>
      <c r="O21" s="19">
        <f>0</f>
        <v>0</v>
      </c>
      <c r="P21" s="19">
        <f>0</f>
        <v>0</v>
      </c>
      <c r="Q21" s="19">
        <f>0</f>
        <v>0</v>
      </c>
      <c r="R21" s="19">
        <f>0</f>
        <v>0</v>
      </c>
      <c r="S21" s="19">
        <f>0</f>
        <v>0</v>
      </c>
      <c r="T21" s="19">
        <f>0</f>
        <v>0</v>
      </c>
      <c r="U21" s="19">
        <f>0</f>
        <v>0</v>
      </c>
      <c r="V21" s="19">
        <f>0</f>
        <v>0</v>
      </c>
      <c r="W21" s="19">
        <f>0</f>
        <v>0</v>
      </c>
      <c r="X21" s="19">
        <f>0</f>
        <v>0</v>
      </c>
    </row>
    <row r="22" spans="1:24" ht="15" customHeight="1" outlineLevel="2">
      <c r="A22" s="14" t="s">
        <v>38</v>
      </c>
      <c r="B22" s="15"/>
      <c r="C22" s="20"/>
      <c r="D22" s="303" t="s">
        <v>39</v>
      </c>
      <c r="E22" s="303"/>
      <c r="F22" s="16">
        <f>420828.04</f>
        <v>420828.04</v>
      </c>
      <c r="G22" s="17">
        <f>409887.96</f>
        <v>409887.96</v>
      </c>
      <c r="H22" s="17">
        <f>610000</f>
        <v>610000</v>
      </c>
      <c r="I22" s="18">
        <f>447259.47</f>
        <v>447259.47</v>
      </c>
      <c r="J22" s="19">
        <f>822300</f>
        <v>822300</v>
      </c>
      <c r="K22" s="19">
        <v>202543.23</v>
      </c>
      <c r="L22" s="286">
        <f>K22/J22</f>
        <v>0.2463130609266691</v>
      </c>
      <c r="M22" s="279">
        <f>771000</f>
        <v>771000</v>
      </c>
      <c r="N22" s="19">
        <f>671308</f>
        <v>671308</v>
      </c>
      <c r="O22" s="19">
        <f>579488</f>
        <v>579488</v>
      </c>
      <c r="P22" s="19">
        <f>486568</f>
        <v>486568</v>
      </c>
      <c r="Q22" s="19">
        <f>399548</f>
        <v>399548</v>
      </c>
      <c r="R22" s="19">
        <f>310428</f>
        <v>310428</v>
      </c>
      <c r="S22" s="19">
        <f>223200</f>
        <v>223200</v>
      </c>
      <c r="T22" s="19">
        <f>179432</f>
        <v>179432</v>
      </c>
      <c r="U22" s="19">
        <f>134800</f>
        <v>134800</v>
      </c>
      <c r="V22" s="19">
        <f>90700</f>
        <v>90700</v>
      </c>
      <c r="W22" s="19">
        <f>50400</f>
        <v>50400</v>
      </c>
      <c r="X22" s="19">
        <f>38200</f>
        <v>38200</v>
      </c>
    </row>
    <row r="23" spans="1:24" ht="15" customHeight="1" outlineLevel="2">
      <c r="A23" s="14" t="s">
        <v>40</v>
      </c>
      <c r="B23" s="15"/>
      <c r="C23" s="20"/>
      <c r="D23" s="20"/>
      <c r="E23" s="21" t="s">
        <v>41</v>
      </c>
      <c r="F23" s="16">
        <f>420828.04</f>
        <v>420828.04</v>
      </c>
      <c r="G23" s="17">
        <f>409887.96</f>
        <v>409887.96</v>
      </c>
      <c r="H23" s="17">
        <f>610000</f>
        <v>610000</v>
      </c>
      <c r="I23" s="18">
        <f>447259.47</f>
        <v>447259.47</v>
      </c>
      <c r="J23" s="19">
        <f>822300</f>
        <v>822300</v>
      </c>
      <c r="K23" s="19">
        <v>202543.23</v>
      </c>
      <c r="L23" s="286">
        <f>K23/J23</f>
        <v>0.2463130609266691</v>
      </c>
      <c r="M23" s="279">
        <f>771000</f>
        <v>771000</v>
      </c>
      <c r="N23" s="19">
        <f>671308</f>
        <v>671308</v>
      </c>
      <c r="O23" s="19">
        <f>579488</f>
        <v>579488</v>
      </c>
      <c r="P23" s="19">
        <f>486568</f>
        <v>486568</v>
      </c>
      <c r="Q23" s="19">
        <f>399548</f>
        <v>399548</v>
      </c>
      <c r="R23" s="19">
        <f>310428</f>
        <v>310428</v>
      </c>
      <c r="S23" s="19">
        <f>223200</f>
        <v>223200</v>
      </c>
      <c r="T23" s="19">
        <f>179432</f>
        <v>179432</v>
      </c>
      <c r="U23" s="19">
        <f>134800</f>
        <v>134800</v>
      </c>
      <c r="V23" s="19">
        <f>90700</f>
        <v>90700</v>
      </c>
      <c r="W23" s="19">
        <f>50400</f>
        <v>50400</v>
      </c>
      <c r="X23" s="19">
        <f>38200</f>
        <v>38200</v>
      </c>
    </row>
    <row r="24" spans="1:24" ht="15" customHeight="1" outlineLevel="2">
      <c r="A24" s="14" t="s">
        <v>42</v>
      </c>
      <c r="B24" s="15"/>
      <c r="C24" s="303" t="s">
        <v>43</v>
      </c>
      <c r="D24" s="303"/>
      <c r="E24" s="303"/>
      <c r="F24" s="16">
        <f>4230280.63</f>
        <v>4230280.63</v>
      </c>
      <c r="G24" s="17">
        <f>5315759.16</f>
        <v>5315759.16</v>
      </c>
      <c r="H24" s="17">
        <f>18542144</f>
        <v>18542144</v>
      </c>
      <c r="I24" s="18">
        <f>15895340.14</f>
        <v>15895340.140000001</v>
      </c>
      <c r="J24" s="19">
        <f>12977065</f>
        <v>12977065</v>
      </c>
      <c r="K24" s="19">
        <v>4522737.24</v>
      </c>
      <c r="L24" s="286">
        <f>K24/J24</f>
        <v>0.34851773031883559</v>
      </c>
      <c r="M24" s="279">
        <f>4582369</f>
        <v>4582369</v>
      </c>
      <c r="N24" s="19">
        <f>1000000</f>
        <v>1000000</v>
      </c>
      <c r="O24" s="19">
        <f>1500000</f>
        <v>1500000</v>
      </c>
      <c r="P24" s="19">
        <f>1000000</f>
        <v>1000000</v>
      </c>
      <c r="Q24" s="19">
        <f>0</f>
        <v>0</v>
      </c>
      <c r="R24" s="19">
        <f>0</f>
        <v>0</v>
      </c>
      <c r="S24" s="19">
        <f>0</f>
        <v>0</v>
      </c>
      <c r="T24" s="19">
        <f>0</f>
        <v>0</v>
      </c>
      <c r="U24" s="19">
        <f>0</f>
        <v>0</v>
      </c>
      <c r="V24" s="19">
        <f>0</f>
        <v>0</v>
      </c>
      <c r="W24" s="19">
        <f>0</f>
        <v>0</v>
      </c>
      <c r="X24" s="19">
        <f>0</f>
        <v>0</v>
      </c>
    </row>
    <row r="25" spans="1:24" ht="15" customHeight="1" outlineLevel="1">
      <c r="A25" s="9">
        <v>3</v>
      </c>
      <c r="B25" s="305" t="s">
        <v>44</v>
      </c>
      <c r="C25" s="306"/>
      <c r="D25" s="306"/>
      <c r="E25" s="306"/>
      <c r="F25" s="10">
        <f>300627.68</f>
        <v>300627.68</v>
      </c>
      <c r="G25" s="11">
        <f>-547368.13</f>
        <v>-547368.13</v>
      </c>
      <c r="H25" s="11">
        <f>-3757647.94</f>
        <v>-3757647.94</v>
      </c>
      <c r="I25" s="12">
        <f>-24750.59</f>
        <v>-24750.59</v>
      </c>
      <c r="J25" s="13">
        <f>-8033306</f>
        <v>-8033306</v>
      </c>
      <c r="K25" s="13">
        <f>K6-K17</f>
        <v>498098.74000000209</v>
      </c>
      <c r="L25" s="290" t="s">
        <v>37</v>
      </c>
      <c r="M25" s="278">
        <f>1767000</f>
        <v>1767000</v>
      </c>
      <c r="N25" s="13">
        <f>1664000</f>
        <v>1664000</v>
      </c>
      <c r="O25" s="13">
        <f>1664000</f>
        <v>1664000</v>
      </c>
      <c r="P25" s="13">
        <f>1614000</f>
        <v>1614000</v>
      </c>
      <c r="Q25" s="13">
        <f>1614000</f>
        <v>1614000</v>
      </c>
      <c r="R25" s="13">
        <f>1614000</f>
        <v>1614000</v>
      </c>
      <c r="S25" s="13">
        <f>882000</f>
        <v>882000</v>
      </c>
      <c r="T25" s="13">
        <f>882000</f>
        <v>882000</v>
      </c>
      <c r="U25" s="13">
        <f>876534</f>
        <v>876534</v>
      </c>
      <c r="V25" s="13">
        <f>833537</f>
        <v>833537</v>
      </c>
      <c r="W25" s="13">
        <f>420000</f>
        <v>420000</v>
      </c>
      <c r="X25" s="13">
        <f>414326.07</f>
        <v>414326.07</v>
      </c>
    </row>
    <row r="26" spans="1:24" ht="15" customHeight="1" outlineLevel="1">
      <c r="A26" s="9">
        <v>4</v>
      </c>
      <c r="B26" s="305" t="s">
        <v>45</v>
      </c>
      <c r="C26" s="306"/>
      <c r="D26" s="306"/>
      <c r="E26" s="306"/>
      <c r="F26" s="10">
        <f>3535082.05</f>
        <v>3535082.05</v>
      </c>
      <c r="G26" s="11">
        <f>2551831.52</f>
        <v>2551831.52</v>
      </c>
      <c r="H26" s="11">
        <f>4996597</f>
        <v>4996597</v>
      </c>
      <c r="I26" s="12">
        <f>4265508.67</f>
        <v>4265508.67</v>
      </c>
      <c r="J26" s="13">
        <f>8964706</f>
        <v>8964706</v>
      </c>
      <c r="K26" s="13">
        <f>K29+K31</f>
        <v>4258430.22</v>
      </c>
      <c r="L26" s="285">
        <f>K26/J26</f>
        <v>0.47502173746690629</v>
      </c>
      <c r="M26" s="278">
        <f>0</f>
        <v>0</v>
      </c>
      <c r="N26" s="13">
        <f>0</f>
        <v>0</v>
      </c>
      <c r="O26" s="13">
        <f>0</f>
        <v>0</v>
      </c>
      <c r="P26" s="13">
        <f>0</f>
        <v>0</v>
      </c>
      <c r="Q26" s="13">
        <f>0</f>
        <v>0</v>
      </c>
      <c r="R26" s="13">
        <f>0</f>
        <v>0</v>
      </c>
      <c r="S26" s="13">
        <f>0</f>
        <v>0</v>
      </c>
      <c r="T26" s="13">
        <f>0</f>
        <v>0</v>
      </c>
      <c r="U26" s="13">
        <f>0</f>
        <v>0</v>
      </c>
      <c r="V26" s="13">
        <f>0</f>
        <v>0</v>
      </c>
      <c r="W26" s="13">
        <f>0</f>
        <v>0</v>
      </c>
      <c r="X26" s="13">
        <f>0</f>
        <v>0</v>
      </c>
    </row>
    <row r="27" spans="1:24" ht="15" customHeight="1" outlineLevel="2">
      <c r="A27" s="14" t="s">
        <v>46</v>
      </c>
      <c r="B27" s="15"/>
      <c r="C27" s="303" t="s">
        <v>47</v>
      </c>
      <c r="D27" s="303"/>
      <c r="E27" s="303"/>
      <c r="F27" s="16">
        <f>0</f>
        <v>0</v>
      </c>
      <c r="G27" s="17">
        <f>0</f>
        <v>0</v>
      </c>
      <c r="H27" s="17">
        <f>0</f>
        <v>0</v>
      </c>
      <c r="I27" s="18">
        <f>0</f>
        <v>0</v>
      </c>
      <c r="J27" s="19">
        <f>0</f>
        <v>0</v>
      </c>
      <c r="K27" s="19">
        <v>0</v>
      </c>
      <c r="L27" s="286">
        <v>0</v>
      </c>
      <c r="M27" s="279">
        <f>0</f>
        <v>0</v>
      </c>
      <c r="N27" s="19">
        <f>0</f>
        <v>0</v>
      </c>
      <c r="O27" s="19">
        <f>0</f>
        <v>0</v>
      </c>
      <c r="P27" s="19">
        <f>0</f>
        <v>0</v>
      </c>
      <c r="Q27" s="19">
        <f>0</f>
        <v>0</v>
      </c>
      <c r="R27" s="19">
        <f>0</f>
        <v>0</v>
      </c>
      <c r="S27" s="19">
        <f>0</f>
        <v>0</v>
      </c>
      <c r="T27" s="19">
        <f>0</f>
        <v>0</v>
      </c>
      <c r="U27" s="19">
        <f>0</f>
        <v>0</v>
      </c>
      <c r="V27" s="19">
        <f>0</f>
        <v>0</v>
      </c>
      <c r="W27" s="19">
        <f>0</f>
        <v>0</v>
      </c>
      <c r="X27" s="19">
        <f>0</f>
        <v>0</v>
      </c>
    </row>
    <row r="28" spans="1:24" ht="15" customHeight="1" outlineLevel="2">
      <c r="A28" s="14" t="s">
        <v>48</v>
      </c>
      <c r="B28" s="15"/>
      <c r="C28" s="20"/>
      <c r="D28" s="303" t="s">
        <v>49</v>
      </c>
      <c r="E28" s="303"/>
      <c r="F28" s="16">
        <f>0</f>
        <v>0</v>
      </c>
      <c r="G28" s="17">
        <f>0</f>
        <v>0</v>
      </c>
      <c r="H28" s="17">
        <f>0</f>
        <v>0</v>
      </c>
      <c r="I28" s="18">
        <f>0</f>
        <v>0</v>
      </c>
      <c r="J28" s="19">
        <f>0</f>
        <v>0</v>
      </c>
      <c r="K28" s="19">
        <v>0</v>
      </c>
      <c r="L28" s="286">
        <v>0</v>
      </c>
      <c r="M28" s="279">
        <f>0</f>
        <v>0</v>
      </c>
      <c r="N28" s="19">
        <f>0</f>
        <v>0</v>
      </c>
      <c r="O28" s="19">
        <f>0</f>
        <v>0</v>
      </c>
      <c r="P28" s="19">
        <f>0</f>
        <v>0</v>
      </c>
      <c r="Q28" s="19">
        <f>0</f>
        <v>0</v>
      </c>
      <c r="R28" s="19">
        <f>0</f>
        <v>0</v>
      </c>
      <c r="S28" s="19">
        <f>0</f>
        <v>0</v>
      </c>
      <c r="T28" s="19">
        <f>0</f>
        <v>0</v>
      </c>
      <c r="U28" s="19">
        <f>0</f>
        <v>0</v>
      </c>
      <c r="V28" s="19">
        <f>0</f>
        <v>0</v>
      </c>
      <c r="W28" s="19">
        <f>0</f>
        <v>0</v>
      </c>
      <c r="X28" s="19">
        <f>0</f>
        <v>0</v>
      </c>
    </row>
    <row r="29" spans="1:24" ht="15" customHeight="1" outlineLevel="2">
      <c r="A29" s="14" t="s">
        <v>50</v>
      </c>
      <c r="B29" s="15"/>
      <c r="C29" s="303" t="s">
        <v>51</v>
      </c>
      <c r="D29" s="303"/>
      <c r="E29" s="303"/>
      <c r="F29" s="16">
        <f>3535082.05</f>
        <v>3535082.05</v>
      </c>
      <c r="G29" s="17">
        <f>2396597.73</f>
        <v>2396597.73</v>
      </c>
      <c r="H29" s="17">
        <f>607500</f>
        <v>607500</v>
      </c>
      <c r="I29" s="18">
        <f>607551.39</f>
        <v>607551.39</v>
      </c>
      <c r="J29" s="19">
        <f>2931500</f>
        <v>2931500</v>
      </c>
      <c r="K29" s="19">
        <f>K30</f>
        <v>3001809.02</v>
      </c>
      <c r="L29" s="286">
        <f>K29/J29</f>
        <v>1.0239839740747059</v>
      </c>
      <c r="M29" s="279">
        <f>0</f>
        <v>0</v>
      </c>
      <c r="N29" s="19">
        <f>0</f>
        <v>0</v>
      </c>
      <c r="O29" s="19">
        <f>0</f>
        <v>0</v>
      </c>
      <c r="P29" s="19">
        <f>0</f>
        <v>0</v>
      </c>
      <c r="Q29" s="19">
        <f>0</f>
        <v>0</v>
      </c>
      <c r="R29" s="19">
        <f>0</f>
        <v>0</v>
      </c>
      <c r="S29" s="19">
        <f>0</f>
        <v>0</v>
      </c>
      <c r="T29" s="19">
        <f>0</f>
        <v>0</v>
      </c>
      <c r="U29" s="19">
        <f>0</f>
        <v>0</v>
      </c>
      <c r="V29" s="19">
        <f>0</f>
        <v>0</v>
      </c>
      <c r="W29" s="19">
        <f>0</f>
        <v>0</v>
      </c>
      <c r="X29" s="19">
        <f>0</f>
        <v>0</v>
      </c>
    </row>
    <row r="30" spans="1:24" ht="15" customHeight="1" outlineLevel="2">
      <c r="A30" s="14" t="s">
        <v>52</v>
      </c>
      <c r="B30" s="15"/>
      <c r="C30" s="20"/>
      <c r="D30" s="303" t="s">
        <v>49</v>
      </c>
      <c r="E30" s="303"/>
      <c r="F30" s="16">
        <f>0</f>
        <v>0</v>
      </c>
      <c r="G30" s="17">
        <f>1789046.34</f>
        <v>1789046.34</v>
      </c>
      <c r="H30" s="17">
        <f>607500</f>
        <v>607500</v>
      </c>
      <c r="I30" s="18">
        <f>0</f>
        <v>0</v>
      </c>
      <c r="J30" s="19">
        <f>2931500</f>
        <v>2931500</v>
      </c>
      <c r="K30" s="19">
        <v>3001809.02</v>
      </c>
      <c r="L30" s="286">
        <f t="shared" ref="L30:L36" si="1">K30/J30</f>
        <v>1.0239839740747059</v>
      </c>
      <c r="M30" s="279">
        <f>0</f>
        <v>0</v>
      </c>
      <c r="N30" s="19">
        <f>0</f>
        <v>0</v>
      </c>
      <c r="O30" s="19">
        <f>0</f>
        <v>0</v>
      </c>
      <c r="P30" s="19">
        <f>0</f>
        <v>0</v>
      </c>
      <c r="Q30" s="19">
        <f>0</f>
        <v>0</v>
      </c>
      <c r="R30" s="19">
        <f>0</f>
        <v>0</v>
      </c>
      <c r="S30" s="19">
        <f>0</f>
        <v>0</v>
      </c>
      <c r="T30" s="19">
        <f>0</f>
        <v>0</v>
      </c>
      <c r="U30" s="19">
        <f>0</f>
        <v>0</v>
      </c>
      <c r="V30" s="19">
        <f>0</f>
        <v>0</v>
      </c>
      <c r="W30" s="19">
        <f>0</f>
        <v>0</v>
      </c>
      <c r="X30" s="19">
        <f>0</f>
        <v>0</v>
      </c>
    </row>
    <row r="31" spans="1:24" ht="15" customHeight="1" outlineLevel="2">
      <c r="A31" s="14" t="s">
        <v>53</v>
      </c>
      <c r="B31" s="15"/>
      <c r="C31" s="303" t="s">
        <v>54</v>
      </c>
      <c r="D31" s="303"/>
      <c r="E31" s="303"/>
      <c r="F31" s="16">
        <f>0</f>
        <v>0</v>
      </c>
      <c r="G31" s="17">
        <f>155233.79</f>
        <v>155233.79</v>
      </c>
      <c r="H31" s="17">
        <f>4389097</f>
        <v>4389097</v>
      </c>
      <c r="I31" s="18">
        <f>3657957.28</f>
        <v>3657957.28</v>
      </c>
      <c r="J31" s="19">
        <f>6033206</f>
        <v>6033206</v>
      </c>
      <c r="K31" s="19">
        <v>1256621.2</v>
      </c>
      <c r="L31" s="286">
        <f t="shared" si="1"/>
        <v>0.20828415273736717</v>
      </c>
      <c r="M31" s="279">
        <f>0</f>
        <v>0</v>
      </c>
      <c r="N31" s="19">
        <f>0</f>
        <v>0</v>
      </c>
      <c r="O31" s="19">
        <f>0</f>
        <v>0</v>
      </c>
      <c r="P31" s="19">
        <f>0</f>
        <v>0</v>
      </c>
      <c r="Q31" s="19">
        <f>0</f>
        <v>0</v>
      </c>
      <c r="R31" s="19">
        <f>0</f>
        <v>0</v>
      </c>
      <c r="S31" s="19">
        <f>0</f>
        <v>0</v>
      </c>
      <c r="T31" s="19">
        <f>0</f>
        <v>0</v>
      </c>
      <c r="U31" s="19">
        <f>0</f>
        <v>0</v>
      </c>
      <c r="V31" s="19">
        <f>0</f>
        <v>0</v>
      </c>
      <c r="W31" s="19">
        <f>0</f>
        <v>0</v>
      </c>
      <c r="X31" s="19">
        <f>0</f>
        <v>0</v>
      </c>
    </row>
    <row r="32" spans="1:24" ht="15" customHeight="1" outlineLevel="2">
      <c r="A32" s="14" t="s">
        <v>55</v>
      </c>
      <c r="B32" s="15"/>
      <c r="C32" s="20"/>
      <c r="D32" s="303" t="s">
        <v>49</v>
      </c>
      <c r="E32" s="303"/>
      <c r="F32" s="16">
        <f>0</f>
        <v>0</v>
      </c>
      <c r="G32" s="17">
        <f>155233.79</f>
        <v>155233.79</v>
      </c>
      <c r="H32" s="17">
        <f>4389097</f>
        <v>4389097</v>
      </c>
      <c r="I32" s="18">
        <f>3657957.28</f>
        <v>3657957.28</v>
      </c>
      <c r="J32" s="19">
        <f>5101806</f>
        <v>5101806</v>
      </c>
      <c r="K32" s="19">
        <v>0</v>
      </c>
      <c r="L32" s="286">
        <f t="shared" si="1"/>
        <v>0</v>
      </c>
      <c r="M32" s="279">
        <f>0</f>
        <v>0</v>
      </c>
      <c r="N32" s="19">
        <f>0</f>
        <v>0</v>
      </c>
      <c r="O32" s="19">
        <f>0</f>
        <v>0</v>
      </c>
      <c r="P32" s="19">
        <f>0</f>
        <v>0</v>
      </c>
      <c r="Q32" s="19">
        <f>0</f>
        <v>0</v>
      </c>
      <c r="R32" s="19">
        <f>0</f>
        <v>0</v>
      </c>
      <c r="S32" s="19">
        <f>0</f>
        <v>0</v>
      </c>
      <c r="T32" s="19">
        <f>0</f>
        <v>0</v>
      </c>
      <c r="U32" s="19">
        <f>0</f>
        <v>0</v>
      </c>
      <c r="V32" s="19">
        <f>0</f>
        <v>0</v>
      </c>
      <c r="W32" s="19">
        <f>0</f>
        <v>0</v>
      </c>
      <c r="X32" s="19">
        <f>0</f>
        <v>0</v>
      </c>
    </row>
    <row r="33" spans="1:24" ht="15" customHeight="1" outlineLevel="2">
      <c r="A33" s="14" t="s">
        <v>56</v>
      </c>
      <c r="B33" s="15"/>
      <c r="C33" s="303" t="s">
        <v>57</v>
      </c>
      <c r="D33" s="303"/>
      <c r="E33" s="303"/>
      <c r="F33" s="16">
        <f>0</f>
        <v>0</v>
      </c>
      <c r="G33" s="17">
        <f>0</f>
        <v>0</v>
      </c>
      <c r="H33" s="17">
        <f>0</f>
        <v>0</v>
      </c>
      <c r="I33" s="18">
        <f>0</f>
        <v>0</v>
      </c>
      <c r="J33" s="19">
        <f>0</f>
        <v>0</v>
      </c>
      <c r="K33" s="19">
        <v>0</v>
      </c>
      <c r="L33" s="286">
        <v>0</v>
      </c>
      <c r="M33" s="279">
        <f>0</f>
        <v>0</v>
      </c>
      <c r="N33" s="19">
        <f>0</f>
        <v>0</v>
      </c>
      <c r="O33" s="19">
        <f>0</f>
        <v>0</v>
      </c>
      <c r="P33" s="19">
        <f>0</f>
        <v>0</v>
      </c>
      <c r="Q33" s="19">
        <f>0</f>
        <v>0</v>
      </c>
      <c r="R33" s="19">
        <f>0</f>
        <v>0</v>
      </c>
      <c r="S33" s="19">
        <f>0</f>
        <v>0</v>
      </c>
      <c r="T33" s="19">
        <f>0</f>
        <v>0</v>
      </c>
      <c r="U33" s="19">
        <f>0</f>
        <v>0</v>
      </c>
      <c r="V33" s="19">
        <f>0</f>
        <v>0</v>
      </c>
      <c r="W33" s="19">
        <f>0</f>
        <v>0</v>
      </c>
      <c r="X33" s="19">
        <f>0</f>
        <v>0</v>
      </c>
    </row>
    <row r="34" spans="1:24" ht="15" customHeight="1" outlineLevel="2">
      <c r="A34" s="14" t="s">
        <v>58</v>
      </c>
      <c r="B34" s="15"/>
      <c r="C34" s="20"/>
      <c r="D34" s="303" t="s">
        <v>49</v>
      </c>
      <c r="E34" s="303"/>
      <c r="F34" s="16">
        <f>0</f>
        <v>0</v>
      </c>
      <c r="G34" s="17">
        <f>0</f>
        <v>0</v>
      </c>
      <c r="H34" s="17">
        <f>0</f>
        <v>0</v>
      </c>
      <c r="I34" s="18">
        <f>0</f>
        <v>0</v>
      </c>
      <c r="J34" s="19">
        <f>0</f>
        <v>0</v>
      </c>
      <c r="K34" s="19">
        <v>0</v>
      </c>
      <c r="L34" s="286">
        <v>0</v>
      </c>
      <c r="M34" s="279">
        <f>0</f>
        <v>0</v>
      </c>
      <c r="N34" s="19">
        <f>0</f>
        <v>0</v>
      </c>
      <c r="O34" s="19">
        <f>0</f>
        <v>0</v>
      </c>
      <c r="P34" s="19">
        <f>0</f>
        <v>0</v>
      </c>
      <c r="Q34" s="19">
        <f>0</f>
        <v>0</v>
      </c>
      <c r="R34" s="19">
        <f>0</f>
        <v>0</v>
      </c>
      <c r="S34" s="19">
        <f>0</f>
        <v>0</v>
      </c>
      <c r="T34" s="19">
        <f>0</f>
        <v>0</v>
      </c>
      <c r="U34" s="19">
        <f>0</f>
        <v>0</v>
      </c>
      <c r="V34" s="19">
        <f>0</f>
        <v>0</v>
      </c>
      <c r="W34" s="19">
        <f>0</f>
        <v>0</v>
      </c>
      <c r="X34" s="19">
        <f>0</f>
        <v>0</v>
      </c>
    </row>
    <row r="35" spans="1:24" ht="15" customHeight="1" outlineLevel="1">
      <c r="A35" s="9">
        <v>5</v>
      </c>
      <c r="B35" s="305" t="s">
        <v>59</v>
      </c>
      <c r="C35" s="306"/>
      <c r="D35" s="306"/>
      <c r="E35" s="306"/>
      <c r="F35" s="10">
        <f>1439112</f>
        <v>1439112</v>
      </c>
      <c r="G35" s="11">
        <f>1396912</f>
        <v>1396912</v>
      </c>
      <c r="H35" s="11">
        <f>1238949.06</f>
        <v>1238949.06</v>
      </c>
      <c r="I35" s="12">
        <f>1238949.06</f>
        <v>1238949.06</v>
      </c>
      <c r="J35" s="13">
        <f>931400</f>
        <v>931400</v>
      </c>
      <c r="K35" s="13">
        <v>0</v>
      </c>
      <c r="L35" s="286">
        <f t="shared" si="1"/>
        <v>0</v>
      </c>
      <c r="M35" s="278">
        <f>1767000</f>
        <v>1767000</v>
      </c>
      <c r="N35" s="13">
        <f>1664000</f>
        <v>1664000</v>
      </c>
      <c r="O35" s="13">
        <f>1664000</f>
        <v>1664000</v>
      </c>
      <c r="P35" s="13">
        <f t="shared" ref="P35:R36" si="2">1614000</f>
        <v>1614000</v>
      </c>
      <c r="Q35" s="13">
        <f t="shared" si="2"/>
        <v>1614000</v>
      </c>
      <c r="R35" s="13">
        <f t="shared" si="2"/>
        <v>1614000</v>
      </c>
      <c r="S35" s="13">
        <f>882000</f>
        <v>882000</v>
      </c>
      <c r="T35" s="13">
        <f>882000</f>
        <v>882000</v>
      </c>
      <c r="U35" s="13">
        <f>876534</f>
        <v>876534</v>
      </c>
      <c r="V35" s="13">
        <f>833537</f>
        <v>833537</v>
      </c>
      <c r="W35" s="13">
        <f>420000</f>
        <v>420000</v>
      </c>
      <c r="X35" s="13">
        <f>414326.07</f>
        <v>414326.07</v>
      </c>
    </row>
    <row r="36" spans="1:24" ht="15" customHeight="1" outlineLevel="2">
      <c r="A36" s="14" t="s">
        <v>60</v>
      </c>
      <c r="B36" s="15"/>
      <c r="C36" s="303" t="s">
        <v>61</v>
      </c>
      <c r="D36" s="303"/>
      <c r="E36" s="303"/>
      <c r="F36" s="16">
        <f>1439112</f>
        <v>1439112</v>
      </c>
      <c r="G36" s="17">
        <f>1396912</f>
        <v>1396912</v>
      </c>
      <c r="H36" s="17">
        <f>1238949.06</f>
        <v>1238949.06</v>
      </c>
      <c r="I36" s="18">
        <f>1238949.06</f>
        <v>1238949.06</v>
      </c>
      <c r="J36" s="19">
        <f>931400</f>
        <v>931400</v>
      </c>
      <c r="K36" s="19">
        <v>0</v>
      </c>
      <c r="L36" s="286">
        <f t="shared" si="1"/>
        <v>0</v>
      </c>
      <c r="M36" s="279">
        <f>1767000</f>
        <v>1767000</v>
      </c>
      <c r="N36" s="19">
        <f>1664000</f>
        <v>1664000</v>
      </c>
      <c r="O36" s="19">
        <f>1664000</f>
        <v>1664000</v>
      </c>
      <c r="P36" s="19">
        <f t="shared" si="2"/>
        <v>1614000</v>
      </c>
      <c r="Q36" s="19">
        <f t="shared" si="2"/>
        <v>1614000</v>
      </c>
      <c r="R36" s="19">
        <f t="shared" si="2"/>
        <v>1614000</v>
      </c>
      <c r="S36" s="19">
        <f>882000</f>
        <v>882000</v>
      </c>
      <c r="T36" s="19">
        <f>882000</f>
        <v>882000</v>
      </c>
      <c r="U36" s="19">
        <f>876534</f>
        <v>876534</v>
      </c>
      <c r="V36" s="19">
        <f>833537</f>
        <v>833537</v>
      </c>
      <c r="W36" s="19">
        <f>420000</f>
        <v>420000</v>
      </c>
      <c r="X36" s="19">
        <f>414326.07</f>
        <v>414326.07</v>
      </c>
    </row>
    <row r="37" spans="1:24" ht="62.25" customHeight="1" outlineLevel="2">
      <c r="A37" s="14" t="s">
        <v>62</v>
      </c>
      <c r="B37" s="15"/>
      <c r="C37" s="20"/>
      <c r="D37" s="303" t="s">
        <v>63</v>
      </c>
      <c r="E37" s="303"/>
      <c r="F37" s="16">
        <f>0</f>
        <v>0</v>
      </c>
      <c r="G37" s="17">
        <f>0</f>
        <v>0</v>
      </c>
      <c r="H37" s="17">
        <f>0</f>
        <v>0</v>
      </c>
      <c r="I37" s="18">
        <f>0</f>
        <v>0</v>
      </c>
      <c r="J37" s="19">
        <f>0</f>
        <v>0</v>
      </c>
      <c r="K37" s="19">
        <v>0</v>
      </c>
      <c r="L37" s="286">
        <v>0</v>
      </c>
      <c r="M37" s="279">
        <f>0</f>
        <v>0</v>
      </c>
      <c r="N37" s="19">
        <f>0</f>
        <v>0</v>
      </c>
      <c r="O37" s="19">
        <f>0</f>
        <v>0</v>
      </c>
      <c r="P37" s="19">
        <f>0</f>
        <v>0</v>
      </c>
      <c r="Q37" s="19">
        <f>0</f>
        <v>0</v>
      </c>
      <c r="R37" s="19">
        <f>0</f>
        <v>0</v>
      </c>
      <c r="S37" s="19">
        <f>0</f>
        <v>0</v>
      </c>
      <c r="T37" s="19">
        <f>0</f>
        <v>0</v>
      </c>
      <c r="U37" s="19">
        <f>0</f>
        <v>0</v>
      </c>
      <c r="V37" s="19">
        <f>0</f>
        <v>0</v>
      </c>
      <c r="W37" s="19">
        <f>0</f>
        <v>0</v>
      </c>
      <c r="X37" s="19">
        <f>0</f>
        <v>0</v>
      </c>
    </row>
    <row r="38" spans="1:24" ht="25.5" customHeight="1" outlineLevel="2">
      <c r="A38" s="14" t="s">
        <v>64</v>
      </c>
      <c r="B38" s="15"/>
      <c r="C38" s="20"/>
      <c r="D38" s="20"/>
      <c r="E38" s="25" t="s">
        <v>65</v>
      </c>
      <c r="F38" s="16">
        <f>0</f>
        <v>0</v>
      </c>
      <c r="G38" s="17">
        <f>0</f>
        <v>0</v>
      </c>
      <c r="H38" s="17">
        <f>0</f>
        <v>0</v>
      </c>
      <c r="I38" s="18">
        <f>0</f>
        <v>0</v>
      </c>
      <c r="J38" s="19">
        <f>0</f>
        <v>0</v>
      </c>
      <c r="K38" s="19">
        <v>0</v>
      </c>
      <c r="L38" s="286">
        <v>0</v>
      </c>
      <c r="M38" s="279">
        <f>0</f>
        <v>0</v>
      </c>
      <c r="N38" s="19">
        <f>0</f>
        <v>0</v>
      </c>
      <c r="O38" s="19">
        <f>0</f>
        <v>0</v>
      </c>
      <c r="P38" s="19">
        <f>0</f>
        <v>0</v>
      </c>
      <c r="Q38" s="19">
        <f>0</f>
        <v>0</v>
      </c>
      <c r="R38" s="19">
        <f>0</f>
        <v>0</v>
      </c>
      <c r="S38" s="19">
        <f>0</f>
        <v>0</v>
      </c>
      <c r="T38" s="19">
        <f>0</f>
        <v>0</v>
      </c>
      <c r="U38" s="19">
        <f>0</f>
        <v>0</v>
      </c>
      <c r="V38" s="19">
        <f>0</f>
        <v>0</v>
      </c>
      <c r="W38" s="19">
        <f>0</f>
        <v>0</v>
      </c>
      <c r="X38" s="19">
        <f>0</f>
        <v>0</v>
      </c>
    </row>
    <row r="39" spans="1:24" ht="15" customHeight="1" outlineLevel="2">
      <c r="A39" s="14" t="s">
        <v>66</v>
      </c>
      <c r="B39" s="15"/>
      <c r="C39" s="303" t="s">
        <v>67</v>
      </c>
      <c r="D39" s="303"/>
      <c r="E39" s="303"/>
      <c r="F39" s="16">
        <f>0</f>
        <v>0</v>
      </c>
      <c r="G39" s="17">
        <f>0</f>
        <v>0</v>
      </c>
      <c r="H39" s="17">
        <f>0</f>
        <v>0</v>
      </c>
      <c r="I39" s="18">
        <f>0</f>
        <v>0</v>
      </c>
      <c r="J39" s="19">
        <f>0</f>
        <v>0</v>
      </c>
      <c r="K39" s="19">
        <v>0</v>
      </c>
      <c r="L39" s="286"/>
      <c r="M39" s="279">
        <f>0</f>
        <v>0</v>
      </c>
      <c r="N39" s="19">
        <f>0</f>
        <v>0</v>
      </c>
      <c r="O39" s="19">
        <f>0</f>
        <v>0</v>
      </c>
      <c r="P39" s="19">
        <f>0</f>
        <v>0</v>
      </c>
      <c r="Q39" s="19">
        <f>0</f>
        <v>0</v>
      </c>
      <c r="R39" s="19">
        <f>0</f>
        <v>0</v>
      </c>
      <c r="S39" s="19">
        <f>0</f>
        <v>0</v>
      </c>
      <c r="T39" s="19">
        <f>0</f>
        <v>0</v>
      </c>
      <c r="U39" s="19">
        <f>0</f>
        <v>0</v>
      </c>
      <c r="V39" s="19">
        <f>0</f>
        <v>0</v>
      </c>
      <c r="W39" s="19">
        <f>0</f>
        <v>0</v>
      </c>
      <c r="X39" s="19">
        <f>0</f>
        <v>0</v>
      </c>
    </row>
    <row r="40" spans="1:24" ht="15" customHeight="1" outlineLevel="1">
      <c r="A40" s="9">
        <v>6</v>
      </c>
      <c r="B40" s="305" t="s">
        <v>68</v>
      </c>
      <c r="C40" s="306"/>
      <c r="D40" s="306"/>
      <c r="E40" s="306"/>
      <c r="F40" s="10">
        <f>7966261.06</f>
        <v>7966261.0599999996</v>
      </c>
      <c r="G40" s="11">
        <f>6751361.85</f>
        <v>6751361.8499999996</v>
      </c>
      <c r="H40" s="11">
        <f>9874730.79</f>
        <v>9874730.7899999991</v>
      </c>
      <c r="I40" s="12">
        <f>9143591.07</f>
        <v>9143591.0700000003</v>
      </c>
      <c r="J40" s="13">
        <f>14245397.07</f>
        <v>14245397.07</v>
      </c>
      <c r="K40" s="13">
        <v>10400212.27</v>
      </c>
      <c r="L40" s="285">
        <f>K40/J40</f>
        <v>0.73007528108165254</v>
      </c>
      <c r="M40" s="278">
        <f>12478397.07</f>
        <v>12478397.07</v>
      </c>
      <c r="N40" s="13">
        <f>10814397.07</f>
        <v>10814397.07</v>
      </c>
      <c r="O40" s="13">
        <f>9150397.07</f>
        <v>9150397.0700000003</v>
      </c>
      <c r="P40" s="13">
        <f>7536397.07</f>
        <v>7536397.0700000003</v>
      </c>
      <c r="Q40" s="13">
        <f>5922397.07</f>
        <v>5922397.0700000003</v>
      </c>
      <c r="R40" s="13">
        <f>4308397.07</f>
        <v>4308397.07</v>
      </c>
      <c r="S40" s="13">
        <f>3426397.07</f>
        <v>3426397.07</v>
      </c>
      <c r="T40" s="13">
        <f>2544397.07</f>
        <v>2544397.0699999998</v>
      </c>
      <c r="U40" s="13">
        <f>1667863.07</f>
        <v>1667863.07</v>
      </c>
      <c r="V40" s="13">
        <f>834326.07</f>
        <v>834326.07</v>
      </c>
      <c r="W40" s="13">
        <f>414326.07</f>
        <v>414326.07</v>
      </c>
      <c r="X40" s="13">
        <f>0</f>
        <v>0</v>
      </c>
    </row>
    <row r="41" spans="1:24" ht="25.5" customHeight="1" outlineLevel="2">
      <c r="A41" s="14" t="s">
        <v>69</v>
      </c>
      <c r="B41" s="15"/>
      <c r="C41" s="303" t="s">
        <v>70</v>
      </c>
      <c r="D41" s="303"/>
      <c r="E41" s="303"/>
      <c r="F41" s="16">
        <f>0</f>
        <v>0</v>
      </c>
      <c r="G41" s="17">
        <f>0</f>
        <v>0</v>
      </c>
      <c r="H41" s="17">
        <f>0</f>
        <v>0</v>
      </c>
      <c r="I41" s="18">
        <f>0</f>
        <v>0</v>
      </c>
      <c r="J41" s="19">
        <f>0</f>
        <v>0</v>
      </c>
      <c r="K41" s="19">
        <v>0</v>
      </c>
      <c r="L41" s="286">
        <v>0</v>
      </c>
      <c r="M41" s="279">
        <f>0</f>
        <v>0</v>
      </c>
      <c r="N41" s="19">
        <f>0</f>
        <v>0</v>
      </c>
      <c r="O41" s="19">
        <f>0</f>
        <v>0</v>
      </c>
      <c r="P41" s="19">
        <f>0</f>
        <v>0</v>
      </c>
      <c r="Q41" s="19">
        <f>0</f>
        <v>0</v>
      </c>
      <c r="R41" s="19">
        <f>0</f>
        <v>0</v>
      </c>
      <c r="S41" s="19">
        <f>0</f>
        <v>0</v>
      </c>
      <c r="T41" s="19">
        <f>0</f>
        <v>0</v>
      </c>
      <c r="U41" s="19">
        <f>0</f>
        <v>0</v>
      </c>
      <c r="V41" s="19">
        <f>0</f>
        <v>0</v>
      </c>
      <c r="W41" s="19">
        <f>0</f>
        <v>0</v>
      </c>
      <c r="X41" s="19">
        <f>0</f>
        <v>0</v>
      </c>
    </row>
    <row r="42" spans="1:24" ht="15" customHeight="1" outlineLevel="2">
      <c r="A42" s="14" t="s">
        <v>71</v>
      </c>
      <c r="B42" s="15"/>
      <c r="C42" s="20"/>
      <c r="D42" s="303" t="s">
        <v>72</v>
      </c>
      <c r="E42" s="303"/>
      <c r="F42" s="16">
        <f>0</f>
        <v>0</v>
      </c>
      <c r="G42" s="17">
        <f>0</f>
        <v>0</v>
      </c>
      <c r="H42" s="17">
        <f>0</f>
        <v>0</v>
      </c>
      <c r="I42" s="18">
        <f>0</f>
        <v>0</v>
      </c>
      <c r="J42" s="19">
        <f>0</f>
        <v>0</v>
      </c>
      <c r="K42" s="19">
        <v>0</v>
      </c>
      <c r="L42" s="286">
        <v>0</v>
      </c>
      <c r="M42" s="279">
        <f>0</f>
        <v>0</v>
      </c>
      <c r="N42" s="19">
        <f>0</f>
        <v>0</v>
      </c>
      <c r="O42" s="19">
        <f>0</f>
        <v>0</v>
      </c>
      <c r="P42" s="19">
        <f>0</f>
        <v>0</v>
      </c>
      <c r="Q42" s="19">
        <f>0</f>
        <v>0</v>
      </c>
      <c r="R42" s="19">
        <f>0</f>
        <v>0</v>
      </c>
      <c r="S42" s="19">
        <f>0</f>
        <v>0</v>
      </c>
      <c r="T42" s="19">
        <f>0</f>
        <v>0</v>
      </c>
      <c r="U42" s="19">
        <f>0</f>
        <v>0</v>
      </c>
      <c r="V42" s="19">
        <f>0</f>
        <v>0</v>
      </c>
      <c r="W42" s="19">
        <f>0</f>
        <v>0</v>
      </c>
      <c r="X42" s="19">
        <f>0</f>
        <v>0</v>
      </c>
    </row>
    <row r="43" spans="1:24" ht="25.5" customHeight="1" outlineLevel="2">
      <c r="A43" s="14" t="s">
        <v>73</v>
      </c>
      <c r="B43" s="15"/>
      <c r="C43" s="303" t="s">
        <v>74</v>
      </c>
      <c r="D43" s="303"/>
      <c r="E43" s="303"/>
      <c r="F43" s="26">
        <f>0.1829</f>
        <v>0.18290000000000001</v>
      </c>
      <c r="G43" s="27">
        <f>0.1546</f>
        <v>0.15459999999999999</v>
      </c>
      <c r="H43" s="27">
        <f>0.1742</f>
        <v>0.17419999999999999</v>
      </c>
      <c r="I43" s="28">
        <f>0.16</f>
        <v>0.16</v>
      </c>
      <c r="J43" s="29">
        <f>0.2837</f>
        <v>0.28370000000000001</v>
      </c>
      <c r="K43" s="29">
        <f>K40/K6</f>
        <v>0.37400054305640446</v>
      </c>
      <c r="L43" s="288" t="s">
        <v>37</v>
      </c>
      <c r="M43" s="280">
        <f>0.2539</f>
        <v>0.25390000000000001</v>
      </c>
      <c r="N43" s="29">
        <f>0.2275</f>
        <v>0.22750000000000001</v>
      </c>
      <c r="O43" s="29">
        <f>0.1854</f>
        <v>0.18540000000000001</v>
      </c>
      <c r="P43" s="29">
        <f>0.1498</f>
        <v>0.14979999999999999</v>
      </c>
      <c r="Q43" s="29">
        <f>0.1166</f>
        <v>0.1166</v>
      </c>
      <c r="R43" s="29">
        <f>0.0823</f>
        <v>8.2299999999999998E-2</v>
      </c>
      <c r="S43" s="29">
        <f>0.0635</f>
        <v>6.3500000000000001E-2</v>
      </c>
      <c r="T43" s="29">
        <f>0.0457</f>
        <v>4.5699999999999998E-2</v>
      </c>
      <c r="U43" s="29">
        <f>0.0291</f>
        <v>2.9100000000000001E-2</v>
      </c>
      <c r="V43" s="29">
        <f>0.0141</f>
        <v>1.41E-2</v>
      </c>
      <c r="W43" s="29">
        <f>0.0069</f>
        <v>6.8999999999999999E-3</v>
      </c>
      <c r="X43" s="29">
        <f>0</f>
        <v>0</v>
      </c>
    </row>
    <row r="44" spans="1:24" ht="25.5" customHeight="1" outlineLevel="2">
      <c r="A44" s="14" t="s">
        <v>75</v>
      </c>
      <c r="B44" s="15"/>
      <c r="C44" s="303" t="s">
        <v>76</v>
      </c>
      <c r="D44" s="303"/>
      <c r="E44" s="303"/>
      <c r="F44" s="26">
        <f>0.1829</f>
        <v>0.18290000000000001</v>
      </c>
      <c r="G44" s="27">
        <f>0.1546</f>
        <v>0.15459999999999999</v>
      </c>
      <c r="H44" s="27">
        <f>0.1742</f>
        <v>0.17419999999999999</v>
      </c>
      <c r="I44" s="28">
        <f>0.16</f>
        <v>0.16</v>
      </c>
      <c r="J44" s="29">
        <f>0.2837</f>
        <v>0.28370000000000001</v>
      </c>
      <c r="K44" s="29">
        <f>(K40-K42)/K6</f>
        <v>0.37400054305640446</v>
      </c>
      <c r="L44" s="288" t="s">
        <v>37</v>
      </c>
      <c r="M44" s="280">
        <f>0.2539</f>
        <v>0.25390000000000001</v>
      </c>
      <c r="N44" s="29">
        <f>0.2275</f>
        <v>0.22750000000000001</v>
      </c>
      <c r="O44" s="29">
        <f>0.1854</f>
        <v>0.18540000000000001</v>
      </c>
      <c r="P44" s="29">
        <f>0.1498</f>
        <v>0.14979999999999999</v>
      </c>
      <c r="Q44" s="29">
        <f>0.1166</f>
        <v>0.1166</v>
      </c>
      <c r="R44" s="29">
        <f>0.0823</f>
        <v>8.2299999999999998E-2</v>
      </c>
      <c r="S44" s="29">
        <f>0.0635</f>
        <v>6.3500000000000001E-2</v>
      </c>
      <c r="T44" s="29">
        <f>0.0457</f>
        <v>4.5699999999999998E-2</v>
      </c>
      <c r="U44" s="29">
        <f>0.0291</f>
        <v>2.9100000000000001E-2</v>
      </c>
      <c r="V44" s="29">
        <f>0.0141</f>
        <v>1.41E-2</v>
      </c>
      <c r="W44" s="29">
        <f>0.0069</f>
        <v>6.8999999999999999E-3</v>
      </c>
      <c r="X44" s="29">
        <f>0</f>
        <v>0</v>
      </c>
    </row>
    <row r="45" spans="1:24" ht="39" customHeight="1" outlineLevel="1">
      <c r="A45" s="9">
        <v>7</v>
      </c>
      <c r="B45" s="305" t="s">
        <v>77</v>
      </c>
      <c r="C45" s="306"/>
      <c r="D45" s="306"/>
      <c r="E45" s="306"/>
      <c r="F45" s="10">
        <f>0</f>
        <v>0</v>
      </c>
      <c r="G45" s="11">
        <f>0</f>
        <v>0</v>
      </c>
      <c r="H45" s="11">
        <f>0</f>
        <v>0</v>
      </c>
      <c r="I45" s="12">
        <f>0</f>
        <v>0</v>
      </c>
      <c r="J45" s="13">
        <f>0</f>
        <v>0</v>
      </c>
      <c r="K45" s="13">
        <v>0</v>
      </c>
      <c r="L45" s="285">
        <v>0</v>
      </c>
      <c r="M45" s="278">
        <f>0</f>
        <v>0</v>
      </c>
      <c r="N45" s="13">
        <f>0</f>
        <v>0</v>
      </c>
      <c r="O45" s="13">
        <f>0</f>
        <v>0</v>
      </c>
      <c r="P45" s="13">
        <f>0</f>
        <v>0</v>
      </c>
      <c r="Q45" s="13">
        <f>0</f>
        <v>0</v>
      </c>
      <c r="R45" s="13">
        <f>0</f>
        <v>0</v>
      </c>
      <c r="S45" s="13">
        <f>0</f>
        <v>0</v>
      </c>
      <c r="T45" s="13">
        <f>0</f>
        <v>0</v>
      </c>
      <c r="U45" s="13">
        <f>0</f>
        <v>0</v>
      </c>
      <c r="V45" s="13">
        <f>0</f>
        <v>0</v>
      </c>
      <c r="W45" s="13">
        <f>0</f>
        <v>0</v>
      </c>
      <c r="X45" s="13">
        <f>0</f>
        <v>0</v>
      </c>
    </row>
    <row r="46" spans="1:24" ht="15" customHeight="1" outlineLevel="1">
      <c r="A46" s="9">
        <v>8</v>
      </c>
      <c r="B46" s="305" t="s">
        <v>78</v>
      </c>
      <c r="C46" s="306"/>
      <c r="D46" s="306"/>
      <c r="E46" s="306"/>
      <c r="F46" s="30" t="s">
        <v>37</v>
      </c>
      <c r="G46" s="31" t="s">
        <v>37</v>
      </c>
      <c r="H46" s="31" t="s">
        <v>37</v>
      </c>
      <c r="I46" s="32" t="s">
        <v>37</v>
      </c>
      <c r="J46" s="33" t="s">
        <v>37</v>
      </c>
      <c r="K46" s="33" t="s">
        <v>37</v>
      </c>
      <c r="L46" s="287" t="s">
        <v>37</v>
      </c>
      <c r="M46" s="281" t="s">
        <v>37</v>
      </c>
      <c r="N46" s="33" t="s">
        <v>37</v>
      </c>
      <c r="O46" s="33" t="s">
        <v>37</v>
      </c>
      <c r="P46" s="33" t="s">
        <v>37</v>
      </c>
      <c r="Q46" s="33" t="s">
        <v>37</v>
      </c>
      <c r="R46" s="33" t="s">
        <v>37</v>
      </c>
      <c r="S46" s="33" t="s">
        <v>37</v>
      </c>
      <c r="T46" s="33" t="s">
        <v>37</v>
      </c>
      <c r="U46" s="33" t="s">
        <v>37</v>
      </c>
      <c r="V46" s="33" t="s">
        <v>37</v>
      </c>
      <c r="W46" s="33" t="s">
        <v>37</v>
      </c>
      <c r="X46" s="33" t="s">
        <v>37</v>
      </c>
    </row>
    <row r="47" spans="1:24" ht="15" customHeight="1" outlineLevel="2">
      <c r="A47" s="14" t="s">
        <v>79</v>
      </c>
      <c r="B47" s="15"/>
      <c r="C47" s="303" t="s">
        <v>80</v>
      </c>
      <c r="D47" s="303"/>
      <c r="E47" s="303"/>
      <c r="F47" s="16">
        <f>3294379.15</f>
        <v>3294379.15</v>
      </c>
      <c r="G47" s="17">
        <f>1456428.73</f>
        <v>1456428.73</v>
      </c>
      <c r="H47" s="17">
        <f>2729064.06</f>
        <v>2729064.06</v>
      </c>
      <c r="I47" s="18">
        <f>4505110.28</f>
        <v>4505110.28</v>
      </c>
      <c r="J47" s="19">
        <f>1820247</f>
        <v>1820247</v>
      </c>
      <c r="K47" s="19">
        <f>K7-K18</f>
        <v>2845672.3300000019</v>
      </c>
      <c r="L47" s="286">
        <f>K47/J47</f>
        <v>1.5633440571526842</v>
      </c>
      <c r="M47" s="279">
        <f>3149469</f>
        <v>3149469</v>
      </c>
      <c r="N47" s="19">
        <f>1664000</f>
        <v>1664000</v>
      </c>
      <c r="O47" s="19">
        <f>1664000</f>
        <v>1664000</v>
      </c>
      <c r="P47" s="19">
        <f t="shared" ref="P47:R48" si="3">1614000</f>
        <v>1614000</v>
      </c>
      <c r="Q47" s="19">
        <f t="shared" si="3"/>
        <v>1614000</v>
      </c>
      <c r="R47" s="19">
        <f t="shared" si="3"/>
        <v>1614000</v>
      </c>
      <c r="S47" s="19">
        <f>882000</f>
        <v>882000</v>
      </c>
      <c r="T47" s="19">
        <f>882000</f>
        <v>882000</v>
      </c>
      <c r="U47" s="19">
        <f>876534</f>
        <v>876534</v>
      </c>
      <c r="V47" s="19">
        <f>833537</f>
        <v>833537</v>
      </c>
      <c r="W47" s="19">
        <f>420000</f>
        <v>420000</v>
      </c>
      <c r="X47" s="19">
        <f>414326.07</f>
        <v>414326.07</v>
      </c>
    </row>
    <row r="48" spans="1:24" ht="39" customHeight="1" outlineLevel="2">
      <c r="A48" s="14" t="s">
        <v>81</v>
      </c>
      <c r="B48" s="15"/>
      <c r="C48" s="303" t="s">
        <v>82</v>
      </c>
      <c r="D48" s="303"/>
      <c r="E48" s="303"/>
      <c r="F48" s="16">
        <f>6829461.2</f>
        <v>6829461.2000000002</v>
      </c>
      <c r="G48" s="17">
        <f>3853026.46</f>
        <v>3853026.46</v>
      </c>
      <c r="H48" s="17">
        <f>3336564.06</f>
        <v>3336564.06</v>
      </c>
      <c r="I48" s="18">
        <f>5112661.67</f>
        <v>5112661.67</v>
      </c>
      <c r="J48" s="19">
        <f>4751747</f>
        <v>4751747</v>
      </c>
      <c r="K48" s="19">
        <f>K47+K30</f>
        <v>5847481.3500000015</v>
      </c>
      <c r="L48" s="286">
        <f>K48/J48</f>
        <v>1.2305961049693936</v>
      </c>
      <c r="M48" s="279">
        <f>3149469</f>
        <v>3149469</v>
      </c>
      <c r="N48" s="19">
        <f>1664000</f>
        <v>1664000</v>
      </c>
      <c r="O48" s="19">
        <f>1664000</f>
        <v>1664000</v>
      </c>
      <c r="P48" s="19">
        <f t="shared" si="3"/>
        <v>1614000</v>
      </c>
      <c r="Q48" s="19">
        <f t="shared" si="3"/>
        <v>1614000</v>
      </c>
      <c r="R48" s="19">
        <f t="shared" si="3"/>
        <v>1614000</v>
      </c>
      <c r="S48" s="19">
        <f>882000</f>
        <v>882000</v>
      </c>
      <c r="T48" s="19">
        <f>882000</f>
        <v>882000</v>
      </c>
      <c r="U48" s="19">
        <f>876534</f>
        <v>876534</v>
      </c>
      <c r="V48" s="19">
        <f>833537</f>
        <v>833537</v>
      </c>
      <c r="W48" s="19">
        <f>420000</f>
        <v>420000</v>
      </c>
      <c r="X48" s="19">
        <f>414326.07</f>
        <v>414326.07</v>
      </c>
    </row>
    <row r="49" spans="1:24" outlineLevel="1">
      <c r="A49" s="9">
        <v>9</v>
      </c>
      <c r="B49" s="305" t="s">
        <v>83</v>
      </c>
      <c r="C49" s="306"/>
      <c r="D49" s="306"/>
      <c r="E49" s="306"/>
      <c r="F49" s="30" t="s">
        <v>37</v>
      </c>
      <c r="G49" s="31" t="s">
        <v>37</v>
      </c>
      <c r="H49" s="31" t="s">
        <v>37</v>
      </c>
      <c r="I49" s="32" t="s">
        <v>37</v>
      </c>
      <c r="J49" s="33" t="s">
        <v>37</v>
      </c>
      <c r="K49" s="33" t="s">
        <v>37</v>
      </c>
      <c r="L49" s="287" t="s">
        <v>37</v>
      </c>
      <c r="M49" s="281" t="s">
        <v>37</v>
      </c>
      <c r="N49" s="33" t="s">
        <v>37</v>
      </c>
      <c r="O49" s="33" t="s">
        <v>37</v>
      </c>
      <c r="P49" s="33" t="s">
        <v>37</v>
      </c>
      <c r="Q49" s="33" t="s">
        <v>37</v>
      </c>
      <c r="R49" s="33" t="s">
        <v>37</v>
      </c>
      <c r="S49" s="33" t="s">
        <v>37</v>
      </c>
      <c r="T49" s="33" t="s">
        <v>37</v>
      </c>
      <c r="U49" s="33" t="s">
        <v>37</v>
      </c>
      <c r="V49" s="33" t="s">
        <v>37</v>
      </c>
      <c r="W49" s="33" t="s">
        <v>37</v>
      </c>
      <c r="X49" s="33" t="s">
        <v>37</v>
      </c>
    </row>
    <row r="50" spans="1:24" ht="25.5" customHeight="1" outlineLevel="2">
      <c r="A50" s="14" t="s">
        <v>84</v>
      </c>
      <c r="B50" s="15"/>
      <c r="C50" s="303" t="s">
        <v>85</v>
      </c>
      <c r="D50" s="303"/>
      <c r="E50" s="303"/>
      <c r="F50" s="26">
        <f>0.0427</f>
        <v>4.2700000000000002E-2</v>
      </c>
      <c r="G50" s="27">
        <f>0.0414</f>
        <v>4.1399999999999999E-2</v>
      </c>
      <c r="H50" s="27">
        <f>0.0326</f>
        <v>3.2599999999999997E-2</v>
      </c>
      <c r="I50" s="28">
        <f>0.0295</f>
        <v>2.9499999999999998E-2</v>
      </c>
      <c r="J50" s="29">
        <f>0.0349</f>
        <v>3.49E-2</v>
      </c>
      <c r="K50" s="29">
        <f>(K35+K23)/K6</f>
        <v>7.283628068910389E-3</v>
      </c>
      <c r="L50" s="288" t="s">
        <v>37</v>
      </c>
      <c r="M50" s="280">
        <f>0.0516</f>
        <v>5.16E-2</v>
      </c>
      <c r="N50" s="29">
        <f>0.0491</f>
        <v>4.9099999999999998E-2</v>
      </c>
      <c r="O50" s="29">
        <f>0.0455</f>
        <v>4.5499999999999999E-2</v>
      </c>
      <c r="P50" s="29">
        <f>0.0417</f>
        <v>4.1700000000000001E-2</v>
      </c>
      <c r="Q50" s="29">
        <f>0.0396</f>
        <v>3.9600000000000003E-2</v>
      </c>
      <c r="R50" s="29">
        <f>0.0368</f>
        <v>3.6799999999999999E-2</v>
      </c>
      <c r="S50" s="29">
        <f>0.0205</f>
        <v>2.0500000000000001E-2</v>
      </c>
      <c r="T50" s="29">
        <f>0.0191</f>
        <v>1.9099999999999999E-2</v>
      </c>
      <c r="U50" s="29">
        <f>0.0176</f>
        <v>1.7600000000000001E-2</v>
      </c>
      <c r="V50" s="29">
        <f>0.0156</f>
        <v>1.5599999999999999E-2</v>
      </c>
      <c r="W50" s="29">
        <f>0.0078</f>
        <v>7.7999999999999996E-3</v>
      </c>
      <c r="X50" s="29">
        <f>0.0073</f>
        <v>7.3000000000000001E-3</v>
      </c>
    </row>
    <row r="51" spans="1:24" ht="25.5" customHeight="1" outlineLevel="2">
      <c r="A51" s="14" t="s">
        <v>86</v>
      </c>
      <c r="B51" s="15"/>
      <c r="C51" s="303" t="s">
        <v>87</v>
      </c>
      <c r="D51" s="303"/>
      <c r="E51" s="303"/>
      <c r="F51" s="26">
        <f>0.0427</f>
        <v>4.2700000000000002E-2</v>
      </c>
      <c r="G51" s="27">
        <f>0.0414</f>
        <v>4.1399999999999999E-2</v>
      </c>
      <c r="H51" s="27">
        <f>0.0326</f>
        <v>3.2599999999999997E-2</v>
      </c>
      <c r="I51" s="28">
        <f>0.0295</f>
        <v>2.9499999999999998E-2</v>
      </c>
      <c r="J51" s="29">
        <f>0.0349</f>
        <v>3.49E-2</v>
      </c>
      <c r="K51" s="29">
        <f>(K35+K22)/K6</f>
        <v>7.283628068910389E-3</v>
      </c>
      <c r="L51" s="288" t="s">
        <v>37</v>
      </c>
      <c r="M51" s="280">
        <f>0.0516</f>
        <v>5.16E-2</v>
      </c>
      <c r="N51" s="29">
        <f>0.0491</f>
        <v>4.9099999999999998E-2</v>
      </c>
      <c r="O51" s="29">
        <f>0.0455</f>
        <v>4.5499999999999999E-2</v>
      </c>
      <c r="P51" s="29">
        <f>0.0417</f>
        <v>4.1700000000000001E-2</v>
      </c>
      <c r="Q51" s="29">
        <f>0.0396</f>
        <v>3.9600000000000003E-2</v>
      </c>
      <c r="R51" s="29">
        <f>0.0368</f>
        <v>3.6799999999999999E-2</v>
      </c>
      <c r="S51" s="29">
        <f>0.0205</f>
        <v>2.0500000000000001E-2</v>
      </c>
      <c r="T51" s="29">
        <f>0.0191</f>
        <v>1.9099999999999999E-2</v>
      </c>
      <c r="U51" s="29">
        <f>0.0176</f>
        <v>1.7600000000000001E-2</v>
      </c>
      <c r="V51" s="29">
        <f>0.0156</f>
        <v>1.5599999999999999E-2</v>
      </c>
      <c r="W51" s="29">
        <f>0.0078</f>
        <v>7.7999999999999996E-3</v>
      </c>
      <c r="X51" s="29">
        <f>0.0073</f>
        <v>7.3000000000000001E-3</v>
      </c>
    </row>
    <row r="52" spans="1:24" ht="38.25" customHeight="1" outlineLevel="2">
      <c r="A52" s="14" t="s">
        <v>88</v>
      </c>
      <c r="B52" s="15"/>
      <c r="C52" s="303" t="s">
        <v>89</v>
      </c>
      <c r="D52" s="303"/>
      <c r="E52" s="303"/>
      <c r="F52" s="26">
        <f>0.0427</f>
        <v>4.2700000000000002E-2</v>
      </c>
      <c r="G52" s="27">
        <f>0.0414</f>
        <v>4.1399999999999999E-2</v>
      </c>
      <c r="H52" s="27">
        <f>0.0326</f>
        <v>3.2599999999999997E-2</v>
      </c>
      <c r="I52" s="28">
        <f>0.0295</f>
        <v>2.9499999999999998E-2</v>
      </c>
      <c r="J52" s="29">
        <f>0.0349</f>
        <v>3.49E-2</v>
      </c>
      <c r="K52" s="29">
        <v>7.3000000000000001E-3</v>
      </c>
      <c r="L52" s="288" t="s">
        <v>37</v>
      </c>
      <c r="M52" s="280">
        <f>0.0516</f>
        <v>5.16E-2</v>
      </c>
      <c r="N52" s="29">
        <f>0.0491</f>
        <v>4.9099999999999998E-2</v>
      </c>
      <c r="O52" s="29">
        <f>0.0455</f>
        <v>4.5499999999999999E-2</v>
      </c>
      <c r="P52" s="29">
        <f>0.0417</f>
        <v>4.1700000000000001E-2</v>
      </c>
      <c r="Q52" s="29">
        <f>0.0396</f>
        <v>3.9600000000000003E-2</v>
      </c>
      <c r="R52" s="29">
        <f>0.0368</f>
        <v>3.6799999999999999E-2</v>
      </c>
      <c r="S52" s="29">
        <f>0.0205</f>
        <v>2.0500000000000001E-2</v>
      </c>
      <c r="T52" s="29">
        <f>0.0191</f>
        <v>1.9099999999999999E-2</v>
      </c>
      <c r="U52" s="29">
        <f>0.0176</f>
        <v>1.7600000000000001E-2</v>
      </c>
      <c r="V52" s="29">
        <f>0.0156</f>
        <v>1.5599999999999999E-2</v>
      </c>
      <c r="W52" s="29">
        <f>0.0078</f>
        <v>7.7999999999999996E-3</v>
      </c>
      <c r="X52" s="29">
        <f>0.0073</f>
        <v>7.3000000000000001E-3</v>
      </c>
    </row>
    <row r="53" spans="1:24" ht="38.25" customHeight="1" outlineLevel="2">
      <c r="A53" s="14" t="s">
        <v>90</v>
      </c>
      <c r="B53" s="15"/>
      <c r="C53" s="303" t="s">
        <v>91</v>
      </c>
      <c r="D53" s="303"/>
      <c r="E53" s="303"/>
      <c r="F53" s="26">
        <f>0.0427</f>
        <v>4.2700000000000002E-2</v>
      </c>
      <c r="G53" s="27">
        <f>0.0414</f>
        <v>4.1399999999999999E-2</v>
      </c>
      <c r="H53" s="27">
        <f>0.0326</f>
        <v>3.2599999999999997E-2</v>
      </c>
      <c r="I53" s="28">
        <f>0.0295</f>
        <v>2.9499999999999998E-2</v>
      </c>
      <c r="J53" s="29">
        <f>0.0349</f>
        <v>3.49E-2</v>
      </c>
      <c r="K53" s="29">
        <v>7.3000000000000001E-3</v>
      </c>
      <c r="L53" s="288" t="s">
        <v>37</v>
      </c>
      <c r="M53" s="280">
        <f>0.0516</f>
        <v>5.16E-2</v>
      </c>
      <c r="N53" s="29">
        <f>0.0491</f>
        <v>4.9099999999999998E-2</v>
      </c>
      <c r="O53" s="29">
        <f>0.0455</f>
        <v>4.5499999999999999E-2</v>
      </c>
      <c r="P53" s="29">
        <f>0.0417</f>
        <v>4.1700000000000001E-2</v>
      </c>
      <c r="Q53" s="29">
        <f>0.0396</f>
        <v>3.9600000000000003E-2</v>
      </c>
      <c r="R53" s="29">
        <f>0.0368</f>
        <v>3.6799999999999999E-2</v>
      </c>
      <c r="S53" s="29">
        <f>0.0205</f>
        <v>2.0500000000000001E-2</v>
      </c>
      <c r="T53" s="29">
        <f>0.0191</f>
        <v>1.9099999999999999E-2</v>
      </c>
      <c r="U53" s="29">
        <f>0.0176</f>
        <v>1.7600000000000001E-2</v>
      </c>
      <c r="V53" s="29">
        <f>0.0156</f>
        <v>1.5599999999999999E-2</v>
      </c>
      <c r="W53" s="29">
        <f>0.0078</f>
        <v>7.7999999999999996E-3</v>
      </c>
      <c r="X53" s="29">
        <f>0.0073</f>
        <v>7.3000000000000001E-3</v>
      </c>
    </row>
    <row r="54" spans="1:24" ht="25.5" customHeight="1" outlineLevel="2">
      <c r="A54" s="14" t="s">
        <v>92</v>
      </c>
      <c r="B54" s="15"/>
      <c r="C54" s="303" t="s">
        <v>93</v>
      </c>
      <c r="D54" s="303"/>
      <c r="E54" s="303"/>
      <c r="F54" s="16">
        <f>0</f>
        <v>0</v>
      </c>
      <c r="G54" s="17">
        <f>0</f>
        <v>0</v>
      </c>
      <c r="H54" s="17">
        <f>0</f>
        <v>0</v>
      </c>
      <c r="I54" s="18">
        <f>0</f>
        <v>0</v>
      </c>
      <c r="J54" s="19">
        <f>0</f>
        <v>0</v>
      </c>
      <c r="K54" s="19">
        <v>0</v>
      </c>
      <c r="L54" s="288" t="s">
        <v>37</v>
      </c>
      <c r="M54" s="279">
        <f>0</f>
        <v>0</v>
      </c>
      <c r="N54" s="19">
        <f>0</f>
        <v>0</v>
      </c>
      <c r="O54" s="19">
        <f>0</f>
        <v>0</v>
      </c>
      <c r="P54" s="19">
        <f>0</f>
        <v>0</v>
      </c>
      <c r="Q54" s="19">
        <f>0</f>
        <v>0</v>
      </c>
      <c r="R54" s="19">
        <f>0</f>
        <v>0</v>
      </c>
      <c r="S54" s="19">
        <f>0</f>
        <v>0</v>
      </c>
      <c r="T54" s="19">
        <f>0</f>
        <v>0</v>
      </c>
      <c r="U54" s="19">
        <f>0</f>
        <v>0</v>
      </c>
      <c r="V54" s="19">
        <f>0</f>
        <v>0</v>
      </c>
      <c r="W54" s="19">
        <f>0</f>
        <v>0</v>
      </c>
      <c r="X54" s="19">
        <f>0</f>
        <v>0</v>
      </c>
    </row>
    <row r="55" spans="1:24" ht="38.25" customHeight="1" outlineLevel="2">
      <c r="A55" s="14" t="s">
        <v>94</v>
      </c>
      <c r="B55" s="15"/>
      <c r="C55" s="303" t="s">
        <v>95</v>
      </c>
      <c r="D55" s="303"/>
      <c r="E55" s="303"/>
      <c r="F55" s="26">
        <f>0.0427</f>
        <v>4.2700000000000002E-2</v>
      </c>
      <c r="G55" s="27">
        <f>0.0414</f>
        <v>4.1399999999999999E-2</v>
      </c>
      <c r="H55" s="27">
        <f>0.0326</f>
        <v>3.2599999999999997E-2</v>
      </c>
      <c r="I55" s="28">
        <f>0.0295</f>
        <v>2.9499999999999998E-2</v>
      </c>
      <c r="J55" s="29">
        <f>0.0349</f>
        <v>3.49E-2</v>
      </c>
      <c r="K55" s="29">
        <v>7.3000000000000001E-3</v>
      </c>
      <c r="L55" s="288" t="s">
        <v>37</v>
      </c>
      <c r="M55" s="280">
        <f>0.0516</f>
        <v>5.16E-2</v>
      </c>
      <c r="N55" s="29">
        <f>0.0491</f>
        <v>4.9099999999999998E-2</v>
      </c>
      <c r="O55" s="29">
        <f>0.0455</f>
        <v>4.5499999999999999E-2</v>
      </c>
      <c r="P55" s="29">
        <f>0.0417</f>
        <v>4.1700000000000001E-2</v>
      </c>
      <c r="Q55" s="29">
        <f>0.0396</f>
        <v>3.9600000000000003E-2</v>
      </c>
      <c r="R55" s="29">
        <f>0.0368</f>
        <v>3.6799999999999999E-2</v>
      </c>
      <c r="S55" s="29">
        <f>0.0205</f>
        <v>2.0500000000000001E-2</v>
      </c>
      <c r="T55" s="29">
        <f>0.0191</f>
        <v>1.9099999999999999E-2</v>
      </c>
      <c r="U55" s="29">
        <f>0.0176</f>
        <v>1.7600000000000001E-2</v>
      </c>
      <c r="V55" s="29">
        <f>0.0156</f>
        <v>1.5599999999999999E-2</v>
      </c>
      <c r="W55" s="29">
        <f>0.0078</f>
        <v>7.7999999999999996E-3</v>
      </c>
      <c r="X55" s="29">
        <f>0.0073</f>
        <v>7.3000000000000001E-3</v>
      </c>
    </row>
    <row r="56" spans="1:24" ht="15" customHeight="1" outlineLevel="3">
      <c r="A56" s="34" t="s">
        <v>96</v>
      </c>
      <c r="B56" s="35"/>
      <c r="C56" s="36"/>
      <c r="D56" s="37" t="s">
        <v>97</v>
      </c>
      <c r="E56" s="38"/>
      <c r="F56" s="26">
        <f>+IF(F6&lt;&gt;0,(F7+F15-F18)/F6,0)</f>
        <v>8.4980832782598478E-2</v>
      </c>
      <c r="G56" s="27">
        <f>+IF(G6&lt;&gt;0,(G7+G15-G18)/G6,0)</f>
        <v>3.9437108380187387E-2</v>
      </c>
      <c r="H56" s="27">
        <f>+IF(H6&lt;&gt;0,(H7+H15-H18)/H6,0)</f>
        <v>8.3427508730694044E-2</v>
      </c>
      <c r="I56" s="28">
        <f>+IF(I6&lt;&gt;0,(I7+I15-I18)/I6,0)</f>
        <v>0.1096678802913704</v>
      </c>
      <c r="J56" s="29">
        <f>+IF(J6&lt;&gt;0,(J7+J15-J18)/J6,0)</f>
        <v>5.0146010391554106E-2</v>
      </c>
      <c r="K56" s="29">
        <v>0.10979999999999999</v>
      </c>
      <c r="L56" s="288" t="s">
        <v>37</v>
      </c>
      <c r="M56" s="280">
        <f t="shared" ref="M56:X56" si="4">+IF(M6&lt;&gt;0,(M7+M15-M18)/M6,0)</f>
        <v>7.6305537106692051E-2</v>
      </c>
      <c r="N56" s="29">
        <f t="shared" si="4"/>
        <v>5.6050286532894018E-2</v>
      </c>
      <c r="O56" s="29">
        <f t="shared" si="4"/>
        <v>6.4099065551504991E-2</v>
      </c>
      <c r="P56" s="29">
        <f t="shared" si="4"/>
        <v>5.1950867357888793E-2</v>
      </c>
      <c r="Q56" s="29">
        <f t="shared" si="4"/>
        <v>3.1771503441716024E-2</v>
      </c>
      <c r="R56" s="29">
        <f t="shared" si="4"/>
        <v>3.0834359425926126E-2</v>
      </c>
      <c r="S56" s="29">
        <f t="shared" si="4"/>
        <v>1.6347634486169011E-2</v>
      </c>
      <c r="T56" s="29">
        <f t="shared" si="4"/>
        <v>1.5855091225287381E-2</v>
      </c>
      <c r="U56" s="29">
        <f t="shared" si="4"/>
        <v>1.5286416128100814E-2</v>
      </c>
      <c r="V56" s="29">
        <f t="shared" si="4"/>
        <v>1.4096109076684621E-2</v>
      </c>
      <c r="W56" s="29">
        <f t="shared" si="4"/>
        <v>6.9490910746056239E-3</v>
      </c>
      <c r="X56" s="29">
        <f t="shared" si="4"/>
        <v>6.7068264771179649E-3</v>
      </c>
    </row>
    <row r="57" spans="1:24" ht="38.25" customHeight="1" outlineLevel="2">
      <c r="A57" s="14" t="s">
        <v>98</v>
      </c>
      <c r="B57" s="15"/>
      <c r="C57" s="303" t="s">
        <v>99</v>
      </c>
      <c r="D57" s="303"/>
      <c r="E57" s="303"/>
      <c r="F57" s="26">
        <f>0</f>
        <v>0</v>
      </c>
      <c r="G57" s="27">
        <f>0</f>
        <v>0</v>
      </c>
      <c r="H57" s="27">
        <f>0</f>
        <v>0</v>
      </c>
      <c r="I57" s="28">
        <f>0</f>
        <v>0</v>
      </c>
      <c r="J57" s="29">
        <f>0.0693</f>
        <v>6.93E-2</v>
      </c>
      <c r="K57" s="29">
        <v>6.93E-2</v>
      </c>
      <c r="L57" s="288" t="s">
        <v>37</v>
      </c>
      <c r="M57" s="280">
        <f>0.0576</f>
        <v>5.7599999999999998E-2</v>
      </c>
      <c r="N57" s="29">
        <f>0.0699</f>
        <v>6.9900000000000004E-2</v>
      </c>
      <c r="O57" s="29">
        <f>0.0608</f>
        <v>6.08E-2</v>
      </c>
      <c r="P57" s="29">
        <f>0.0655</f>
        <v>6.5500000000000003E-2</v>
      </c>
      <c r="Q57" s="29">
        <f>0.0574</f>
        <v>5.74E-2</v>
      </c>
      <c r="R57" s="29">
        <f>0.0493</f>
        <v>4.9299999999999997E-2</v>
      </c>
      <c r="S57" s="29">
        <f>0.0382</f>
        <v>3.8199999999999998E-2</v>
      </c>
      <c r="T57" s="29">
        <f>0.0263</f>
        <v>2.63E-2</v>
      </c>
      <c r="U57" s="29">
        <f>0.021</f>
        <v>2.1000000000000001E-2</v>
      </c>
      <c r="V57" s="29">
        <f>0.0158</f>
        <v>1.5800000000000002E-2</v>
      </c>
      <c r="W57" s="29">
        <f>0.0151</f>
        <v>1.5100000000000001E-2</v>
      </c>
      <c r="X57" s="29">
        <f>0.0121</f>
        <v>1.21E-2</v>
      </c>
    </row>
    <row r="58" spans="1:24" ht="38.25" customHeight="1" outlineLevel="2">
      <c r="A58" s="14" t="s">
        <v>100</v>
      </c>
      <c r="B58" s="15"/>
      <c r="C58" s="20"/>
      <c r="D58" s="303" t="s">
        <v>101</v>
      </c>
      <c r="E58" s="303"/>
      <c r="F58" s="26">
        <f>0</f>
        <v>0</v>
      </c>
      <c r="G58" s="27">
        <f>0</f>
        <v>0</v>
      </c>
      <c r="H58" s="27">
        <f>0</f>
        <v>0</v>
      </c>
      <c r="I58" s="28">
        <f>0</f>
        <v>0</v>
      </c>
      <c r="J58" s="29">
        <f>0.078</f>
        <v>7.8E-2</v>
      </c>
      <c r="K58" s="29">
        <v>7.8E-2</v>
      </c>
      <c r="L58" s="288" t="s">
        <v>37</v>
      </c>
      <c r="M58" s="280">
        <f>0.0664</f>
        <v>6.6400000000000001E-2</v>
      </c>
      <c r="N58" s="29">
        <f>0.0787</f>
        <v>7.8700000000000006E-2</v>
      </c>
      <c r="O58" s="29">
        <f>0.0608</f>
        <v>6.08E-2</v>
      </c>
      <c r="P58" s="29">
        <f>0.0655</f>
        <v>6.5500000000000003E-2</v>
      </c>
      <c r="Q58" s="29">
        <f>0.0574</f>
        <v>5.74E-2</v>
      </c>
      <c r="R58" s="29">
        <f>0.0493</f>
        <v>4.9299999999999997E-2</v>
      </c>
      <c r="S58" s="29">
        <f>0.0382</f>
        <v>3.8199999999999998E-2</v>
      </c>
      <c r="T58" s="29">
        <f>0.0263</f>
        <v>2.63E-2</v>
      </c>
      <c r="U58" s="29">
        <f>0.021</f>
        <v>2.1000000000000001E-2</v>
      </c>
      <c r="V58" s="29">
        <f>0.0158</f>
        <v>1.5800000000000002E-2</v>
      </c>
      <c r="W58" s="29">
        <f>0.0151</f>
        <v>1.5100000000000001E-2</v>
      </c>
      <c r="X58" s="29">
        <f>0.0121</f>
        <v>1.21E-2</v>
      </c>
    </row>
    <row r="59" spans="1:24" ht="49.5" customHeight="1" outlineLevel="2">
      <c r="A59" s="14" t="s">
        <v>102</v>
      </c>
      <c r="B59" s="15"/>
      <c r="C59" s="303" t="s">
        <v>103</v>
      </c>
      <c r="D59" s="303"/>
      <c r="E59" s="303"/>
      <c r="F59" s="30" t="s">
        <v>37</v>
      </c>
      <c r="G59" s="31" t="s">
        <v>37</v>
      </c>
      <c r="H59" s="31" t="s">
        <v>37</v>
      </c>
      <c r="I59" s="32" t="s">
        <v>37</v>
      </c>
      <c r="J59" s="39" t="str">
        <f>IF(J55&lt;=J57,"Spełniona","Nie spełniona")</f>
        <v>Spełniona</v>
      </c>
      <c r="K59" s="39" t="s">
        <v>383</v>
      </c>
      <c r="L59" s="288" t="s">
        <v>37</v>
      </c>
      <c r="M59" s="282" t="str">
        <f t="shared" ref="M59:X59" si="5">IF(M55&lt;=M57,"Spełniona","Nie spełniona")</f>
        <v>Spełniona</v>
      </c>
      <c r="N59" s="39" t="str">
        <f t="shared" si="5"/>
        <v>Spełniona</v>
      </c>
      <c r="O59" s="39" t="str">
        <f t="shared" si="5"/>
        <v>Spełniona</v>
      </c>
      <c r="P59" s="39" t="str">
        <f t="shared" si="5"/>
        <v>Spełniona</v>
      </c>
      <c r="Q59" s="39" t="str">
        <f t="shared" si="5"/>
        <v>Spełniona</v>
      </c>
      <c r="R59" s="39" t="str">
        <f t="shared" si="5"/>
        <v>Spełniona</v>
      </c>
      <c r="S59" s="39" t="str">
        <f t="shared" si="5"/>
        <v>Spełniona</v>
      </c>
      <c r="T59" s="39" t="str">
        <f t="shared" si="5"/>
        <v>Spełniona</v>
      </c>
      <c r="U59" s="39" t="str">
        <f t="shared" si="5"/>
        <v>Spełniona</v>
      </c>
      <c r="V59" s="39" t="str">
        <f t="shared" si="5"/>
        <v>Spełniona</v>
      </c>
      <c r="W59" s="39" t="str">
        <f t="shared" si="5"/>
        <v>Spełniona</v>
      </c>
      <c r="X59" s="39" t="str">
        <f t="shared" si="5"/>
        <v>Spełniona</v>
      </c>
    </row>
    <row r="60" spans="1:24" ht="49.5" customHeight="1" outlineLevel="2">
      <c r="A60" s="14" t="s">
        <v>104</v>
      </c>
      <c r="B60" s="15"/>
      <c r="C60" s="20"/>
      <c r="D60" s="303" t="s">
        <v>105</v>
      </c>
      <c r="E60" s="303"/>
      <c r="F60" s="30" t="s">
        <v>37</v>
      </c>
      <c r="G60" s="31" t="s">
        <v>37</v>
      </c>
      <c r="H60" s="31" t="s">
        <v>37</v>
      </c>
      <c r="I60" s="32" t="s">
        <v>37</v>
      </c>
      <c r="J60" s="39" t="str">
        <f>IF(J55&lt;=J58,"Spełniona","Nie spełniona")</f>
        <v>Spełniona</v>
      </c>
      <c r="K60" s="39" t="s">
        <v>383</v>
      </c>
      <c r="L60" s="288" t="s">
        <v>37</v>
      </c>
      <c r="M60" s="282" t="str">
        <f t="shared" ref="M60:X60" si="6">IF(M55&lt;=M58,"Spełniona","Nie spełniona")</f>
        <v>Spełniona</v>
      </c>
      <c r="N60" s="39" t="str">
        <f t="shared" si="6"/>
        <v>Spełniona</v>
      </c>
      <c r="O60" s="39" t="str">
        <f t="shared" si="6"/>
        <v>Spełniona</v>
      </c>
      <c r="P60" s="39" t="str">
        <f t="shared" si="6"/>
        <v>Spełniona</v>
      </c>
      <c r="Q60" s="39" t="str">
        <f t="shared" si="6"/>
        <v>Spełniona</v>
      </c>
      <c r="R60" s="39" t="str">
        <f t="shared" si="6"/>
        <v>Spełniona</v>
      </c>
      <c r="S60" s="39" t="str">
        <f t="shared" si="6"/>
        <v>Spełniona</v>
      </c>
      <c r="T60" s="39" t="str">
        <f t="shared" si="6"/>
        <v>Spełniona</v>
      </c>
      <c r="U60" s="39" t="str">
        <f t="shared" si="6"/>
        <v>Spełniona</v>
      </c>
      <c r="V60" s="39" t="str">
        <f t="shared" si="6"/>
        <v>Spełniona</v>
      </c>
      <c r="W60" s="39" t="str">
        <f t="shared" si="6"/>
        <v>Spełniona</v>
      </c>
      <c r="X60" s="39" t="str">
        <f t="shared" si="6"/>
        <v>Spełniona</v>
      </c>
    </row>
    <row r="61" spans="1:24" ht="15" customHeight="1" outlineLevel="1">
      <c r="A61" s="9">
        <v>10</v>
      </c>
      <c r="B61" s="305" t="s">
        <v>106</v>
      </c>
      <c r="C61" s="306"/>
      <c r="D61" s="306"/>
      <c r="E61" s="306"/>
      <c r="F61" s="10">
        <f>0</f>
        <v>0</v>
      </c>
      <c r="G61" s="11">
        <f>0</f>
        <v>0</v>
      </c>
      <c r="H61" s="11">
        <f>0</f>
        <v>0</v>
      </c>
      <c r="I61" s="12">
        <f>0</f>
        <v>0</v>
      </c>
      <c r="J61" s="13">
        <f>0</f>
        <v>0</v>
      </c>
      <c r="K61" s="13">
        <f>K62</f>
        <v>0</v>
      </c>
      <c r="L61" s="285">
        <v>0</v>
      </c>
      <c r="M61" s="278">
        <f>1767000</f>
        <v>1767000</v>
      </c>
      <c r="N61" s="13">
        <f>1664000</f>
        <v>1664000</v>
      </c>
      <c r="O61" s="13">
        <f>1664000</f>
        <v>1664000</v>
      </c>
      <c r="P61" s="13">
        <f t="shared" ref="P61:R62" si="7">1614000</f>
        <v>1614000</v>
      </c>
      <c r="Q61" s="13">
        <f t="shared" si="7"/>
        <v>1614000</v>
      </c>
      <c r="R61" s="13">
        <f t="shared" si="7"/>
        <v>1614000</v>
      </c>
      <c r="S61" s="13">
        <f>882000</f>
        <v>882000</v>
      </c>
      <c r="T61" s="13">
        <f>882000</f>
        <v>882000</v>
      </c>
      <c r="U61" s="13">
        <f>876534</f>
        <v>876534</v>
      </c>
      <c r="V61" s="13">
        <f>833537</f>
        <v>833537</v>
      </c>
      <c r="W61" s="13">
        <f>420000</f>
        <v>420000</v>
      </c>
      <c r="X61" s="13">
        <f>414326.07</f>
        <v>414326.07</v>
      </c>
    </row>
    <row r="62" spans="1:24" ht="15" customHeight="1" outlineLevel="2">
      <c r="A62" s="14" t="s">
        <v>107</v>
      </c>
      <c r="B62" s="15"/>
      <c r="C62" s="303" t="s">
        <v>108</v>
      </c>
      <c r="D62" s="303"/>
      <c r="E62" s="303"/>
      <c r="F62" s="16">
        <f>0</f>
        <v>0</v>
      </c>
      <c r="G62" s="17">
        <f>0</f>
        <v>0</v>
      </c>
      <c r="H62" s="17">
        <f>0</f>
        <v>0</v>
      </c>
      <c r="I62" s="18">
        <f>0</f>
        <v>0</v>
      </c>
      <c r="J62" s="19">
        <f>0</f>
        <v>0</v>
      </c>
      <c r="K62" s="19">
        <v>0</v>
      </c>
      <c r="L62" s="286">
        <v>0</v>
      </c>
      <c r="M62" s="279">
        <f>1767000</f>
        <v>1767000</v>
      </c>
      <c r="N62" s="19">
        <f>1664000</f>
        <v>1664000</v>
      </c>
      <c r="O62" s="19">
        <f>1664000</f>
        <v>1664000</v>
      </c>
      <c r="P62" s="19">
        <f t="shared" si="7"/>
        <v>1614000</v>
      </c>
      <c r="Q62" s="19">
        <f t="shared" si="7"/>
        <v>1614000</v>
      </c>
      <c r="R62" s="19">
        <f t="shared" si="7"/>
        <v>1614000</v>
      </c>
      <c r="S62" s="19">
        <f>882000</f>
        <v>882000</v>
      </c>
      <c r="T62" s="19">
        <f>882000</f>
        <v>882000</v>
      </c>
      <c r="U62" s="19">
        <f>876534</f>
        <v>876534</v>
      </c>
      <c r="V62" s="19">
        <f>833537</f>
        <v>833537</v>
      </c>
      <c r="W62" s="19">
        <f>420000</f>
        <v>420000</v>
      </c>
      <c r="X62" s="19">
        <f>414326.07</f>
        <v>414326.07</v>
      </c>
    </row>
    <row r="63" spans="1:24" ht="15" customHeight="1" outlineLevel="1">
      <c r="A63" s="9">
        <v>11</v>
      </c>
      <c r="B63" s="305" t="s">
        <v>109</v>
      </c>
      <c r="C63" s="306"/>
      <c r="D63" s="306"/>
      <c r="E63" s="306"/>
      <c r="F63" s="30" t="s">
        <v>37</v>
      </c>
      <c r="G63" s="31" t="s">
        <v>37</v>
      </c>
      <c r="H63" s="31" t="s">
        <v>37</v>
      </c>
      <c r="I63" s="32" t="s">
        <v>37</v>
      </c>
      <c r="J63" s="33" t="s">
        <v>37</v>
      </c>
      <c r="K63" s="33" t="s">
        <v>37</v>
      </c>
      <c r="L63" s="287" t="s">
        <v>37</v>
      </c>
      <c r="M63" s="281" t="s">
        <v>37</v>
      </c>
      <c r="N63" s="33" t="s">
        <v>37</v>
      </c>
      <c r="O63" s="33" t="s">
        <v>37</v>
      </c>
      <c r="P63" s="33" t="s">
        <v>37</v>
      </c>
      <c r="Q63" s="33" t="s">
        <v>37</v>
      </c>
      <c r="R63" s="33" t="s">
        <v>37</v>
      </c>
      <c r="S63" s="33" t="s">
        <v>37</v>
      </c>
      <c r="T63" s="33" t="s">
        <v>37</v>
      </c>
      <c r="U63" s="33" t="s">
        <v>37</v>
      </c>
      <c r="V63" s="33" t="s">
        <v>37</v>
      </c>
      <c r="W63" s="33" t="s">
        <v>37</v>
      </c>
      <c r="X63" s="33" t="s">
        <v>37</v>
      </c>
    </row>
    <row r="64" spans="1:24" ht="15" customHeight="1" outlineLevel="2">
      <c r="A64" s="14" t="s">
        <v>110</v>
      </c>
      <c r="B64" s="15"/>
      <c r="C64" s="303" t="s">
        <v>111</v>
      </c>
      <c r="D64" s="303"/>
      <c r="E64" s="303"/>
      <c r="F64" s="16">
        <f>16198937.39</f>
        <v>16198937.390000001</v>
      </c>
      <c r="G64" s="17">
        <f>17492767.8</f>
        <v>17492767.800000001</v>
      </c>
      <c r="H64" s="17">
        <f>18911870</f>
        <v>18911870</v>
      </c>
      <c r="I64" s="18">
        <f>18344737.03</f>
        <v>18344737.030000001</v>
      </c>
      <c r="J64" s="19">
        <f>19174089.66</f>
        <v>19174089.66</v>
      </c>
      <c r="K64" s="19">
        <v>9660593.1699999999</v>
      </c>
      <c r="L64" s="286">
        <f>K64/J64</f>
        <v>0.50383581913426811</v>
      </c>
      <c r="M64" s="279">
        <f>19588342</f>
        <v>19588342</v>
      </c>
      <c r="N64" s="19">
        <f>20078051</f>
        <v>20078051</v>
      </c>
      <c r="O64" s="19">
        <f>20580002</f>
        <v>20580002</v>
      </c>
      <c r="P64" s="19">
        <f>21094502</f>
        <v>21094502</v>
      </c>
      <c r="Q64" s="19">
        <f>21621865</f>
        <v>21621865</v>
      </c>
      <c r="R64" s="19">
        <f>22162412</f>
        <v>22162412</v>
      </c>
      <c r="S64" s="19">
        <f>22716472</f>
        <v>22716472</v>
      </c>
      <c r="T64" s="19">
        <f>23284384</f>
        <v>23284384</v>
      </c>
      <c r="U64" s="19">
        <f>23866494</f>
        <v>23866494</v>
      </c>
      <c r="V64" s="19">
        <f>24463156</f>
        <v>24463156</v>
      </c>
      <c r="W64" s="19">
        <f>25074735</f>
        <v>25074735</v>
      </c>
      <c r="X64" s="19">
        <f>25701603</f>
        <v>25701603</v>
      </c>
    </row>
    <row r="65" spans="1:24" ht="15" customHeight="1" outlineLevel="2">
      <c r="A65" s="14" t="s">
        <v>112</v>
      </c>
      <c r="B65" s="15"/>
      <c r="C65" s="303" t="s">
        <v>113</v>
      </c>
      <c r="D65" s="303"/>
      <c r="E65" s="303"/>
      <c r="F65" s="16">
        <f>0</f>
        <v>0</v>
      </c>
      <c r="G65" s="17">
        <f>0</f>
        <v>0</v>
      </c>
      <c r="H65" s="17">
        <f>0</f>
        <v>0</v>
      </c>
      <c r="I65" s="18">
        <f>0</f>
        <v>0</v>
      </c>
      <c r="J65" s="19">
        <f>3570195</f>
        <v>3570195</v>
      </c>
      <c r="K65" s="19">
        <v>1795088.02</v>
      </c>
      <c r="L65" s="286">
        <f t="shared" ref="L65:L71" si="8">K65/J65</f>
        <v>0.50279831213701209</v>
      </c>
      <c r="M65" s="279">
        <f>3656375</f>
        <v>3656375</v>
      </c>
      <c r="N65" s="19">
        <f>3747784</f>
        <v>3747784</v>
      </c>
      <c r="O65" s="19">
        <f>3841479</f>
        <v>3841479</v>
      </c>
      <c r="P65" s="19">
        <f>3937516</f>
        <v>3937516</v>
      </c>
      <c r="Q65" s="19">
        <f>4035954</f>
        <v>4035954</v>
      </c>
      <c r="R65" s="19">
        <f>4136853</f>
        <v>4136853</v>
      </c>
      <c r="S65" s="19">
        <f>4240274</f>
        <v>4240274</v>
      </c>
      <c r="T65" s="19">
        <f>4346281</f>
        <v>4346281</v>
      </c>
      <c r="U65" s="19">
        <f>4454938</f>
        <v>4454938</v>
      </c>
      <c r="V65" s="19">
        <f>4566311</f>
        <v>4566311</v>
      </c>
      <c r="W65" s="19">
        <f>4680469</f>
        <v>4680469</v>
      </c>
      <c r="X65" s="19">
        <f>4797481</f>
        <v>4797481</v>
      </c>
    </row>
    <row r="66" spans="1:24" ht="15" customHeight="1" outlineLevel="2">
      <c r="A66" s="14" t="s">
        <v>114</v>
      </c>
      <c r="B66" s="15"/>
      <c r="C66" s="303" t="s">
        <v>115</v>
      </c>
      <c r="D66" s="303"/>
      <c r="E66" s="303"/>
      <c r="F66" s="16">
        <f>819406.1</f>
        <v>819406.1</v>
      </c>
      <c r="G66" s="17">
        <f>3462808.89</f>
        <v>3462808.89</v>
      </c>
      <c r="H66" s="17">
        <f>17459136</f>
        <v>17459136</v>
      </c>
      <c r="I66" s="18">
        <f>15578427.44</f>
        <v>15578427.439999999</v>
      </c>
      <c r="J66" s="19">
        <f>10681065</f>
        <v>10681065</v>
      </c>
      <c r="K66" s="19">
        <v>4341932.99</v>
      </c>
      <c r="L66" s="286">
        <f t="shared" si="8"/>
        <v>0.40650749620941362</v>
      </c>
      <c r="M66" s="279">
        <f>4582369</f>
        <v>4582369</v>
      </c>
      <c r="N66" s="19">
        <f>0</f>
        <v>0</v>
      </c>
      <c r="O66" s="19">
        <f>0</f>
        <v>0</v>
      </c>
      <c r="P66" s="19">
        <f>0</f>
        <v>0</v>
      </c>
      <c r="Q66" s="19">
        <f>0</f>
        <v>0</v>
      </c>
      <c r="R66" s="19">
        <f>0</f>
        <v>0</v>
      </c>
      <c r="S66" s="19">
        <f>0</f>
        <v>0</v>
      </c>
      <c r="T66" s="19">
        <f>0</f>
        <v>0</v>
      </c>
      <c r="U66" s="19">
        <f>0</f>
        <v>0</v>
      </c>
      <c r="V66" s="19">
        <f>0</f>
        <v>0</v>
      </c>
      <c r="W66" s="19">
        <f>0</f>
        <v>0</v>
      </c>
      <c r="X66" s="19">
        <f>0</f>
        <v>0</v>
      </c>
    </row>
    <row r="67" spans="1:24" ht="15" customHeight="1" outlineLevel="2">
      <c r="A67" s="14" t="s">
        <v>116</v>
      </c>
      <c r="B67" s="15"/>
      <c r="C67" s="20"/>
      <c r="D67" s="303" t="s">
        <v>117</v>
      </c>
      <c r="E67" s="303"/>
      <c r="F67" s="16">
        <f>0</f>
        <v>0</v>
      </c>
      <c r="G67" s="17">
        <f>35268</f>
        <v>35268</v>
      </c>
      <c r="H67" s="17">
        <f>26779</f>
        <v>26779</v>
      </c>
      <c r="I67" s="18">
        <f>26779</f>
        <v>26779</v>
      </c>
      <c r="J67" s="19">
        <f>0</f>
        <v>0</v>
      </c>
      <c r="K67" s="19">
        <v>0</v>
      </c>
      <c r="L67" s="286">
        <v>0</v>
      </c>
      <c r="M67" s="279">
        <f>0</f>
        <v>0</v>
      </c>
      <c r="N67" s="19">
        <f>0</f>
        <v>0</v>
      </c>
      <c r="O67" s="19">
        <f>0</f>
        <v>0</v>
      </c>
      <c r="P67" s="19">
        <f>0</f>
        <v>0</v>
      </c>
      <c r="Q67" s="19">
        <f>0</f>
        <v>0</v>
      </c>
      <c r="R67" s="19">
        <f>0</f>
        <v>0</v>
      </c>
      <c r="S67" s="19">
        <f>0</f>
        <v>0</v>
      </c>
      <c r="T67" s="19">
        <f>0</f>
        <v>0</v>
      </c>
      <c r="U67" s="19">
        <f>0</f>
        <v>0</v>
      </c>
      <c r="V67" s="19">
        <f>0</f>
        <v>0</v>
      </c>
      <c r="W67" s="19">
        <f>0</f>
        <v>0</v>
      </c>
      <c r="X67" s="19">
        <f>0</f>
        <v>0</v>
      </c>
    </row>
    <row r="68" spans="1:24" ht="15" customHeight="1" outlineLevel="2">
      <c r="A68" s="14" t="s">
        <v>118</v>
      </c>
      <c r="B68" s="15"/>
      <c r="C68" s="20"/>
      <c r="D68" s="303" t="s">
        <v>119</v>
      </c>
      <c r="E68" s="303"/>
      <c r="F68" s="16">
        <f>819406.1</f>
        <v>819406.1</v>
      </c>
      <c r="G68" s="17">
        <f>3427540.89</f>
        <v>3427540.89</v>
      </c>
      <c r="H68" s="17">
        <f>17432357</f>
        <v>17432357</v>
      </c>
      <c r="I68" s="18">
        <f>15551648.44</f>
        <v>15551648.439999999</v>
      </c>
      <c r="J68" s="19">
        <f>10681065</f>
        <v>10681065</v>
      </c>
      <c r="K68" s="19">
        <v>4341932.99</v>
      </c>
      <c r="L68" s="286">
        <f t="shared" si="8"/>
        <v>0.40650749620941362</v>
      </c>
      <c r="M68" s="279">
        <f>4582369</f>
        <v>4582369</v>
      </c>
      <c r="N68" s="19">
        <f>0</f>
        <v>0</v>
      </c>
      <c r="O68" s="19">
        <f>0</f>
        <v>0</v>
      </c>
      <c r="P68" s="19">
        <f>0</f>
        <v>0</v>
      </c>
      <c r="Q68" s="19">
        <f>0</f>
        <v>0</v>
      </c>
      <c r="R68" s="19">
        <f>0</f>
        <v>0</v>
      </c>
      <c r="S68" s="19">
        <f>0</f>
        <v>0</v>
      </c>
      <c r="T68" s="19">
        <f>0</f>
        <v>0</v>
      </c>
      <c r="U68" s="19">
        <f>0</f>
        <v>0</v>
      </c>
      <c r="V68" s="19">
        <f>0</f>
        <v>0</v>
      </c>
      <c r="W68" s="19">
        <f>0</f>
        <v>0</v>
      </c>
      <c r="X68" s="19">
        <f>0</f>
        <v>0</v>
      </c>
    </row>
    <row r="69" spans="1:24" ht="15" customHeight="1" outlineLevel="2">
      <c r="A69" s="14" t="s">
        <v>120</v>
      </c>
      <c r="B69" s="15"/>
      <c r="C69" s="303" t="s">
        <v>121</v>
      </c>
      <c r="D69" s="303"/>
      <c r="E69" s="303"/>
      <c r="F69" s="16">
        <f>0</f>
        <v>0</v>
      </c>
      <c r="G69" s="17">
        <f>0</f>
        <v>0</v>
      </c>
      <c r="H69" s="17">
        <f>0</f>
        <v>0</v>
      </c>
      <c r="I69" s="18">
        <f>0</f>
        <v>0</v>
      </c>
      <c r="J69" s="19">
        <f>10609065</f>
        <v>10609065</v>
      </c>
      <c r="K69" s="19">
        <v>4299854.87</v>
      </c>
      <c r="L69" s="286">
        <f t="shared" si="8"/>
        <v>0.40530007781081556</v>
      </c>
      <c r="M69" s="279">
        <f>4582369</f>
        <v>4582369</v>
      </c>
      <c r="N69" s="19">
        <f>0</f>
        <v>0</v>
      </c>
      <c r="O69" s="19">
        <f>0</f>
        <v>0</v>
      </c>
      <c r="P69" s="19">
        <f>0</f>
        <v>0</v>
      </c>
      <c r="Q69" s="19">
        <f>0</f>
        <v>0</v>
      </c>
      <c r="R69" s="19">
        <f>0</f>
        <v>0</v>
      </c>
      <c r="S69" s="19">
        <f>0</f>
        <v>0</v>
      </c>
      <c r="T69" s="19">
        <f>0</f>
        <v>0</v>
      </c>
      <c r="U69" s="19">
        <f>0</f>
        <v>0</v>
      </c>
      <c r="V69" s="19">
        <f>0</f>
        <v>0</v>
      </c>
      <c r="W69" s="19">
        <f>0</f>
        <v>0</v>
      </c>
      <c r="X69" s="19">
        <f>0</f>
        <v>0</v>
      </c>
    </row>
    <row r="70" spans="1:24" ht="15" customHeight="1" outlineLevel="2">
      <c r="A70" s="14" t="s">
        <v>122</v>
      </c>
      <c r="B70" s="15"/>
      <c r="C70" s="303" t="s">
        <v>123</v>
      </c>
      <c r="D70" s="303"/>
      <c r="E70" s="303"/>
      <c r="F70" s="16">
        <f>0</f>
        <v>0</v>
      </c>
      <c r="G70" s="17">
        <f>0</f>
        <v>0</v>
      </c>
      <c r="H70" s="17">
        <f>0</f>
        <v>0</v>
      </c>
      <c r="I70" s="18">
        <f>0</f>
        <v>0</v>
      </c>
      <c r="J70" s="19">
        <f>2028000</f>
        <v>2028000</v>
      </c>
      <c r="K70" s="19">
        <v>81302.899999999994</v>
      </c>
      <c r="L70" s="286">
        <f t="shared" si="8"/>
        <v>4.0090187376725837E-2</v>
      </c>
      <c r="M70" s="279">
        <f>0</f>
        <v>0</v>
      </c>
      <c r="N70" s="19">
        <f>1000000</f>
        <v>1000000</v>
      </c>
      <c r="O70" s="19">
        <f>1500000</f>
        <v>1500000</v>
      </c>
      <c r="P70" s="19">
        <f>1000000</f>
        <v>1000000</v>
      </c>
      <c r="Q70" s="19">
        <f>0</f>
        <v>0</v>
      </c>
      <c r="R70" s="19">
        <f>0</f>
        <v>0</v>
      </c>
      <c r="S70" s="19">
        <f>0</f>
        <v>0</v>
      </c>
      <c r="T70" s="19">
        <f>0</f>
        <v>0</v>
      </c>
      <c r="U70" s="19">
        <f>0</f>
        <v>0</v>
      </c>
      <c r="V70" s="19">
        <f>0</f>
        <v>0</v>
      </c>
      <c r="W70" s="19">
        <f>0</f>
        <v>0</v>
      </c>
      <c r="X70" s="19">
        <f>0</f>
        <v>0</v>
      </c>
    </row>
    <row r="71" spans="1:24" ht="15" customHeight="1" outlineLevel="2">
      <c r="A71" s="14" t="s">
        <v>124</v>
      </c>
      <c r="B71" s="15"/>
      <c r="C71" s="303" t="s">
        <v>125</v>
      </c>
      <c r="D71" s="303"/>
      <c r="E71" s="303"/>
      <c r="F71" s="16">
        <f>0</f>
        <v>0</v>
      </c>
      <c r="G71" s="17">
        <f>0</f>
        <v>0</v>
      </c>
      <c r="H71" s="17">
        <f>0</f>
        <v>0</v>
      </c>
      <c r="I71" s="18">
        <f>0</f>
        <v>0</v>
      </c>
      <c r="J71" s="19">
        <f>220000</f>
        <v>220000</v>
      </c>
      <c r="K71" s="19">
        <v>40000</v>
      </c>
      <c r="L71" s="286">
        <f t="shared" si="8"/>
        <v>0.18181818181818182</v>
      </c>
      <c r="M71" s="279">
        <f>0</f>
        <v>0</v>
      </c>
      <c r="N71" s="19">
        <f>0</f>
        <v>0</v>
      </c>
      <c r="O71" s="19">
        <f>0</f>
        <v>0</v>
      </c>
      <c r="P71" s="19">
        <f>0</f>
        <v>0</v>
      </c>
      <c r="Q71" s="19">
        <f>0</f>
        <v>0</v>
      </c>
      <c r="R71" s="19">
        <f>0</f>
        <v>0</v>
      </c>
      <c r="S71" s="19">
        <f>0</f>
        <v>0</v>
      </c>
      <c r="T71" s="19">
        <f>0</f>
        <v>0</v>
      </c>
      <c r="U71" s="19">
        <f>0</f>
        <v>0</v>
      </c>
      <c r="V71" s="19">
        <f>0</f>
        <v>0</v>
      </c>
      <c r="W71" s="19">
        <f>0</f>
        <v>0</v>
      </c>
      <c r="X71" s="19">
        <f>0</f>
        <v>0</v>
      </c>
    </row>
    <row r="72" spans="1:24" ht="26.25" customHeight="1" outlineLevel="1">
      <c r="A72" s="9">
        <v>12</v>
      </c>
      <c r="B72" s="305" t="s">
        <v>126</v>
      </c>
      <c r="C72" s="306"/>
      <c r="D72" s="306"/>
      <c r="E72" s="306"/>
      <c r="F72" s="30" t="s">
        <v>37</v>
      </c>
      <c r="G72" s="31" t="s">
        <v>37</v>
      </c>
      <c r="H72" s="31" t="s">
        <v>37</v>
      </c>
      <c r="I72" s="32" t="s">
        <v>37</v>
      </c>
      <c r="J72" s="33" t="s">
        <v>37</v>
      </c>
      <c r="K72" s="33" t="s">
        <v>37</v>
      </c>
      <c r="L72" s="287" t="s">
        <v>37</v>
      </c>
      <c r="M72" s="281" t="s">
        <v>37</v>
      </c>
      <c r="N72" s="33" t="s">
        <v>37</v>
      </c>
      <c r="O72" s="33" t="s">
        <v>37</v>
      </c>
      <c r="P72" s="33" t="s">
        <v>37</v>
      </c>
      <c r="Q72" s="33" t="s">
        <v>37</v>
      </c>
      <c r="R72" s="33" t="s">
        <v>37</v>
      </c>
      <c r="S72" s="33" t="s">
        <v>37</v>
      </c>
      <c r="T72" s="33" t="s">
        <v>37</v>
      </c>
      <c r="U72" s="33" t="s">
        <v>37</v>
      </c>
      <c r="V72" s="33" t="s">
        <v>37</v>
      </c>
      <c r="W72" s="33" t="s">
        <v>37</v>
      </c>
      <c r="X72" s="33" t="s">
        <v>37</v>
      </c>
    </row>
    <row r="73" spans="1:24" ht="25.5" customHeight="1" outlineLevel="2">
      <c r="A73" s="14" t="s">
        <v>127</v>
      </c>
      <c r="B73" s="15"/>
      <c r="C73" s="303" t="s">
        <v>128</v>
      </c>
      <c r="D73" s="303"/>
      <c r="E73" s="303"/>
      <c r="F73" s="16">
        <f>0</f>
        <v>0</v>
      </c>
      <c r="G73" s="17">
        <f>0</f>
        <v>0</v>
      </c>
      <c r="H73" s="17">
        <f>0</f>
        <v>0</v>
      </c>
      <c r="I73" s="18">
        <f>0</f>
        <v>0</v>
      </c>
      <c r="J73" s="19">
        <f>212460</f>
        <v>212460</v>
      </c>
      <c r="K73" s="19">
        <v>212460</v>
      </c>
      <c r="L73" s="286">
        <f>K73/J73</f>
        <v>1</v>
      </c>
      <c r="M73" s="279">
        <f>0</f>
        <v>0</v>
      </c>
      <c r="N73" s="19">
        <f>0</f>
        <v>0</v>
      </c>
      <c r="O73" s="19">
        <f>0</f>
        <v>0</v>
      </c>
      <c r="P73" s="19">
        <f>0</f>
        <v>0</v>
      </c>
      <c r="Q73" s="19">
        <f>0</f>
        <v>0</v>
      </c>
      <c r="R73" s="19">
        <f>0</f>
        <v>0</v>
      </c>
      <c r="S73" s="19">
        <f>0</f>
        <v>0</v>
      </c>
      <c r="T73" s="19">
        <f>0</f>
        <v>0</v>
      </c>
      <c r="U73" s="19">
        <f>0</f>
        <v>0</v>
      </c>
      <c r="V73" s="19">
        <f>0</f>
        <v>0</v>
      </c>
      <c r="W73" s="19">
        <f>0</f>
        <v>0</v>
      </c>
      <c r="X73" s="19">
        <f>0</f>
        <v>0</v>
      </c>
    </row>
    <row r="74" spans="1:24" ht="15" customHeight="1" outlineLevel="2">
      <c r="A74" s="14" t="s">
        <v>129</v>
      </c>
      <c r="B74" s="15"/>
      <c r="C74" s="20"/>
      <c r="D74" s="303" t="s">
        <v>130</v>
      </c>
      <c r="E74" s="303"/>
      <c r="F74" s="16">
        <f>0</f>
        <v>0</v>
      </c>
      <c r="G74" s="17">
        <f>0</f>
        <v>0</v>
      </c>
      <c r="H74" s="17">
        <f>0</f>
        <v>0</v>
      </c>
      <c r="I74" s="18">
        <f>0</f>
        <v>0</v>
      </c>
      <c r="J74" s="19">
        <f>212460</f>
        <v>212460</v>
      </c>
      <c r="K74" s="19">
        <v>212460</v>
      </c>
      <c r="L74" s="286">
        <f t="shared" ref="L74:L84" si="9">K74/J74</f>
        <v>1</v>
      </c>
      <c r="M74" s="279">
        <f>0</f>
        <v>0</v>
      </c>
      <c r="N74" s="19">
        <f>0</f>
        <v>0</v>
      </c>
      <c r="O74" s="19">
        <f>0</f>
        <v>0</v>
      </c>
      <c r="P74" s="19">
        <f>0</f>
        <v>0</v>
      </c>
      <c r="Q74" s="19">
        <f>0</f>
        <v>0</v>
      </c>
      <c r="R74" s="19">
        <f>0</f>
        <v>0</v>
      </c>
      <c r="S74" s="19">
        <f>0</f>
        <v>0</v>
      </c>
      <c r="T74" s="19">
        <f>0</f>
        <v>0</v>
      </c>
      <c r="U74" s="19">
        <f>0</f>
        <v>0</v>
      </c>
      <c r="V74" s="19">
        <f>0</f>
        <v>0</v>
      </c>
      <c r="W74" s="19">
        <f>0</f>
        <v>0</v>
      </c>
      <c r="X74" s="19">
        <f>0</f>
        <v>0</v>
      </c>
    </row>
    <row r="75" spans="1:24" ht="25.5" customHeight="1" outlineLevel="2">
      <c r="A75" s="14" t="s">
        <v>131</v>
      </c>
      <c r="B75" s="15"/>
      <c r="C75" s="20"/>
      <c r="D75" s="20"/>
      <c r="E75" s="21" t="s">
        <v>132</v>
      </c>
      <c r="F75" s="16">
        <f>0</f>
        <v>0</v>
      </c>
      <c r="G75" s="17">
        <f>0</f>
        <v>0</v>
      </c>
      <c r="H75" s="17">
        <f>0</f>
        <v>0</v>
      </c>
      <c r="I75" s="18">
        <f>0</f>
        <v>0</v>
      </c>
      <c r="J75" s="19">
        <f>212460</f>
        <v>212460</v>
      </c>
      <c r="K75" s="19">
        <v>212460</v>
      </c>
      <c r="L75" s="286">
        <f t="shared" si="9"/>
        <v>1</v>
      </c>
      <c r="M75" s="279">
        <f>0</f>
        <v>0</v>
      </c>
      <c r="N75" s="19">
        <f>0</f>
        <v>0</v>
      </c>
      <c r="O75" s="19">
        <f>0</f>
        <v>0</v>
      </c>
      <c r="P75" s="19">
        <f>0</f>
        <v>0</v>
      </c>
      <c r="Q75" s="19">
        <f>0</f>
        <v>0</v>
      </c>
      <c r="R75" s="19">
        <f>0</f>
        <v>0</v>
      </c>
      <c r="S75" s="19">
        <f>0</f>
        <v>0</v>
      </c>
      <c r="T75" s="19">
        <f>0</f>
        <v>0</v>
      </c>
      <c r="U75" s="19">
        <f>0</f>
        <v>0</v>
      </c>
      <c r="V75" s="19">
        <f>0</f>
        <v>0</v>
      </c>
      <c r="W75" s="19">
        <f>0</f>
        <v>0</v>
      </c>
      <c r="X75" s="19">
        <f>0</f>
        <v>0</v>
      </c>
    </row>
    <row r="76" spans="1:24" ht="25.5" customHeight="1" outlineLevel="2">
      <c r="A76" s="14" t="s">
        <v>133</v>
      </c>
      <c r="B76" s="15"/>
      <c r="C76" s="303" t="s">
        <v>134</v>
      </c>
      <c r="D76" s="303"/>
      <c r="E76" s="303"/>
      <c r="F76" s="16">
        <f>0</f>
        <v>0</v>
      </c>
      <c r="G76" s="17">
        <f>0</f>
        <v>0</v>
      </c>
      <c r="H76" s="17">
        <f>0</f>
        <v>0</v>
      </c>
      <c r="I76" s="18">
        <f>0</f>
        <v>0</v>
      </c>
      <c r="J76" s="19">
        <f>2421512</f>
        <v>2421512</v>
      </c>
      <c r="K76" s="19">
        <v>1964061.19</v>
      </c>
      <c r="L76" s="286">
        <f t="shared" si="9"/>
        <v>0.81108877015682757</v>
      </c>
      <c r="M76" s="279">
        <f>2599000</f>
        <v>2599000</v>
      </c>
      <c r="N76" s="19">
        <f>0</f>
        <v>0</v>
      </c>
      <c r="O76" s="19">
        <f>0</f>
        <v>0</v>
      </c>
      <c r="P76" s="19">
        <f>0</f>
        <v>0</v>
      </c>
      <c r="Q76" s="19">
        <f>0</f>
        <v>0</v>
      </c>
      <c r="R76" s="19">
        <f>0</f>
        <v>0</v>
      </c>
      <c r="S76" s="19">
        <f>0</f>
        <v>0</v>
      </c>
      <c r="T76" s="19">
        <f>0</f>
        <v>0</v>
      </c>
      <c r="U76" s="19">
        <f>0</f>
        <v>0</v>
      </c>
      <c r="V76" s="19">
        <f>0</f>
        <v>0</v>
      </c>
      <c r="W76" s="19">
        <f>0</f>
        <v>0</v>
      </c>
      <c r="X76" s="19">
        <f>0</f>
        <v>0</v>
      </c>
    </row>
    <row r="77" spans="1:24" ht="15" customHeight="1" outlineLevel="2">
      <c r="A77" s="14" t="s">
        <v>135</v>
      </c>
      <c r="B77" s="15"/>
      <c r="C77" s="20"/>
      <c r="D77" s="303" t="s">
        <v>130</v>
      </c>
      <c r="E77" s="303"/>
      <c r="F77" s="16">
        <f>0</f>
        <v>0</v>
      </c>
      <c r="G77" s="17">
        <f>0</f>
        <v>0</v>
      </c>
      <c r="H77" s="17">
        <f>0</f>
        <v>0</v>
      </c>
      <c r="I77" s="18">
        <f>0</f>
        <v>0</v>
      </c>
      <c r="J77" s="19">
        <f>2421512</f>
        <v>2421512</v>
      </c>
      <c r="K77" s="19">
        <v>1964061.19</v>
      </c>
      <c r="L77" s="286">
        <f t="shared" si="9"/>
        <v>0.81108877015682757</v>
      </c>
      <c r="M77" s="279">
        <f>2599000</f>
        <v>2599000</v>
      </c>
      <c r="N77" s="19">
        <f>0</f>
        <v>0</v>
      </c>
      <c r="O77" s="19">
        <f>0</f>
        <v>0</v>
      </c>
      <c r="P77" s="19">
        <f>0</f>
        <v>0</v>
      </c>
      <c r="Q77" s="19">
        <f>0</f>
        <v>0</v>
      </c>
      <c r="R77" s="19">
        <f>0</f>
        <v>0</v>
      </c>
      <c r="S77" s="19">
        <f>0</f>
        <v>0</v>
      </c>
      <c r="T77" s="19">
        <f>0</f>
        <v>0</v>
      </c>
      <c r="U77" s="19">
        <f>0</f>
        <v>0</v>
      </c>
      <c r="V77" s="19">
        <f>0</f>
        <v>0</v>
      </c>
      <c r="W77" s="19">
        <f>0</f>
        <v>0</v>
      </c>
      <c r="X77" s="19">
        <f>0</f>
        <v>0</v>
      </c>
    </row>
    <row r="78" spans="1:24" ht="25.5" customHeight="1" outlineLevel="2">
      <c r="A78" s="14" t="s">
        <v>136</v>
      </c>
      <c r="B78" s="15"/>
      <c r="C78" s="20"/>
      <c r="D78" s="20"/>
      <c r="E78" s="25" t="s">
        <v>137</v>
      </c>
      <c r="F78" s="16">
        <f>0</f>
        <v>0</v>
      </c>
      <c r="G78" s="17">
        <f>0</f>
        <v>0</v>
      </c>
      <c r="H78" s="17">
        <f>0</f>
        <v>0</v>
      </c>
      <c r="I78" s="18">
        <f>0</f>
        <v>0</v>
      </c>
      <c r="J78" s="19">
        <f>2421512</f>
        <v>2421512</v>
      </c>
      <c r="K78" s="19">
        <v>1964061.19</v>
      </c>
      <c r="L78" s="286">
        <f t="shared" si="9"/>
        <v>0.81108877015682757</v>
      </c>
      <c r="M78" s="279">
        <f>2599000</f>
        <v>2599000</v>
      </c>
      <c r="N78" s="19">
        <f>0</f>
        <v>0</v>
      </c>
      <c r="O78" s="19">
        <f>0</f>
        <v>0</v>
      </c>
      <c r="P78" s="19">
        <f>0</f>
        <v>0</v>
      </c>
      <c r="Q78" s="19">
        <f>0</f>
        <v>0</v>
      </c>
      <c r="R78" s="19">
        <f>0</f>
        <v>0</v>
      </c>
      <c r="S78" s="19">
        <f>0</f>
        <v>0</v>
      </c>
      <c r="T78" s="19">
        <f>0</f>
        <v>0</v>
      </c>
      <c r="U78" s="19">
        <f>0</f>
        <v>0</v>
      </c>
      <c r="V78" s="19">
        <f>0</f>
        <v>0</v>
      </c>
      <c r="W78" s="19">
        <f>0</f>
        <v>0</v>
      </c>
      <c r="X78" s="19">
        <f>0</f>
        <v>0</v>
      </c>
    </row>
    <row r="79" spans="1:24" ht="25.5" customHeight="1" outlineLevel="2">
      <c r="A79" s="14" t="s">
        <v>138</v>
      </c>
      <c r="B79" s="15"/>
      <c r="C79" s="303" t="s">
        <v>139</v>
      </c>
      <c r="D79" s="303"/>
      <c r="E79" s="303"/>
      <c r="F79" s="16">
        <f>0</f>
        <v>0</v>
      </c>
      <c r="G79" s="17">
        <f>0</f>
        <v>0</v>
      </c>
      <c r="H79" s="17">
        <f>0</f>
        <v>0</v>
      </c>
      <c r="I79" s="18">
        <f>0</f>
        <v>0</v>
      </c>
      <c r="J79" s="19">
        <f>212460</f>
        <v>212460</v>
      </c>
      <c r="K79" s="19">
        <v>0</v>
      </c>
      <c r="L79" s="286">
        <f t="shared" si="9"/>
        <v>0</v>
      </c>
      <c r="M79" s="279">
        <f>0</f>
        <v>0</v>
      </c>
      <c r="N79" s="19">
        <f>0</f>
        <v>0</v>
      </c>
      <c r="O79" s="19">
        <f>0</f>
        <v>0</v>
      </c>
      <c r="P79" s="19">
        <f>0</f>
        <v>0</v>
      </c>
      <c r="Q79" s="19">
        <f>0</f>
        <v>0</v>
      </c>
      <c r="R79" s="19">
        <f>0</f>
        <v>0</v>
      </c>
      <c r="S79" s="19">
        <f>0</f>
        <v>0</v>
      </c>
      <c r="T79" s="19">
        <f>0</f>
        <v>0</v>
      </c>
      <c r="U79" s="19">
        <f>0</f>
        <v>0</v>
      </c>
      <c r="V79" s="19">
        <f>0</f>
        <v>0</v>
      </c>
      <c r="W79" s="19">
        <f>0</f>
        <v>0</v>
      </c>
      <c r="X79" s="19">
        <f>0</f>
        <v>0</v>
      </c>
    </row>
    <row r="80" spans="1:24" ht="15" customHeight="1" outlineLevel="2">
      <c r="A80" s="14" t="s">
        <v>140</v>
      </c>
      <c r="B80" s="15"/>
      <c r="C80" s="20"/>
      <c r="D80" s="303" t="s">
        <v>141</v>
      </c>
      <c r="E80" s="303"/>
      <c r="F80" s="16">
        <f>0</f>
        <v>0</v>
      </c>
      <c r="G80" s="17">
        <f>0</f>
        <v>0</v>
      </c>
      <c r="H80" s="17">
        <f>0</f>
        <v>0</v>
      </c>
      <c r="I80" s="18">
        <f>0</f>
        <v>0</v>
      </c>
      <c r="J80" s="19">
        <f>212460</f>
        <v>212460</v>
      </c>
      <c r="K80" s="19">
        <v>0</v>
      </c>
      <c r="L80" s="286">
        <f t="shared" si="9"/>
        <v>0</v>
      </c>
      <c r="M80" s="279">
        <f>0</f>
        <v>0</v>
      </c>
      <c r="N80" s="19">
        <f>0</f>
        <v>0</v>
      </c>
      <c r="O80" s="19">
        <f>0</f>
        <v>0</v>
      </c>
      <c r="P80" s="19">
        <f>0</f>
        <v>0</v>
      </c>
      <c r="Q80" s="19">
        <f>0</f>
        <v>0</v>
      </c>
      <c r="R80" s="19">
        <f>0</f>
        <v>0</v>
      </c>
      <c r="S80" s="19">
        <f>0</f>
        <v>0</v>
      </c>
      <c r="T80" s="19">
        <f>0</f>
        <v>0</v>
      </c>
      <c r="U80" s="19">
        <f>0</f>
        <v>0</v>
      </c>
      <c r="V80" s="19">
        <f>0</f>
        <v>0</v>
      </c>
      <c r="W80" s="19">
        <f>0</f>
        <v>0</v>
      </c>
      <c r="X80" s="19">
        <f>0</f>
        <v>0</v>
      </c>
    </row>
    <row r="81" spans="1:24" ht="25.5" customHeight="1" outlineLevel="2">
      <c r="A81" s="14" t="s">
        <v>142</v>
      </c>
      <c r="B81" s="15"/>
      <c r="C81" s="20"/>
      <c r="D81" s="303" t="s">
        <v>143</v>
      </c>
      <c r="E81" s="303"/>
      <c r="F81" s="16">
        <f>0</f>
        <v>0</v>
      </c>
      <c r="G81" s="17">
        <f>0</f>
        <v>0</v>
      </c>
      <c r="H81" s="17">
        <f>0</f>
        <v>0</v>
      </c>
      <c r="I81" s="18">
        <f>0</f>
        <v>0</v>
      </c>
      <c r="J81" s="19">
        <f>212460</f>
        <v>212460</v>
      </c>
      <c r="K81" s="19">
        <v>212460</v>
      </c>
      <c r="L81" s="286">
        <f t="shared" si="9"/>
        <v>1</v>
      </c>
      <c r="M81" s="279">
        <f>0</f>
        <v>0</v>
      </c>
      <c r="N81" s="19">
        <f>0</f>
        <v>0</v>
      </c>
      <c r="O81" s="19">
        <f>0</f>
        <v>0</v>
      </c>
      <c r="P81" s="19">
        <f>0</f>
        <v>0</v>
      </c>
      <c r="Q81" s="19">
        <f>0</f>
        <v>0</v>
      </c>
      <c r="R81" s="19">
        <f>0</f>
        <v>0</v>
      </c>
      <c r="S81" s="19">
        <f>0</f>
        <v>0</v>
      </c>
      <c r="T81" s="19">
        <f>0</f>
        <v>0</v>
      </c>
      <c r="U81" s="19">
        <f>0</f>
        <v>0</v>
      </c>
      <c r="V81" s="19">
        <f>0</f>
        <v>0</v>
      </c>
      <c r="W81" s="19">
        <f>0</f>
        <v>0</v>
      </c>
      <c r="X81" s="19">
        <f>0</f>
        <v>0</v>
      </c>
    </row>
    <row r="82" spans="1:24" ht="25.5" customHeight="1" outlineLevel="2">
      <c r="A82" s="14" t="s">
        <v>144</v>
      </c>
      <c r="B82" s="15"/>
      <c r="C82" s="303" t="s">
        <v>145</v>
      </c>
      <c r="D82" s="303"/>
      <c r="E82" s="303"/>
      <c r="F82" s="16">
        <f>0</f>
        <v>0</v>
      </c>
      <c r="G82" s="17">
        <f>0</f>
        <v>0</v>
      </c>
      <c r="H82" s="17">
        <f>0</f>
        <v>0</v>
      </c>
      <c r="I82" s="18">
        <f>0</f>
        <v>0</v>
      </c>
      <c r="J82" s="19">
        <f>10761565</f>
        <v>10761565</v>
      </c>
      <c r="K82" s="19">
        <v>4292396.12</v>
      </c>
      <c r="L82" s="286">
        <f t="shared" si="9"/>
        <v>0.3988635593429023</v>
      </c>
      <c r="M82" s="279">
        <f>4582369</f>
        <v>4582369</v>
      </c>
      <c r="N82" s="19">
        <f>0</f>
        <v>0</v>
      </c>
      <c r="O82" s="19">
        <f>0</f>
        <v>0</v>
      </c>
      <c r="P82" s="19">
        <f>0</f>
        <v>0</v>
      </c>
      <c r="Q82" s="19">
        <f>0</f>
        <v>0</v>
      </c>
      <c r="R82" s="19">
        <f>0</f>
        <v>0</v>
      </c>
      <c r="S82" s="19">
        <f>0</f>
        <v>0</v>
      </c>
      <c r="T82" s="19">
        <f>0</f>
        <v>0</v>
      </c>
      <c r="U82" s="19">
        <f>0</f>
        <v>0</v>
      </c>
      <c r="V82" s="19">
        <f>0</f>
        <v>0</v>
      </c>
      <c r="W82" s="19">
        <f>0</f>
        <v>0</v>
      </c>
      <c r="X82" s="19">
        <f>0</f>
        <v>0</v>
      </c>
    </row>
    <row r="83" spans="1:24" ht="15" customHeight="1" outlineLevel="2">
      <c r="A83" s="14" t="s">
        <v>146</v>
      </c>
      <c r="B83" s="15"/>
      <c r="C83" s="20"/>
      <c r="D83" s="303" t="s">
        <v>147</v>
      </c>
      <c r="E83" s="303"/>
      <c r="F83" s="16">
        <f>0</f>
        <v>0</v>
      </c>
      <c r="G83" s="17">
        <f>0</f>
        <v>0</v>
      </c>
      <c r="H83" s="17">
        <f>0</f>
        <v>0</v>
      </c>
      <c r="I83" s="18">
        <f>0</f>
        <v>0</v>
      </c>
      <c r="J83" s="19">
        <f>4551749</f>
        <v>4551749</v>
      </c>
      <c r="K83" s="19">
        <v>1922621.07</v>
      </c>
      <c r="L83" s="286">
        <f t="shared" si="9"/>
        <v>0.42239171579979479</v>
      </c>
      <c r="M83" s="279">
        <f>2525308.93</f>
        <v>2525308.9300000002</v>
      </c>
      <c r="N83" s="19">
        <f>0</f>
        <v>0</v>
      </c>
      <c r="O83" s="19">
        <f>0</f>
        <v>0</v>
      </c>
      <c r="P83" s="19">
        <f>0</f>
        <v>0</v>
      </c>
      <c r="Q83" s="19">
        <f>0</f>
        <v>0</v>
      </c>
      <c r="R83" s="19">
        <f>0</f>
        <v>0</v>
      </c>
      <c r="S83" s="19">
        <f>0</f>
        <v>0</v>
      </c>
      <c r="T83" s="19">
        <f>0</f>
        <v>0</v>
      </c>
      <c r="U83" s="19">
        <f>0</f>
        <v>0</v>
      </c>
      <c r="V83" s="19">
        <f>0</f>
        <v>0</v>
      </c>
      <c r="W83" s="19">
        <f>0</f>
        <v>0</v>
      </c>
      <c r="X83" s="19">
        <f>0</f>
        <v>0</v>
      </c>
    </row>
    <row r="84" spans="1:24" ht="25.5" customHeight="1" outlineLevel="2">
      <c r="A84" s="14" t="s">
        <v>148</v>
      </c>
      <c r="B84" s="15"/>
      <c r="C84" s="20"/>
      <c r="D84" s="303" t="s">
        <v>149</v>
      </c>
      <c r="E84" s="303"/>
      <c r="F84" s="16">
        <f>0</f>
        <v>0</v>
      </c>
      <c r="G84" s="17">
        <f>0</f>
        <v>0</v>
      </c>
      <c r="H84" s="17">
        <f>0</f>
        <v>0</v>
      </c>
      <c r="I84" s="18">
        <f>0</f>
        <v>0</v>
      </c>
      <c r="J84" s="19">
        <f>9859910.96</f>
        <v>9859910.9600000009</v>
      </c>
      <c r="K84" s="19">
        <v>9859910.9600000009</v>
      </c>
      <c r="L84" s="286">
        <f t="shared" si="9"/>
        <v>1</v>
      </c>
      <c r="M84" s="279">
        <f>0</f>
        <v>0</v>
      </c>
      <c r="N84" s="19">
        <f>0</f>
        <v>0</v>
      </c>
      <c r="O84" s="19">
        <f>0</f>
        <v>0</v>
      </c>
      <c r="P84" s="19">
        <f>0</f>
        <v>0</v>
      </c>
      <c r="Q84" s="19">
        <f>0</f>
        <v>0</v>
      </c>
      <c r="R84" s="19">
        <f>0</f>
        <v>0</v>
      </c>
      <c r="S84" s="19">
        <f>0</f>
        <v>0</v>
      </c>
      <c r="T84" s="19">
        <f>0</f>
        <v>0</v>
      </c>
      <c r="U84" s="19">
        <f>0</f>
        <v>0</v>
      </c>
      <c r="V84" s="19">
        <f>0</f>
        <v>0</v>
      </c>
      <c r="W84" s="19">
        <f>0</f>
        <v>0</v>
      </c>
      <c r="X84" s="19">
        <f>0</f>
        <v>0</v>
      </c>
    </row>
    <row r="85" spans="1:24" ht="25.5" customHeight="1" outlineLevel="1">
      <c r="A85" s="9">
        <v>13</v>
      </c>
      <c r="B85" s="305" t="s">
        <v>150</v>
      </c>
      <c r="C85" s="306"/>
      <c r="D85" s="306"/>
      <c r="E85" s="306"/>
      <c r="F85" s="30" t="s">
        <v>37</v>
      </c>
      <c r="G85" s="31" t="s">
        <v>37</v>
      </c>
      <c r="H85" s="31" t="s">
        <v>37</v>
      </c>
      <c r="I85" s="32" t="s">
        <v>37</v>
      </c>
      <c r="J85" s="33" t="s">
        <v>37</v>
      </c>
      <c r="K85" s="33" t="s">
        <v>37</v>
      </c>
      <c r="L85" s="287" t="s">
        <v>37</v>
      </c>
      <c r="M85" s="281" t="s">
        <v>37</v>
      </c>
      <c r="N85" s="33" t="s">
        <v>37</v>
      </c>
      <c r="O85" s="33" t="s">
        <v>37</v>
      </c>
      <c r="P85" s="33" t="s">
        <v>37</v>
      </c>
      <c r="Q85" s="33" t="s">
        <v>37</v>
      </c>
      <c r="R85" s="33" t="s">
        <v>37</v>
      </c>
      <c r="S85" s="33" t="s">
        <v>37</v>
      </c>
      <c r="T85" s="33" t="s">
        <v>37</v>
      </c>
      <c r="U85" s="33" t="s">
        <v>37</v>
      </c>
      <c r="V85" s="33" t="s">
        <v>37</v>
      </c>
      <c r="W85" s="33" t="s">
        <v>37</v>
      </c>
      <c r="X85" s="33" t="s">
        <v>37</v>
      </c>
    </row>
    <row r="86" spans="1:24" ht="25.5" customHeight="1" outlineLevel="2">
      <c r="A86" s="14" t="s">
        <v>151</v>
      </c>
      <c r="B86" s="15"/>
      <c r="C86" s="303" t="s">
        <v>152</v>
      </c>
      <c r="D86" s="303"/>
      <c r="E86" s="303"/>
      <c r="F86" s="16">
        <f>0</f>
        <v>0</v>
      </c>
      <c r="G86" s="17">
        <f>0</f>
        <v>0</v>
      </c>
      <c r="H86" s="17">
        <f>0</f>
        <v>0</v>
      </c>
      <c r="I86" s="18">
        <f>0</f>
        <v>0</v>
      </c>
      <c r="J86" s="19">
        <f>0</f>
        <v>0</v>
      </c>
      <c r="K86" s="19">
        <v>0</v>
      </c>
      <c r="L86" s="288" t="s">
        <v>37</v>
      </c>
      <c r="M86" s="279">
        <f>0</f>
        <v>0</v>
      </c>
      <c r="N86" s="19">
        <f>0</f>
        <v>0</v>
      </c>
      <c r="O86" s="19">
        <f>0</f>
        <v>0</v>
      </c>
      <c r="P86" s="19">
        <f>0</f>
        <v>0</v>
      </c>
      <c r="Q86" s="19">
        <f>0</f>
        <v>0</v>
      </c>
      <c r="R86" s="19">
        <f>0</f>
        <v>0</v>
      </c>
      <c r="S86" s="19">
        <f>0</f>
        <v>0</v>
      </c>
      <c r="T86" s="19">
        <f>0</f>
        <v>0</v>
      </c>
      <c r="U86" s="19">
        <f>0</f>
        <v>0</v>
      </c>
      <c r="V86" s="19">
        <f>0</f>
        <v>0</v>
      </c>
      <c r="W86" s="19">
        <f>0</f>
        <v>0</v>
      </c>
      <c r="X86" s="19">
        <f>0</f>
        <v>0</v>
      </c>
    </row>
    <row r="87" spans="1:24" ht="25.5" customHeight="1" outlineLevel="2">
      <c r="A87" s="14" t="s">
        <v>153</v>
      </c>
      <c r="B87" s="15"/>
      <c r="C87" s="303" t="s">
        <v>154</v>
      </c>
      <c r="D87" s="303"/>
      <c r="E87" s="303"/>
      <c r="F87" s="16">
        <f>0</f>
        <v>0</v>
      </c>
      <c r="G87" s="17">
        <f>0</f>
        <v>0</v>
      </c>
      <c r="H87" s="17">
        <f>0</f>
        <v>0</v>
      </c>
      <c r="I87" s="18">
        <f>0</f>
        <v>0</v>
      </c>
      <c r="J87" s="19">
        <f>0</f>
        <v>0</v>
      </c>
      <c r="K87" s="19">
        <v>0</v>
      </c>
      <c r="L87" s="288" t="s">
        <v>37</v>
      </c>
      <c r="M87" s="279">
        <f>0</f>
        <v>0</v>
      </c>
      <c r="N87" s="19">
        <f>0</f>
        <v>0</v>
      </c>
      <c r="O87" s="19">
        <f>0</f>
        <v>0</v>
      </c>
      <c r="P87" s="19">
        <f>0</f>
        <v>0</v>
      </c>
      <c r="Q87" s="19">
        <f>0</f>
        <v>0</v>
      </c>
      <c r="R87" s="19">
        <f>0</f>
        <v>0</v>
      </c>
      <c r="S87" s="19">
        <f>0</f>
        <v>0</v>
      </c>
      <c r="T87" s="19">
        <f>0</f>
        <v>0</v>
      </c>
      <c r="U87" s="19">
        <f>0</f>
        <v>0</v>
      </c>
      <c r="V87" s="19">
        <f>0</f>
        <v>0</v>
      </c>
      <c r="W87" s="19">
        <f>0</f>
        <v>0</v>
      </c>
      <c r="X87" s="19">
        <f>0</f>
        <v>0</v>
      </c>
    </row>
    <row r="88" spans="1:24" ht="25.5" customHeight="1" outlineLevel="2">
      <c r="A88" s="14" t="s">
        <v>155</v>
      </c>
      <c r="B88" s="15"/>
      <c r="C88" s="303" t="s">
        <v>156</v>
      </c>
      <c r="D88" s="303"/>
      <c r="E88" s="303"/>
      <c r="F88" s="16">
        <f>0</f>
        <v>0</v>
      </c>
      <c r="G88" s="17">
        <f>0</f>
        <v>0</v>
      </c>
      <c r="H88" s="17">
        <f>0</f>
        <v>0</v>
      </c>
      <c r="I88" s="18">
        <f>0</f>
        <v>0</v>
      </c>
      <c r="J88" s="19">
        <f>0</f>
        <v>0</v>
      </c>
      <c r="K88" s="19">
        <v>0</v>
      </c>
      <c r="L88" s="288" t="s">
        <v>37</v>
      </c>
      <c r="M88" s="279">
        <f>0</f>
        <v>0</v>
      </c>
      <c r="N88" s="19">
        <f>0</f>
        <v>0</v>
      </c>
      <c r="O88" s="19">
        <f>0</f>
        <v>0</v>
      </c>
      <c r="P88" s="19">
        <f>0</f>
        <v>0</v>
      </c>
      <c r="Q88" s="19">
        <f>0</f>
        <v>0</v>
      </c>
      <c r="R88" s="19">
        <f>0</f>
        <v>0</v>
      </c>
      <c r="S88" s="19">
        <f>0</f>
        <v>0</v>
      </c>
      <c r="T88" s="19">
        <f>0</f>
        <v>0</v>
      </c>
      <c r="U88" s="19">
        <f>0</f>
        <v>0</v>
      </c>
      <c r="V88" s="19">
        <f>0</f>
        <v>0</v>
      </c>
      <c r="W88" s="19">
        <f>0</f>
        <v>0</v>
      </c>
      <c r="X88" s="19">
        <f>0</f>
        <v>0</v>
      </c>
    </row>
    <row r="89" spans="1:24" ht="25.5" customHeight="1" outlineLevel="2">
      <c r="A89" s="14" t="s">
        <v>157</v>
      </c>
      <c r="B89" s="15"/>
      <c r="C89" s="303" t="s">
        <v>158</v>
      </c>
      <c r="D89" s="303"/>
      <c r="E89" s="303"/>
      <c r="F89" s="16">
        <f>0</f>
        <v>0</v>
      </c>
      <c r="G89" s="17">
        <f>0</f>
        <v>0</v>
      </c>
      <c r="H89" s="17">
        <f>0</f>
        <v>0</v>
      </c>
      <c r="I89" s="18">
        <f>0</f>
        <v>0</v>
      </c>
      <c r="J89" s="19">
        <f>0</f>
        <v>0</v>
      </c>
      <c r="K89" s="19">
        <v>0</v>
      </c>
      <c r="L89" s="288" t="s">
        <v>37</v>
      </c>
      <c r="M89" s="279">
        <f>0</f>
        <v>0</v>
      </c>
      <c r="N89" s="19">
        <f>0</f>
        <v>0</v>
      </c>
      <c r="O89" s="19">
        <f>0</f>
        <v>0</v>
      </c>
      <c r="P89" s="19">
        <f>0</f>
        <v>0</v>
      </c>
      <c r="Q89" s="19">
        <f>0</f>
        <v>0</v>
      </c>
      <c r="R89" s="19">
        <f>0</f>
        <v>0</v>
      </c>
      <c r="S89" s="19">
        <f>0</f>
        <v>0</v>
      </c>
      <c r="T89" s="19">
        <f>0</f>
        <v>0</v>
      </c>
      <c r="U89" s="19">
        <f>0</f>
        <v>0</v>
      </c>
      <c r="V89" s="19">
        <f>0</f>
        <v>0</v>
      </c>
      <c r="W89" s="19">
        <f>0</f>
        <v>0</v>
      </c>
      <c r="X89" s="19">
        <f>0</f>
        <v>0</v>
      </c>
    </row>
    <row r="90" spans="1:24" ht="25.5" customHeight="1" outlineLevel="2">
      <c r="A90" s="14" t="s">
        <v>159</v>
      </c>
      <c r="B90" s="15"/>
      <c r="C90" s="303" t="s">
        <v>160</v>
      </c>
      <c r="D90" s="303"/>
      <c r="E90" s="303"/>
      <c r="F90" s="16">
        <f>0</f>
        <v>0</v>
      </c>
      <c r="G90" s="17">
        <f>0</f>
        <v>0</v>
      </c>
      <c r="H90" s="17">
        <f>0</f>
        <v>0</v>
      </c>
      <c r="I90" s="18">
        <f>0</f>
        <v>0</v>
      </c>
      <c r="J90" s="19">
        <f>0</f>
        <v>0</v>
      </c>
      <c r="K90" s="19">
        <v>0</v>
      </c>
      <c r="L90" s="288" t="s">
        <v>37</v>
      </c>
      <c r="M90" s="279">
        <f>0</f>
        <v>0</v>
      </c>
      <c r="N90" s="19">
        <f>0</f>
        <v>0</v>
      </c>
      <c r="O90" s="19">
        <f>0</f>
        <v>0</v>
      </c>
      <c r="P90" s="19">
        <f>0</f>
        <v>0</v>
      </c>
      <c r="Q90" s="19">
        <f>0</f>
        <v>0</v>
      </c>
      <c r="R90" s="19">
        <f>0</f>
        <v>0</v>
      </c>
      <c r="S90" s="19">
        <f>0</f>
        <v>0</v>
      </c>
      <c r="T90" s="19">
        <f>0</f>
        <v>0</v>
      </c>
      <c r="U90" s="19">
        <f>0</f>
        <v>0</v>
      </c>
      <c r="V90" s="19">
        <f>0</f>
        <v>0</v>
      </c>
      <c r="W90" s="19">
        <f>0</f>
        <v>0</v>
      </c>
      <c r="X90" s="19">
        <f>0</f>
        <v>0</v>
      </c>
    </row>
    <row r="91" spans="1:24" ht="25.5" customHeight="1" outlineLevel="2">
      <c r="A91" s="14" t="s">
        <v>161</v>
      </c>
      <c r="B91" s="15"/>
      <c r="C91" s="303" t="s">
        <v>162</v>
      </c>
      <c r="D91" s="303"/>
      <c r="E91" s="303"/>
      <c r="F91" s="16">
        <f>0</f>
        <v>0</v>
      </c>
      <c r="G91" s="17">
        <f>0</f>
        <v>0</v>
      </c>
      <c r="H91" s="17">
        <f>0</f>
        <v>0</v>
      </c>
      <c r="I91" s="18">
        <f>0</f>
        <v>0</v>
      </c>
      <c r="J91" s="19">
        <f>0</f>
        <v>0</v>
      </c>
      <c r="K91" s="19">
        <v>0</v>
      </c>
      <c r="L91" s="288" t="s">
        <v>37</v>
      </c>
      <c r="M91" s="279">
        <f>0</f>
        <v>0</v>
      </c>
      <c r="N91" s="19">
        <f>0</f>
        <v>0</v>
      </c>
      <c r="O91" s="19">
        <f>0</f>
        <v>0</v>
      </c>
      <c r="P91" s="19">
        <f>0</f>
        <v>0</v>
      </c>
      <c r="Q91" s="19">
        <f>0</f>
        <v>0</v>
      </c>
      <c r="R91" s="19">
        <f>0</f>
        <v>0</v>
      </c>
      <c r="S91" s="19">
        <f>0</f>
        <v>0</v>
      </c>
      <c r="T91" s="19">
        <f>0</f>
        <v>0</v>
      </c>
      <c r="U91" s="19">
        <f>0</f>
        <v>0</v>
      </c>
      <c r="V91" s="19">
        <f>0</f>
        <v>0</v>
      </c>
      <c r="W91" s="19">
        <f>0</f>
        <v>0</v>
      </c>
      <c r="X91" s="19">
        <f>0</f>
        <v>0</v>
      </c>
    </row>
    <row r="92" spans="1:24" ht="25.5" customHeight="1" outlineLevel="2">
      <c r="A92" s="14" t="s">
        <v>163</v>
      </c>
      <c r="B92" s="15"/>
      <c r="C92" s="303" t="s">
        <v>164</v>
      </c>
      <c r="D92" s="303"/>
      <c r="E92" s="303"/>
      <c r="F92" s="16">
        <f>0</f>
        <v>0</v>
      </c>
      <c r="G92" s="17">
        <f>0</f>
        <v>0</v>
      </c>
      <c r="H92" s="17">
        <f>0</f>
        <v>0</v>
      </c>
      <c r="I92" s="18">
        <f>0</f>
        <v>0</v>
      </c>
      <c r="J92" s="19">
        <f>0</f>
        <v>0</v>
      </c>
      <c r="K92" s="19">
        <v>0</v>
      </c>
      <c r="L92" s="288" t="s">
        <v>37</v>
      </c>
      <c r="M92" s="279">
        <f>0</f>
        <v>0</v>
      </c>
      <c r="N92" s="19">
        <f>0</f>
        <v>0</v>
      </c>
      <c r="O92" s="19">
        <f>0</f>
        <v>0</v>
      </c>
      <c r="P92" s="19">
        <f>0</f>
        <v>0</v>
      </c>
      <c r="Q92" s="19">
        <f>0</f>
        <v>0</v>
      </c>
      <c r="R92" s="19">
        <f>0</f>
        <v>0</v>
      </c>
      <c r="S92" s="19">
        <f>0</f>
        <v>0</v>
      </c>
      <c r="T92" s="19">
        <f>0</f>
        <v>0</v>
      </c>
      <c r="U92" s="19">
        <f>0</f>
        <v>0</v>
      </c>
      <c r="V92" s="19">
        <f>0</f>
        <v>0</v>
      </c>
      <c r="W92" s="19">
        <f>0</f>
        <v>0</v>
      </c>
      <c r="X92" s="19">
        <f>0</f>
        <v>0</v>
      </c>
    </row>
    <row r="93" spans="1:24" ht="15" customHeight="1" outlineLevel="1">
      <c r="A93" s="9">
        <v>14</v>
      </c>
      <c r="B93" s="305" t="s">
        <v>165</v>
      </c>
      <c r="C93" s="306"/>
      <c r="D93" s="306"/>
      <c r="E93" s="306"/>
      <c r="F93" s="30" t="s">
        <v>37</v>
      </c>
      <c r="G93" s="31" t="s">
        <v>37</v>
      </c>
      <c r="H93" s="31" t="s">
        <v>37</v>
      </c>
      <c r="I93" s="32" t="s">
        <v>37</v>
      </c>
      <c r="J93" s="33" t="s">
        <v>37</v>
      </c>
      <c r="K93" s="33" t="s">
        <v>37</v>
      </c>
      <c r="L93" s="287" t="s">
        <v>37</v>
      </c>
      <c r="M93" s="281" t="s">
        <v>37</v>
      </c>
      <c r="N93" s="33" t="s">
        <v>37</v>
      </c>
      <c r="O93" s="33" t="s">
        <v>37</v>
      </c>
      <c r="P93" s="33" t="s">
        <v>37</v>
      </c>
      <c r="Q93" s="33" t="s">
        <v>37</v>
      </c>
      <c r="R93" s="33" t="s">
        <v>37</v>
      </c>
      <c r="S93" s="33" t="s">
        <v>37</v>
      </c>
      <c r="T93" s="33" t="s">
        <v>37</v>
      </c>
      <c r="U93" s="33" t="s">
        <v>37</v>
      </c>
      <c r="V93" s="33" t="s">
        <v>37</v>
      </c>
      <c r="W93" s="33" t="s">
        <v>37</v>
      </c>
      <c r="X93" s="33" t="s">
        <v>37</v>
      </c>
    </row>
    <row r="94" spans="1:24" ht="25.5" customHeight="1" outlineLevel="2">
      <c r="A94" s="14" t="s">
        <v>166</v>
      </c>
      <c r="B94" s="15"/>
      <c r="C94" s="303" t="s">
        <v>167</v>
      </c>
      <c r="D94" s="303"/>
      <c r="E94" s="303"/>
      <c r="F94" s="16">
        <f>0</f>
        <v>0</v>
      </c>
      <c r="G94" s="17">
        <f>0</f>
        <v>0</v>
      </c>
      <c r="H94" s="17">
        <f>0</f>
        <v>0</v>
      </c>
      <c r="I94" s="18">
        <f>0</f>
        <v>0</v>
      </c>
      <c r="J94" s="19">
        <f>931400</f>
        <v>931400</v>
      </c>
      <c r="K94" s="19">
        <v>0</v>
      </c>
      <c r="L94" s="286">
        <v>0</v>
      </c>
      <c r="M94" s="279">
        <f>1351000</f>
        <v>1351000</v>
      </c>
      <c r="N94" s="19">
        <f>1248000</f>
        <v>1248000</v>
      </c>
      <c r="O94" s="19">
        <f>1248000</f>
        <v>1248000</v>
      </c>
      <c r="P94" s="19">
        <f>1198000</f>
        <v>1198000</v>
      </c>
      <c r="Q94" s="19">
        <f>1198000</f>
        <v>1198000</v>
      </c>
      <c r="R94" s="19">
        <f>1198000</f>
        <v>1198000</v>
      </c>
      <c r="S94" s="19">
        <f>466000</f>
        <v>466000</v>
      </c>
      <c r="T94" s="19">
        <f>466000</f>
        <v>466000</v>
      </c>
      <c r="U94" s="19">
        <f>460534</f>
        <v>460534</v>
      </c>
      <c r="V94" s="19">
        <f>322608.13</f>
        <v>322608.13</v>
      </c>
      <c r="W94" s="19">
        <f>0</f>
        <v>0</v>
      </c>
      <c r="X94" s="19">
        <f>0</f>
        <v>0</v>
      </c>
    </row>
    <row r="95" spans="1:24" ht="15" customHeight="1" outlineLevel="2">
      <c r="A95" s="14" t="s">
        <v>168</v>
      </c>
      <c r="B95" s="15"/>
      <c r="C95" s="303" t="s">
        <v>169</v>
      </c>
      <c r="D95" s="303"/>
      <c r="E95" s="303"/>
      <c r="F95" s="16">
        <f>0</f>
        <v>0</v>
      </c>
      <c r="G95" s="17">
        <f>0</f>
        <v>0</v>
      </c>
      <c r="H95" s="17">
        <f>0</f>
        <v>0</v>
      </c>
      <c r="I95" s="18">
        <f>0</f>
        <v>0</v>
      </c>
      <c r="J95" s="19">
        <f>0</f>
        <v>0</v>
      </c>
      <c r="K95" s="19">
        <v>0</v>
      </c>
      <c r="L95" s="286">
        <v>0</v>
      </c>
      <c r="M95" s="279">
        <f>0</f>
        <v>0</v>
      </c>
      <c r="N95" s="19">
        <f>0</f>
        <v>0</v>
      </c>
      <c r="O95" s="19">
        <f>0</f>
        <v>0</v>
      </c>
      <c r="P95" s="19">
        <f>0</f>
        <v>0</v>
      </c>
      <c r="Q95" s="19">
        <f>0</f>
        <v>0</v>
      </c>
      <c r="R95" s="19">
        <f>0</f>
        <v>0</v>
      </c>
      <c r="S95" s="19">
        <f>0</f>
        <v>0</v>
      </c>
      <c r="T95" s="19">
        <f>0</f>
        <v>0</v>
      </c>
      <c r="U95" s="19">
        <f>0</f>
        <v>0</v>
      </c>
      <c r="V95" s="19">
        <f>0</f>
        <v>0</v>
      </c>
      <c r="W95" s="19">
        <f>0</f>
        <v>0</v>
      </c>
      <c r="X95" s="19">
        <f>0</f>
        <v>0</v>
      </c>
    </row>
    <row r="96" spans="1:24" ht="15" customHeight="1" outlineLevel="2">
      <c r="A96" s="14" t="s">
        <v>170</v>
      </c>
      <c r="B96" s="15"/>
      <c r="C96" s="303" t="s">
        <v>171</v>
      </c>
      <c r="D96" s="303"/>
      <c r="E96" s="303"/>
      <c r="F96" s="16">
        <f>0</f>
        <v>0</v>
      </c>
      <c r="G96" s="17">
        <f>0</f>
        <v>0</v>
      </c>
      <c r="H96" s="17">
        <f>0</f>
        <v>0</v>
      </c>
      <c r="I96" s="18">
        <f>0</f>
        <v>0</v>
      </c>
      <c r="J96" s="19">
        <f>151617.24</f>
        <v>151617.24</v>
      </c>
      <c r="K96" s="19">
        <v>0</v>
      </c>
      <c r="L96" s="286">
        <v>0</v>
      </c>
      <c r="M96" s="279">
        <f>0</f>
        <v>0</v>
      </c>
      <c r="N96" s="19">
        <f>0</f>
        <v>0</v>
      </c>
      <c r="O96" s="19">
        <f>0</f>
        <v>0</v>
      </c>
      <c r="P96" s="19">
        <f>0</f>
        <v>0</v>
      </c>
      <c r="Q96" s="19">
        <f>0</f>
        <v>0</v>
      </c>
      <c r="R96" s="19">
        <f>0</f>
        <v>0</v>
      </c>
      <c r="S96" s="19">
        <f>0</f>
        <v>0</v>
      </c>
      <c r="T96" s="19">
        <f>0</f>
        <v>0</v>
      </c>
      <c r="U96" s="19">
        <f>0</f>
        <v>0</v>
      </c>
      <c r="V96" s="19">
        <f>0</f>
        <v>0</v>
      </c>
      <c r="W96" s="19">
        <f>0</f>
        <v>0</v>
      </c>
      <c r="X96" s="19">
        <f>0</f>
        <v>0</v>
      </c>
    </row>
    <row r="97" spans="1:24" ht="15" customHeight="1" outlineLevel="2">
      <c r="A97" s="14" t="s">
        <v>172</v>
      </c>
      <c r="B97" s="15"/>
      <c r="C97" s="20"/>
      <c r="D97" s="303" t="s">
        <v>173</v>
      </c>
      <c r="E97" s="303"/>
      <c r="F97" s="16">
        <f>0</f>
        <v>0</v>
      </c>
      <c r="G97" s="17">
        <f>0</f>
        <v>0</v>
      </c>
      <c r="H97" s="17">
        <f>0</f>
        <v>0</v>
      </c>
      <c r="I97" s="18">
        <f>0</f>
        <v>0</v>
      </c>
      <c r="J97" s="19">
        <f>151617.24</f>
        <v>151617.24</v>
      </c>
      <c r="K97" s="19">
        <v>0</v>
      </c>
      <c r="L97" s="286">
        <v>0</v>
      </c>
      <c r="M97" s="279">
        <f>0</f>
        <v>0</v>
      </c>
      <c r="N97" s="19">
        <f>0</f>
        <v>0</v>
      </c>
      <c r="O97" s="19">
        <f>0</f>
        <v>0</v>
      </c>
      <c r="P97" s="19">
        <f>0</f>
        <v>0</v>
      </c>
      <c r="Q97" s="19">
        <f>0</f>
        <v>0</v>
      </c>
      <c r="R97" s="19">
        <f>0</f>
        <v>0</v>
      </c>
      <c r="S97" s="19">
        <f>0</f>
        <v>0</v>
      </c>
      <c r="T97" s="19">
        <f>0</f>
        <v>0</v>
      </c>
      <c r="U97" s="19">
        <f>0</f>
        <v>0</v>
      </c>
      <c r="V97" s="19">
        <f>0</f>
        <v>0</v>
      </c>
      <c r="W97" s="19">
        <f>0</f>
        <v>0</v>
      </c>
      <c r="X97" s="19">
        <f>0</f>
        <v>0</v>
      </c>
    </row>
    <row r="98" spans="1:24" ht="15" customHeight="1" outlineLevel="2">
      <c r="A98" s="14" t="s">
        <v>174</v>
      </c>
      <c r="B98" s="15"/>
      <c r="C98" s="20"/>
      <c r="D98" s="303" t="s">
        <v>175</v>
      </c>
      <c r="E98" s="303"/>
      <c r="F98" s="16">
        <f>0</f>
        <v>0</v>
      </c>
      <c r="G98" s="17">
        <f>0</f>
        <v>0</v>
      </c>
      <c r="H98" s="17">
        <f>0</f>
        <v>0</v>
      </c>
      <c r="I98" s="18">
        <f>0</f>
        <v>0</v>
      </c>
      <c r="J98" s="19">
        <f>0</f>
        <v>0</v>
      </c>
      <c r="K98" s="19">
        <v>0</v>
      </c>
      <c r="L98" s="286">
        <v>0</v>
      </c>
      <c r="M98" s="279">
        <f>0</f>
        <v>0</v>
      </c>
      <c r="N98" s="19">
        <f>0</f>
        <v>0</v>
      </c>
      <c r="O98" s="19">
        <f>0</f>
        <v>0</v>
      </c>
      <c r="P98" s="19">
        <f>0</f>
        <v>0</v>
      </c>
      <c r="Q98" s="19">
        <f>0</f>
        <v>0</v>
      </c>
      <c r="R98" s="19">
        <f>0</f>
        <v>0</v>
      </c>
      <c r="S98" s="19">
        <f>0</f>
        <v>0</v>
      </c>
      <c r="T98" s="19">
        <f>0</f>
        <v>0</v>
      </c>
      <c r="U98" s="19">
        <f>0</f>
        <v>0</v>
      </c>
      <c r="V98" s="19">
        <f>0</f>
        <v>0</v>
      </c>
      <c r="W98" s="19">
        <f>0</f>
        <v>0</v>
      </c>
      <c r="X98" s="19">
        <f>0</f>
        <v>0</v>
      </c>
    </row>
    <row r="99" spans="1:24" ht="15" customHeight="1" outlineLevel="2">
      <c r="A99" s="14" t="s">
        <v>176</v>
      </c>
      <c r="B99" s="15"/>
      <c r="C99" s="20"/>
      <c r="D99" s="303" t="s">
        <v>177</v>
      </c>
      <c r="E99" s="303"/>
      <c r="F99" s="16">
        <f>0</f>
        <v>0</v>
      </c>
      <c r="G99" s="17">
        <f>0</f>
        <v>0</v>
      </c>
      <c r="H99" s="17">
        <f>0</f>
        <v>0</v>
      </c>
      <c r="I99" s="18">
        <f>0</f>
        <v>0</v>
      </c>
      <c r="J99" s="19">
        <f>0</f>
        <v>0</v>
      </c>
      <c r="K99" s="19">
        <v>0</v>
      </c>
      <c r="L99" s="286">
        <v>0</v>
      </c>
      <c r="M99" s="279">
        <f>0</f>
        <v>0</v>
      </c>
      <c r="N99" s="19">
        <f>0</f>
        <v>0</v>
      </c>
      <c r="O99" s="19">
        <f>0</f>
        <v>0</v>
      </c>
      <c r="P99" s="19">
        <f>0</f>
        <v>0</v>
      </c>
      <c r="Q99" s="19">
        <f>0</f>
        <v>0</v>
      </c>
      <c r="R99" s="19">
        <f>0</f>
        <v>0</v>
      </c>
      <c r="S99" s="19">
        <f>0</f>
        <v>0</v>
      </c>
      <c r="T99" s="19">
        <f>0</f>
        <v>0</v>
      </c>
      <c r="U99" s="19">
        <f>0</f>
        <v>0</v>
      </c>
      <c r="V99" s="19">
        <f>0</f>
        <v>0</v>
      </c>
      <c r="W99" s="19">
        <f>0</f>
        <v>0</v>
      </c>
      <c r="X99" s="19">
        <f>0</f>
        <v>0</v>
      </c>
    </row>
    <row r="100" spans="1:24" ht="15" customHeight="1" outlineLevel="2">
      <c r="A100" s="40" t="s">
        <v>178</v>
      </c>
      <c r="B100" s="41"/>
      <c r="C100" s="304" t="s">
        <v>179</v>
      </c>
      <c r="D100" s="304"/>
      <c r="E100" s="304"/>
      <c r="F100" s="42">
        <f>0</f>
        <v>0</v>
      </c>
      <c r="G100" s="43">
        <f>0</f>
        <v>0</v>
      </c>
      <c r="H100" s="43">
        <f>0</f>
        <v>0</v>
      </c>
      <c r="I100" s="44">
        <f>0</f>
        <v>0</v>
      </c>
      <c r="J100" s="45">
        <f>0</f>
        <v>0</v>
      </c>
      <c r="K100" s="45">
        <v>0</v>
      </c>
      <c r="L100" s="289">
        <v>0</v>
      </c>
      <c r="M100" s="283">
        <f>0</f>
        <v>0</v>
      </c>
      <c r="N100" s="45">
        <f>0</f>
        <v>0</v>
      </c>
      <c r="O100" s="45">
        <f>0</f>
        <v>0</v>
      </c>
      <c r="P100" s="45">
        <f>0</f>
        <v>0</v>
      </c>
      <c r="Q100" s="45">
        <f>0</f>
        <v>0</v>
      </c>
      <c r="R100" s="45">
        <f>0</f>
        <v>0</v>
      </c>
      <c r="S100" s="45">
        <f>0</f>
        <v>0</v>
      </c>
      <c r="T100" s="45">
        <f>0</f>
        <v>0</v>
      </c>
      <c r="U100" s="45">
        <f>0</f>
        <v>0</v>
      </c>
      <c r="V100" s="45">
        <f>0</f>
        <v>0</v>
      </c>
      <c r="W100" s="45">
        <f>0</f>
        <v>0</v>
      </c>
      <c r="X100" s="45">
        <f>0</f>
        <v>0</v>
      </c>
    </row>
    <row r="101" spans="1:24">
      <c r="A101" s="46"/>
      <c r="B101" s="46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</row>
    <row r="102" spans="1:24" ht="15">
      <c r="A102" s="47" t="s">
        <v>180</v>
      </c>
      <c r="B102" s="46"/>
      <c r="C102" s="46"/>
      <c r="D102" s="46"/>
      <c r="E102" s="1"/>
      <c r="F102" s="48"/>
      <c r="G102" s="48"/>
      <c r="H102" s="48"/>
      <c r="I102" s="48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</row>
    <row r="103" spans="1:24" ht="15">
      <c r="A103" s="49" t="s">
        <v>181</v>
      </c>
      <c r="B103" s="46"/>
      <c r="C103" s="46"/>
      <c r="D103" s="46"/>
      <c r="E103" s="1"/>
      <c r="F103" s="50"/>
      <c r="G103" s="50"/>
      <c r="H103" s="50"/>
      <c r="I103" s="50"/>
      <c r="J103" s="46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</row>
    <row r="104" spans="1:24">
      <c r="A104" s="51"/>
      <c r="B104" s="46"/>
      <c r="C104" s="46"/>
      <c r="D104" s="46"/>
      <c r="E104" s="1"/>
      <c r="F104" s="50"/>
      <c r="G104" s="50"/>
      <c r="H104" s="50"/>
      <c r="I104" s="50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</row>
    <row r="105" spans="1:24">
      <c r="A105" s="51"/>
      <c r="B105" s="46"/>
      <c r="C105" s="46"/>
      <c r="D105" s="46"/>
      <c r="E105" s="1"/>
      <c r="F105" s="50"/>
      <c r="G105" s="50"/>
      <c r="H105" s="50"/>
      <c r="I105" s="50"/>
      <c r="J105" s="46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</row>
    <row r="106" spans="1:24" ht="15">
      <c r="A106" s="52" t="s">
        <v>182</v>
      </c>
      <c r="B106" s="52"/>
      <c r="C106" s="52"/>
      <c r="D106" s="52"/>
      <c r="E106" s="52"/>
      <c r="F106" s="53"/>
      <c r="G106" s="53"/>
      <c r="H106" s="53"/>
      <c r="I106" s="50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</row>
    <row r="107" spans="1:24" outlineLevel="1">
      <c r="A107" s="54"/>
      <c r="B107" s="54"/>
      <c r="C107" s="54"/>
      <c r="D107" s="54"/>
      <c r="E107" s="55" t="s">
        <v>183</v>
      </c>
      <c r="F107" s="50"/>
      <c r="G107" s="50"/>
      <c r="H107" s="50"/>
      <c r="I107" s="50"/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</row>
    <row r="108" spans="1:24" outlineLevel="1">
      <c r="A108" s="54"/>
      <c r="B108" s="54"/>
      <c r="C108" s="54"/>
      <c r="D108" s="54"/>
      <c r="E108" s="56" t="s">
        <v>184</v>
      </c>
      <c r="F108" s="50"/>
      <c r="G108" s="50"/>
      <c r="H108" s="50"/>
      <c r="I108" s="50"/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</row>
    <row r="109" spans="1:24" outlineLevel="1">
      <c r="A109" s="54"/>
      <c r="B109" s="54"/>
      <c r="C109" s="54"/>
      <c r="D109" s="54"/>
      <c r="E109" s="57" t="s">
        <v>185</v>
      </c>
      <c r="F109" s="50"/>
      <c r="G109" s="50"/>
      <c r="H109" s="50"/>
      <c r="I109" s="50"/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</row>
    <row r="110" spans="1:24" outlineLevel="1">
      <c r="A110" s="58"/>
      <c r="B110" s="58"/>
      <c r="C110" s="58"/>
      <c r="D110" s="58"/>
      <c r="E110" s="59" t="s">
        <v>186</v>
      </c>
      <c r="F110" s="50"/>
      <c r="G110" s="50"/>
      <c r="H110" s="50"/>
      <c r="I110" s="50"/>
      <c r="J110" s="46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</row>
    <row r="111" spans="1:24" outlineLevel="2">
      <c r="A111" s="300" t="s">
        <v>187</v>
      </c>
      <c r="B111" s="301"/>
      <c r="C111" s="301"/>
      <c r="D111" s="302"/>
      <c r="E111" s="60" t="s">
        <v>188</v>
      </c>
      <c r="F111" s="61"/>
      <c r="G111" s="62"/>
      <c r="H111" s="62"/>
      <c r="I111" s="63"/>
      <c r="J111" s="64" t="str">
        <f t="shared" ref="J111:X111" si="10">IF(J7+J27+J29&gt;=J18-J21,"TAK","NIE")</f>
        <v>TAK</v>
      </c>
      <c r="K111" s="64"/>
      <c r="L111" s="64"/>
      <c r="M111" s="65" t="str">
        <f t="shared" si="10"/>
        <v>TAK</v>
      </c>
      <c r="N111" s="65" t="str">
        <f t="shared" si="10"/>
        <v>TAK</v>
      </c>
      <c r="O111" s="65" t="str">
        <f t="shared" si="10"/>
        <v>TAK</v>
      </c>
      <c r="P111" s="65" t="str">
        <f t="shared" si="10"/>
        <v>TAK</v>
      </c>
      <c r="Q111" s="65" t="str">
        <f t="shared" si="10"/>
        <v>TAK</v>
      </c>
      <c r="R111" s="65" t="str">
        <f t="shared" si="10"/>
        <v>TAK</v>
      </c>
      <c r="S111" s="65" t="str">
        <f t="shared" si="10"/>
        <v>TAK</v>
      </c>
      <c r="T111" s="65" t="str">
        <f t="shared" si="10"/>
        <v>TAK</v>
      </c>
      <c r="U111" s="65" t="str">
        <f t="shared" si="10"/>
        <v>TAK</v>
      </c>
      <c r="V111" s="65" t="str">
        <f t="shared" si="10"/>
        <v>TAK</v>
      </c>
      <c r="W111" s="65" t="str">
        <f t="shared" si="10"/>
        <v>TAK</v>
      </c>
      <c r="X111" s="65" t="str">
        <f t="shared" si="10"/>
        <v>TAK</v>
      </c>
    </row>
    <row r="112" spans="1:24" outlineLevel="2">
      <c r="A112" s="294"/>
      <c r="B112" s="295"/>
      <c r="C112" s="295"/>
      <c r="D112" s="296"/>
      <c r="E112" s="66" t="s">
        <v>189</v>
      </c>
      <c r="F112" s="67"/>
      <c r="G112" s="68"/>
      <c r="H112" s="68"/>
      <c r="I112" s="69"/>
      <c r="J112" s="70" t="str">
        <f>IF(J50&lt;=15%,"TAK","NIE")</f>
        <v>TAK</v>
      </c>
      <c r="K112" s="70"/>
      <c r="L112" s="70"/>
      <c r="M112" s="71" t="s">
        <v>37</v>
      </c>
      <c r="N112" s="71" t="s">
        <v>37</v>
      </c>
      <c r="O112" s="71" t="s">
        <v>37</v>
      </c>
      <c r="P112" s="71" t="s">
        <v>37</v>
      </c>
      <c r="Q112" s="71" t="s">
        <v>37</v>
      </c>
      <c r="R112" s="71" t="s">
        <v>37</v>
      </c>
      <c r="S112" s="71" t="s">
        <v>37</v>
      </c>
      <c r="T112" s="71" t="s">
        <v>37</v>
      </c>
      <c r="U112" s="71" t="s">
        <v>37</v>
      </c>
      <c r="V112" s="71" t="s">
        <v>37</v>
      </c>
      <c r="W112" s="71" t="s">
        <v>37</v>
      </c>
      <c r="X112" s="71" t="s">
        <v>37</v>
      </c>
    </row>
    <row r="113" spans="1:24" outlineLevel="2">
      <c r="A113" s="294"/>
      <c r="B113" s="295"/>
      <c r="C113" s="295"/>
      <c r="D113" s="296"/>
      <c r="E113" s="66" t="s">
        <v>190</v>
      </c>
      <c r="F113" s="67"/>
      <c r="G113" s="68"/>
      <c r="H113" s="68"/>
      <c r="I113" s="69"/>
      <c r="J113" s="70" t="str">
        <f>IF(J51&lt;=15%,"TAK","NIE")</f>
        <v>TAK</v>
      </c>
      <c r="K113" s="70"/>
      <c r="L113" s="70"/>
      <c r="M113" s="71" t="s">
        <v>37</v>
      </c>
      <c r="N113" s="71" t="s">
        <v>37</v>
      </c>
      <c r="O113" s="71" t="s">
        <v>37</v>
      </c>
      <c r="P113" s="71" t="s">
        <v>37</v>
      </c>
      <c r="Q113" s="71" t="s">
        <v>37</v>
      </c>
      <c r="R113" s="71" t="s">
        <v>37</v>
      </c>
      <c r="S113" s="71" t="s">
        <v>37</v>
      </c>
      <c r="T113" s="71" t="s">
        <v>37</v>
      </c>
      <c r="U113" s="71" t="s">
        <v>37</v>
      </c>
      <c r="V113" s="71" t="s">
        <v>37</v>
      </c>
      <c r="W113" s="71" t="s">
        <v>37</v>
      </c>
      <c r="X113" s="71" t="s">
        <v>37</v>
      </c>
    </row>
    <row r="114" spans="1:24" outlineLevel="2">
      <c r="A114" s="294"/>
      <c r="B114" s="295"/>
      <c r="C114" s="295"/>
      <c r="D114" s="296"/>
      <c r="E114" s="66" t="s">
        <v>191</v>
      </c>
      <c r="F114" s="67"/>
      <c r="G114" s="68"/>
      <c r="H114" s="68"/>
      <c r="I114" s="69"/>
      <c r="J114" s="70" t="str">
        <f>IF(J43&lt;=60%,"TAK","NIE")</f>
        <v>TAK</v>
      </c>
      <c r="K114" s="70"/>
      <c r="L114" s="70"/>
      <c r="M114" s="71" t="s">
        <v>37</v>
      </c>
      <c r="N114" s="71" t="s">
        <v>37</v>
      </c>
      <c r="O114" s="71" t="s">
        <v>37</v>
      </c>
      <c r="P114" s="71" t="s">
        <v>37</v>
      </c>
      <c r="Q114" s="71" t="s">
        <v>37</v>
      </c>
      <c r="R114" s="71" t="s">
        <v>37</v>
      </c>
      <c r="S114" s="71" t="s">
        <v>37</v>
      </c>
      <c r="T114" s="71" t="s">
        <v>37</v>
      </c>
      <c r="U114" s="71" t="s">
        <v>37</v>
      </c>
      <c r="V114" s="71" t="s">
        <v>37</v>
      </c>
      <c r="W114" s="71" t="s">
        <v>37</v>
      </c>
      <c r="X114" s="71" t="s">
        <v>37</v>
      </c>
    </row>
    <row r="115" spans="1:24" outlineLevel="2">
      <c r="A115" s="294"/>
      <c r="B115" s="295"/>
      <c r="C115" s="295"/>
      <c r="D115" s="296"/>
      <c r="E115" s="66" t="s">
        <v>192</v>
      </c>
      <c r="F115" s="67"/>
      <c r="G115" s="68"/>
      <c r="H115" s="68"/>
      <c r="I115" s="69"/>
      <c r="J115" s="70" t="str">
        <f>IF(J44&lt;=60%,"TAK","NIE")</f>
        <v>TAK</v>
      </c>
      <c r="K115" s="70"/>
      <c r="L115" s="70"/>
      <c r="M115" s="71" t="s">
        <v>37</v>
      </c>
      <c r="N115" s="71" t="s">
        <v>37</v>
      </c>
      <c r="O115" s="71" t="s">
        <v>37</v>
      </c>
      <c r="P115" s="71" t="s">
        <v>37</v>
      </c>
      <c r="Q115" s="71" t="s">
        <v>37</v>
      </c>
      <c r="R115" s="71" t="s">
        <v>37</v>
      </c>
      <c r="S115" s="71" t="s">
        <v>37</v>
      </c>
      <c r="T115" s="71" t="s">
        <v>37</v>
      </c>
      <c r="U115" s="71" t="s">
        <v>37</v>
      </c>
      <c r="V115" s="71" t="s">
        <v>37</v>
      </c>
      <c r="W115" s="71" t="s">
        <v>37</v>
      </c>
      <c r="X115" s="71" t="s">
        <v>37</v>
      </c>
    </row>
    <row r="116" spans="1:24" ht="24" outlineLevel="2">
      <c r="A116" s="294" t="s">
        <v>193</v>
      </c>
      <c r="B116" s="295"/>
      <c r="C116" s="295"/>
      <c r="D116" s="296"/>
      <c r="E116" s="66" t="s">
        <v>194</v>
      </c>
      <c r="F116" s="67"/>
      <c r="G116" s="68"/>
      <c r="H116" s="68"/>
      <c r="I116" s="69"/>
      <c r="J116" s="70" t="s">
        <v>37</v>
      </c>
      <c r="K116" s="70"/>
      <c r="L116" s="70"/>
      <c r="M116" s="71" t="s">
        <v>37</v>
      </c>
      <c r="N116" s="71" t="str">
        <f t="shared" ref="N116:X116" si="11">IF(N88=0,"TAK","BŁĄD")</f>
        <v>TAK</v>
      </c>
      <c r="O116" s="71" t="str">
        <f t="shared" si="11"/>
        <v>TAK</v>
      </c>
      <c r="P116" s="71" t="str">
        <f t="shared" si="11"/>
        <v>TAK</v>
      </c>
      <c r="Q116" s="71" t="str">
        <f t="shared" si="11"/>
        <v>TAK</v>
      </c>
      <c r="R116" s="71" t="str">
        <f t="shared" si="11"/>
        <v>TAK</v>
      </c>
      <c r="S116" s="71" t="str">
        <f t="shared" si="11"/>
        <v>TAK</v>
      </c>
      <c r="T116" s="71" t="str">
        <f t="shared" si="11"/>
        <v>TAK</v>
      </c>
      <c r="U116" s="71" t="str">
        <f t="shared" si="11"/>
        <v>TAK</v>
      </c>
      <c r="V116" s="71" t="str">
        <f t="shared" si="11"/>
        <v>TAK</v>
      </c>
      <c r="W116" s="71" t="str">
        <f t="shared" si="11"/>
        <v>TAK</v>
      </c>
      <c r="X116" s="71" t="str">
        <f t="shared" si="11"/>
        <v>TAK</v>
      </c>
    </row>
    <row r="117" spans="1:24" outlineLevel="1">
      <c r="A117" s="294" t="s">
        <v>195</v>
      </c>
      <c r="B117" s="295"/>
      <c r="C117" s="295"/>
      <c r="D117" s="296"/>
      <c r="E117" s="72" t="s">
        <v>196</v>
      </c>
      <c r="F117" s="67"/>
      <c r="G117" s="68"/>
      <c r="H117" s="68"/>
      <c r="I117" s="69"/>
      <c r="J117" s="73" t="str">
        <f t="shared" ref="J117:X117" si="12">IF(J6+J26-J17-J35=0,"OK",J6+J26-J17-J35)</f>
        <v>OK</v>
      </c>
      <c r="K117" s="73"/>
      <c r="L117" s="73"/>
      <c r="M117" s="74" t="str">
        <f t="shared" si="12"/>
        <v>OK</v>
      </c>
      <c r="N117" s="74" t="str">
        <f t="shared" si="12"/>
        <v>OK</v>
      </c>
      <c r="O117" s="74" t="str">
        <f t="shared" si="12"/>
        <v>OK</v>
      </c>
      <c r="P117" s="74" t="str">
        <f t="shared" si="12"/>
        <v>OK</v>
      </c>
      <c r="Q117" s="74" t="str">
        <f t="shared" si="12"/>
        <v>OK</v>
      </c>
      <c r="R117" s="74" t="str">
        <f t="shared" si="12"/>
        <v>OK</v>
      </c>
      <c r="S117" s="74" t="str">
        <f t="shared" si="12"/>
        <v>OK</v>
      </c>
      <c r="T117" s="74" t="str">
        <f t="shared" si="12"/>
        <v>OK</v>
      </c>
      <c r="U117" s="74" t="str">
        <f t="shared" si="12"/>
        <v>OK</v>
      </c>
      <c r="V117" s="74" t="str">
        <f t="shared" si="12"/>
        <v>OK</v>
      </c>
      <c r="W117" s="74" t="str">
        <f t="shared" si="12"/>
        <v>OK</v>
      </c>
      <c r="X117" s="74">
        <f t="shared" si="12"/>
        <v>2.9103830456733704E-10</v>
      </c>
    </row>
    <row r="118" spans="1:24" outlineLevel="2">
      <c r="A118" s="294" t="s">
        <v>197</v>
      </c>
      <c r="B118" s="295"/>
      <c r="C118" s="295"/>
      <c r="D118" s="296"/>
      <c r="E118" s="72" t="s">
        <v>198</v>
      </c>
      <c r="F118" s="67"/>
      <c r="G118" s="68"/>
      <c r="H118" s="68"/>
      <c r="I118" s="69"/>
      <c r="J118" s="73" t="str">
        <f t="shared" ref="J118:X118" si="13">+IF(I40+J31-J36+(J45-I45)+(J95-I95)+J100-J40=0,"OK",I40+J31-J36+(J45-I45)+(J95-I95)+J100-J40)</f>
        <v>OK</v>
      </c>
      <c r="K118" s="73"/>
      <c r="L118" s="73"/>
      <c r="M118" s="74" t="str">
        <f>+IF(J40+M31-M36+(M45-J45)+(M95-J95)+M100-M40=0,"OK",J40+M31-M36+(M45-J45)+(M95-J95)+M100-M40)</f>
        <v>OK</v>
      </c>
      <c r="N118" s="74" t="str">
        <f t="shared" si="13"/>
        <v>OK</v>
      </c>
      <c r="O118" s="74" t="str">
        <f t="shared" si="13"/>
        <v>OK</v>
      </c>
      <c r="P118" s="74" t="str">
        <f t="shared" si="13"/>
        <v>OK</v>
      </c>
      <c r="Q118" s="74" t="str">
        <f t="shared" si="13"/>
        <v>OK</v>
      </c>
      <c r="R118" s="74" t="str">
        <f t="shared" si="13"/>
        <v>OK</v>
      </c>
      <c r="S118" s="74">
        <f t="shared" si="13"/>
        <v>4.6566128730773926E-10</v>
      </c>
      <c r="T118" s="74" t="str">
        <f t="shared" si="13"/>
        <v>OK</v>
      </c>
      <c r="U118" s="74">
        <f t="shared" si="13"/>
        <v>-2.3283064365386963E-10</v>
      </c>
      <c r="V118" s="74">
        <f t="shared" si="13"/>
        <v>1.1641532182693481E-10</v>
      </c>
      <c r="W118" s="74">
        <f t="shared" si="13"/>
        <v>-5.8207660913467407E-11</v>
      </c>
      <c r="X118" s="74" t="str">
        <f t="shared" si="13"/>
        <v>OK</v>
      </c>
    </row>
    <row r="119" spans="1:24" ht="24" outlineLevel="2">
      <c r="A119" s="294" t="s">
        <v>199</v>
      </c>
      <c r="B119" s="295"/>
      <c r="C119" s="295"/>
      <c r="D119" s="296"/>
      <c r="E119" s="72" t="s">
        <v>200</v>
      </c>
      <c r="F119" s="75"/>
      <c r="G119" s="68"/>
      <c r="H119" s="68"/>
      <c r="I119" s="69"/>
      <c r="J119" s="73">
        <f>+IF(I95-J96-J95=0,"OK",I95-J96-J95)</f>
        <v>-151617.24</v>
      </c>
      <c r="K119" s="73"/>
      <c r="L119" s="73"/>
      <c r="M119" s="74" t="str">
        <f>+IF(J95-M96-M95=0,"OK",J95-M96-M95)</f>
        <v>OK</v>
      </c>
      <c r="N119" s="74" t="str">
        <f t="shared" ref="N119:X119" si="14">+IF(M95-N96-N95=0,"OK",M95-N96-N95)</f>
        <v>OK</v>
      </c>
      <c r="O119" s="74" t="str">
        <f t="shared" si="14"/>
        <v>OK</v>
      </c>
      <c r="P119" s="74" t="str">
        <f t="shared" si="14"/>
        <v>OK</v>
      </c>
      <c r="Q119" s="74" t="str">
        <f t="shared" si="14"/>
        <v>OK</v>
      </c>
      <c r="R119" s="74" t="str">
        <f t="shared" si="14"/>
        <v>OK</v>
      </c>
      <c r="S119" s="74" t="str">
        <f t="shared" si="14"/>
        <v>OK</v>
      </c>
      <c r="T119" s="74" t="str">
        <f t="shared" si="14"/>
        <v>OK</v>
      </c>
      <c r="U119" s="74" t="str">
        <f t="shared" si="14"/>
        <v>OK</v>
      </c>
      <c r="V119" s="74" t="str">
        <f t="shared" si="14"/>
        <v>OK</v>
      </c>
      <c r="W119" s="74" t="str">
        <f t="shared" si="14"/>
        <v>OK</v>
      </c>
      <c r="X119" s="74" t="str">
        <f t="shared" si="14"/>
        <v>OK</v>
      </c>
    </row>
    <row r="120" spans="1:24" ht="24" outlineLevel="2">
      <c r="A120" s="294" t="s">
        <v>201</v>
      </c>
      <c r="B120" s="295"/>
      <c r="C120" s="295"/>
      <c r="D120" s="296"/>
      <c r="E120" s="72" t="s">
        <v>202</v>
      </c>
      <c r="F120" s="67"/>
      <c r="G120" s="68"/>
      <c r="H120" s="68"/>
      <c r="I120" s="69"/>
      <c r="J120" s="73" t="str">
        <f t="shared" ref="J120:X120" si="15">IF(I86-(I88+I89+I90+I91)-J86=0,"OK",I86-(I88+I89+I90+I91)-J86)</f>
        <v>OK</v>
      </c>
      <c r="K120" s="73"/>
      <c r="L120" s="73"/>
      <c r="M120" s="74" t="str">
        <f>IF(J86-(J88+J89+J90+J91)-M86=0,"OK",J86-(J88+J89+J90+J91)-M86)</f>
        <v>OK</v>
      </c>
      <c r="N120" s="74" t="str">
        <f t="shared" si="15"/>
        <v>OK</v>
      </c>
      <c r="O120" s="74" t="str">
        <f t="shared" si="15"/>
        <v>OK</v>
      </c>
      <c r="P120" s="74" t="str">
        <f t="shared" si="15"/>
        <v>OK</v>
      </c>
      <c r="Q120" s="74" t="str">
        <f t="shared" si="15"/>
        <v>OK</v>
      </c>
      <c r="R120" s="74" t="str">
        <f t="shared" si="15"/>
        <v>OK</v>
      </c>
      <c r="S120" s="74" t="str">
        <f t="shared" si="15"/>
        <v>OK</v>
      </c>
      <c r="T120" s="74" t="str">
        <f t="shared" si="15"/>
        <v>OK</v>
      </c>
      <c r="U120" s="74" t="str">
        <f t="shared" si="15"/>
        <v>OK</v>
      </c>
      <c r="V120" s="74" t="str">
        <f t="shared" si="15"/>
        <v>OK</v>
      </c>
      <c r="W120" s="74" t="str">
        <f t="shared" si="15"/>
        <v>OK</v>
      </c>
      <c r="X120" s="74" t="str">
        <f t="shared" si="15"/>
        <v>OK</v>
      </c>
    </row>
    <row r="121" spans="1:24" outlineLevel="1">
      <c r="A121" s="294" t="s">
        <v>203</v>
      </c>
      <c r="B121" s="295"/>
      <c r="C121" s="295"/>
      <c r="D121" s="296"/>
      <c r="E121" s="76" t="s">
        <v>204</v>
      </c>
      <c r="F121" s="67"/>
      <c r="G121" s="68"/>
      <c r="H121" s="68"/>
      <c r="I121" s="69"/>
      <c r="J121" s="77" t="str">
        <f>IF(J25&lt;0,IF(J28+J30+J32+J34+J25=0,"OK",J28+J30+J32+J34+J25),"N/D")</f>
        <v>OK</v>
      </c>
      <c r="K121" s="77"/>
      <c r="L121" s="77"/>
      <c r="M121" s="78" t="str">
        <f t="shared" ref="M121:X121" si="16">IF(M25&lt;0,IF(M28+M30+M32+M34+M25=0,"OK",M28+M30+M32+M34+M25),"N/D")</f>
        <v>N/D</v>
      </c>
      <c r="N121" s="78" t="str">
        <f t="shared" si="16"/>
        <v>N/D</v>
      </c>
      <c r="O121" s="78" t="str">
        <f t="shared" si="16"/>
        <v>N/D</v>
      </c>
      <c r="P121" s="78" t="str">
        <f t="shared" si="16"/>
        <v>N/D</v>
      </c>
      <c r="Q121" s="78" t="str">
        <f t="shared" si="16"/>
        <v>N/D</v>
      </c>
      <c r="R121" s="78" t="str">
        <f t="shared" si="16"/>
        <v>N/D</v>
      </c>
      <c r="S121" s="78" t="str">
        <f t="shared" si="16"/>
        <v>N/D</v>
      </c>
      <c r="T121" s="78" t="str">
        <f t="shared" si="16"/>
        <v>N/D</v>
      </c>
      <c r="U121" s="78" t="str">
        <f t="shared" si="16"/>
        <v>N/D</v>
      </c>
      <c r="V121" s="78" t="str">
        <f t="shared" si="16"/>
        <v>N/D</v>
      </c>
      <c r="W121" s="78" t="str">
        <f t="shared" si="16"/>
        <v>N/D</v>
      </c>
      <c r="X121" s="78" t="str">
        <f t="shared" si="16"/>
        <v>N/D</v>
      </c>
    </row>
    <row r="122" spans="1:24" outlineLevel="2">
      <c r="A122" s="294" t="s">
        <v>205</v>
      </c>
      <c r="B122" s="295"/>
      <c r="C122" s="295"/>
      <c r="D122" s="296"/>
      <c r="E122" s="76" t="s">
        <v>206</v>
      </c>
      <c r="F122" s="67"/>
      <c r="G122" s="68"/>
      <c r="H122" s="68"/>
      <c r="I122" s="69"/>
      <c r="J122" s="77" t="str">
        <f t="shared" ref="J122:X122" si="17">IF(J25&gt;=0,IF(J28+J30+J32+J34=0,"OK",J28+J30+J32+J34),"N/D")</f>
        <v>N/D</v>
      </c>
      <c r="K122" s="77"/>
      <c r="L122" s="77"/>
      <c r="M122" s="78" t="str">
        <f t="shared" si="17"/>
        <v>OK</v>
      </c>
      <c r="N122" s="78" t="str">
        <f t="shared" si="17"/>
        <v>OK</v>
      </c>
      <c r="O122" s="78" t="str">
        <f t="shared" si="17"/>
        <v>OK</v>
      </c>
      <c r="P122" s="78" t="str">
        <f t="shared" si="17"/>
        <v>OK</v>
      </c>
      <c r="Q122" s="78" t="str">
        <f t="shared" si="17"/>
        <v>OK</v>
      </c>
      <c r="R122" s="78" t="str">
        <f t="shared" si="17"/>
        <v>OK</v>
      </c>
      <c r="S122" s="78" t="str">
        <f t="shared" si="17"/>
        <v>OK</v>
      </c>
      <c r="T122" s="78" t="str">
        <f t="shared" si="17"/>
        <v>OK</v>
      </c>
      <c r="U122" s="78" t="str">
        <f t="shared" si="17"/>
        <v>OK</v>
      </c>
      <c r="V122" s="78" t="str">
        <f t="shared" si="17"/>
        <v>OK</v>
      </c>
      <c r="W122" s="78" t="str">
        <f t="shared" si="17"/>
        <v>OK</v>
      </c>
      <c r="X122" s="78" t="str">
        <f t="shared" si="17"/>
        <v>OK</v>
      </c>
    </row>
    <row r="123" spans="1:24" outlineLevel="2">
      <c r="A123" s="294" t="s">
        <v>207</v>
      </c>
      <c r="B123" s="295"/>
      <c r="C123" s="295"/>
      <c r="D123" s="296"/>
      <c r="E123" s="76" t="s">
        <v>208</v>
      </c>
      <c r="F123" s="67"/>
      <c r="G123" s="68"/>
      <c r="H123" s="68"/>
      <c r="I123" s="69"/>
      <c r="J123" s="70" t="str">
        <f t="shared" ref="J123:X123" si="18">IF(J10&gt;=J11,"OK","BŁĄD")</f>
        <v>OK</v>
      </c>
      <c r="K123" s="70"/>
      <c r="L123" s="70"/>
      <c r="M123" s="71" t="str">
        <f t="shared" si="18"/>
        <v>OK</v>
      </c>
      <c r="N123" s="71" t="str">
        <f t="shared" si="18"/>
        <v>OK</v>
      </c>
      <c r="O123" s="71" t="str">
        <f t="shared" si="18"/>
        <v>OK</v>
      </c>
      <c r="P123" s="71" t="str">
        <f t="shared" si="18"/>
        <v>OK</v>
      </c>
      <c r="Q123" s="71" t="str">
        <f t="shared" si="18"/>
        <v>OK</v>
      </c>
      <c r="R123" s="71" t="str">
        <f t="shared" si="18"/>
        <v>OK</v>
      </c>
      <c r="S123" s="71" t="str">
        <f t="shared" si="18"/>
        <v>OK</v>
      </c>
      <c r="T123" s="71" t="str">
        <f t="shared" si="18"/>
        <v>OK</v>
      </c>
      <c r="U123" s="71" t="str">
        <f t="shared" si="18"/>
        <v>OK</v>
      </c>
      <c r="V123" s="71" t="str">
        <f t="shared" si="18"/>
        <v>OK</v>
      </c>
      <c r="W123" s="71" t="str">
        <f t="shared" si="18"/>
        <v>OK</v>
      </c>
      <c r="X123" s="71" t="str">
        <f t="shared" si="18"/>
        <v>OK</v>
      </c>
    </row>
    <row r="124" spans="1:24" outlineLevel="2">
      <c r="A124" s="294" t="s">
        <v>209</v>
      </c>
      <c r="B124" s="295"/>
      <c r="C124" s="295"/>
      <c r="D124" s="296"/>
      <c r="E124" s="76" t="s">
        <v>210</v>
      </c>
      <c r="F124" s="67"/>
      <c r="G124" s="68"/>
      <c r="H124" s="68"/>
      <c r="I124" s="69"/>
      <c r="J124" s="70" t="str">
        <f t="shared" ref="J124:X124" si="19">IF(J13&gt;=J87,"OK","BŁĄD")</f>
        <v>OK</v>
      </c>
      <c r="K124" s="70"/>
      <c r="L124" s="70"/>
      <c r="M124" s="71" t="str">
        <f t="shared" si="19"/>
        <v>OK</v>
      </c>
      <c r="N124" s="71" t="str">
        <f t="shared" si="19"/>
        <v>OK</v>
      </c>
      <c r="O124" s="71" t="str">
        <f t="shared" si="19"/>
        <v>OK</v>
      </c>
      <c r="P124" s="71" t="str">
        <f t="shared" si="19"/>
        <v>OK</v>
      </c>
      <c r="Q124" s="71" t="str">
        <f t="shared" si="19"/>
        <v>OK</v>
      </c>
      <c r="R124" s="71" t="str">
        <f t="shared" si="19"/>
        <v>OK</v>
      </c>
      <c r="S124" s="71" t="str">
        <f t="shared" si="19"/>
        <v>OK</v>
      </c>
      <c r="T124" s="71" t="str">
        <f t="shared" si="19"/>
        <v>OK</v>
      </c>
      <c r="U124" s="71" t="str">
        <f t="shared" si="19"/>
        <v>OK</v>
      </c>
      <c r="V124" s="71" t="str">
        <f t="shared" si="19"/>
        <v>OK</v>
      </c>
      <c r="W124" s="71" t="str">
        <f t="shared" si="19"/>
        <v>OK</v>
      </c>
      <c r="X124" s="71" t="str">
        <f t="shared" si="19"/>
        <v>OK</v>
      </c>
    </row>
    <row r="125" spans="1:24" outlineLevel="2">
      <c r="A125" s="294" t="s">
        <v>211</v>
      </c>
      <c r="B125" s="295"/>
      <c r="C125" s="295"/>
      <c r="D125" s="296"/>
      <c r="E125" s="76" t="s">
        <v>212</v>
      </c>
      <c r="F125" s="67"/>
      <c r="G125" s="68"/>
      <c r="H125" s="68"/>
      <c r="I125" s="69"/>
      <c r="J125" s="70" t="str">
        <f t="shared" ref="J125:X125" si="20">IF(J7&gt;=J8+J9+J10+J12+J13,"OK","BŁĄD")</f>
        <v>OK</v>
      </c>
      <c r="K125" s="70"/>
      <c r="L125" s="70"/>
      <c r="M125" s="71" t="str">
        <f t="shared" si="20"/>
        <v>OK</v>
      </c>
      <c r="N125" s="71" t="str">
        <f t="shared" si="20"/>
        <v>OK</v>
      </c>
      <c r="O125" s="71" t="str">
        <f t="shared" si="20"/>
        <v>OK</v>
      </c>
      <c r="P125" s="71" t="str">
        <f t="shared" si="20"/>
        <v>OK</v>
      </c>
      <c r="Q125" s="71" t="str">
        <f t="shared" si="20"/>
        <v>OK</v>
      </c>
      <c r="R125" s="71" t="str">
        <f t="shared" si="20"/>
        <v>OK</v>
      </c>
      <c r="S125" s="71" t="str">
        <f t="shared" si="20"/>
        <v>OK</v>
      </c>
      <c r="T125" s="71" t="str">
        <f t="shared" si="20"/>
        <v>OK</v>
      </c>
      <c r="U125" s="71" t="str">
        <f t="shared" si="20"/>
        <v>OK</v>
      </c>
      <c r="V125" s="71" t="str">
        <f t="shared" si="20"/>
        <v>OK</v>
      </c>
      <c r="W125" s="71" t="str">
        <f t="shared" si="20"/>
        <v>OK</v>
      </c>
      <c r="X125" s="71" t="str">
        <f t="shared" si="20"/>
        <v>OK</v>
      </c>
    </row>
    <row r="126" spans="1:24" outlineLevel="2">
      <c r="A126" s="294" t="s">
        <v>213</v>
      </c>
      <c r="B126" s="295"/>
      <c r="C126" s="295"/>
      <c r="D126" s="296"/>
      <c r="E126" s="76" t="s">
        <v>214</v>
      </c>
      <c r="F126" s="67"/>
      <c r="G126" s="68"/>
      <c r="H126" s="68"/>
      <c r="I126" s="69"/>
      <c r="J126" s="70" t="str">
        <f t="shared" ref="J126:X126" si="21">IF(J7&gt;=J73,"OK","BŁĄD")</f>
        <v>OK</v>
      </c>
      <c r="K126" s="70"/>
      <c r="L126" s="70"/>
      <c r="M126" s="71" t="str">
        <f t="shared" si="21"/>
        <v>OK</v>
      </c>
      <c r="N126" s="71" t="str">
        <f t="shared" si="21"/>
        <v>OK</v>
      </c>
      <c r="O126" s="71" t="str">
        <f t="shared" si="21"/>
        <v>OK</v>
      </c>
      <c r="P126" s="71" t="str">
        <f t="shared" si="21"/>
        <v>OK</v>
      </c>
      <c r="Q126" s="71" t="str">
        <f t="shared" si="21"/>
        <v>OK</v>
      </c>
      <c r="R126" s="71" t="str">
        <f t="shared" si="21"/>
        <v>OK</v>
      </c>
      <c r="S126" s="71" t="str">
        <f t="shared" si="21"/>
        <v>OK</v>
      </c>
      <c r="T126" s="71" t="str">
        <f t="shared" si="21"/>
        <v>OK</v>
      </c>
      <c r="U126" s="71" t="str">
        <f t="shared" si="21"/>
        <v>OK</v>
      </c>
      <c r="V126" s="71" t="str">
        <f t="shared" si="21"/>
        <v>OK</v>
      </c>
      <c r="W126" s="71" t="str">
        <f t="shared" si="21"/>
        <v>OK</v>
      </c>
      <c r="X126" s="71" t="str">
        <f t="shared" si="21"/>
        <v>OK</v>
      </c>
    </row>
    <row r="127" spans="1:24" outlineLevel="2">
      <c r="A127" s="294" t="s">
        <v>215</v>
      </c>
      <c r="B127" s="295"/>
      <c r="C127" s="295"/>
      <c r="D127" s="296"/>
      <c r="E127" s="76" t="s">
        <v>216</v>
      </c>
      <c r="F127" s="67"/>
      <c r="G127" s="68"/>
      <c r="H127" s="68"/>
      <c r="I127" s="69"/>
      <c r="J127" s="70" t="str">
        <f t="shared" ref="J127:X127" si="22">IF(J14&gt;=J15,"OK","BŁĄD")</f>
        <v>OK</v>
      </c>
      <c r="K127" s="70"/>
      <c r="L127" s="70"/>
      <c r="M127" s="71" t="str">
        <f t="shared" si="22"/>
        <v>OK</v>
      </c>
      <c r="N127" s="71" t="str">
        <f t="shared" si="22"/>
        <v>OK</v>
      </c>
      <c r="O127" s="71" t="str">
        <f t="shared" si="22"/>
        <v>OK</v>
      </c>
      <c r="P127" s="71" t="str">
        <f t="shared" si="22"/>
        <v>OK</v>
      </c>
      <c r="Q127" s="71" t="str">
        <f t="shared" si="22"/>
        <v>OK</v>
      </c>
      <c r="R127" s="71" t="str">
        <f t="shared" si="22"/>
        <v>OK</v>
      </c>
      <c r="S127" s="71" t="str">
        <f t="shared" si="22"/>
        <v>OK</v>
      </c>
      <c r="T127" s="71" t="str">
        <f t="shared" si="22"/>
        <v>OK</v>
      </c>
      <c r="U127" s="71" t="str">
        <f t="shared" si="22"/>
        <v>OK</v>
      </c>
      <c r="V127" s="71" t="str">
        <f t="shared" si="22"/>
        <v>OK</v>
      </c>
      <c r="W127" s="71" t="str">
        <f t="shared" si="22"/>
        <v>OK</v>
      </c>
      <c r="X127" s="71" t="str">
        <f t="shared" si="22"/>
        <v>OK</v>
      </c>
    </row>
    <row r="128" spans="1:24" outlineLevel="2">
      <c r="A128" s="294" t="s">
        <v>217</v>
      </c>
      <c r="B128" s="295"/>
      <c r="C128" s="295"/>
      <c r="D128" s="296"/>
      <c r="E128" s="76" t="s">
        <v>218</v>
      </c>
      <c r="F128" s="67"/>
      <c r="G128" s="68"/>
      <c r="H128" s="68"/>
      <c r="I128" s="69"/>
      <c r="J128" s="70" t="str">
        <f t="shared" ref="J128:X128" si="23">IF(J14&gt;=J16,"OK","BŁĄD")</f>
        <v>OK</v>
      </c>
      <c r="K128" s="70"/>
      <c r="L128" s="70"/>
      <c r="M128" s="71" t="str">
        <f t="shared" si="23"/>
        <v>OK</v>
      </c>
      <c r="N128" s="71" t="str">
        <f t="shared" si="23"/>
        <v>OK</v>
      </c>
      <c r="O128" s="71" t="str">
        <f t="shared" si="23"/>
        <v>OK</v>
      </c>
      <c r="P128" s="71" t="str">
        <f t="shared" si="23"/>
        <v>OK</v>
      </c>
      <c r="Q128" s="71" t="str">
        <f t="shared" si="23"/>
        <v>OK</v>
      </c>
      <c r="R128" s="71" t="str">
        <f t="shared" si="23"/>
        <v>OK</v>
      </c>
      <c r="S128" s="71" t="str">
        <f t="shared" si="23"/>
        <v>OK</v>
      </c>
      <c r="T128" s="71" t="str">
        <f t="shared" si="23"/>
        <v>OK</v>
      </c>
      <c r="U128" s="71" t="str">
        <f t="shared" si="23"/>
        <v>OK</v>
      </c>
      <c r="V128" s="71" t="str">
        <f t="shared" si="23"/>
        <v>OK</v>
      </c>
      <c r="W128" s="71" t="str">
        <f t="shared" si="23"/>
        <v>OK</v>
      </c>
      <c r="X128" s="71" t="str">
        <f t="shared" si="23"/>
        <v>OK</v>
      </c>
    </row>
    <row r="129" spans="1:24" outlineLevel="2">
      <c r="A129" s="294" t="s">
        <v>219</v>
      </c>
      <c r="B129" s="295"/>
      <c r="C129" s="295"/>
      <c r="D129" s="296"/>
      <c r="E129" s="76" t="s">
        <v>220</v>
      </c>
      <c r="F129" s="67"/>
      <c r="G129" s="68"/>
      <c r="H129" s="68"/>
      <c r="I129" s="69"/>
      <c r="J129" s="70" t="str">
        <f t="shared" ref="J129:X129" si="24">IF(J14&gt;=J76,"OK","BŁĄD")</f>
        <v>OK</v>
      </c>
      <c r="K129" s="70"/>
      <c r="L129" s="70"/>
      <c r="M129" s="71" t="str">
        <f t="shared" si="24"/>
        <v>OK</v>
      </c>
      <c r="N129" s="71" t="str">
        <f t="shared" si="24"/>
        <v>OK</v>
      </c>
      <c r="O129" s="71" t="str">
        <f t="shared" si="24"/>
        <v>OK</v>
      </c>
      <c r="P129" s="71" t="str">
        <f t="shared" si="24"/>
        <v>OK</v>
      </c>
      <c r="Q129" s="71" t="str">
        <f t="shared" si="24"/>
        <v>OK</v>
      </c>
      <c r="R129" s="71" t="str">
        <f t="shared" si="24"/>
        <v>OK</v>
      </c>
      <c r="S129" s="71" t="str">
        <f t="shared" si="24"/>
        <v>OK</v>
      </c>
      <c r="T129" s="71" t="str">
        <f t="shared" si="24"/>
        <v>OK</v>
      </c>
      <c r="U129" s="71" t="str">
        <f t="shared" si="24"/>
        <v>OK</v>
      </c>
      <c r="V129" s="71" t="str">
        <f t="shared" si="24"/>
        <v>OK</v>
      </c>
      <c r="W129" s="71" t="str">
        <f t="shared" si="24"/>
        <v>OK</v>
      </c>
      <c r="X129" s="71" t="str">
        <f t="shared" si="24"/>
        <v>OK</v>
      </c>
    </row>
    <row r="130" spans="1:24" outlineLevel="2">
      <c r="A130" s="294" t="s">
        <v>221</v>
      </c>
      <c r="B130" s="295"/>
      <c r="C130" s="295"/>
      <c r="D130" s="296"/>
      <c r="E130" s="76" t="s">
        <v>222</v>
      </c>
      <c r="F130" s="67"/>
      <c r="G130" s="68"/>
      <c r="H130" s="68"/>
      <c r="I130" s="69"/>
      <c r="J130" s="70" t="str">
        <f t="shared" ref="J130:X130" si="25">IF(J61&gt;=J62,"OK","BŁĄD")</f>
        <v>OK</v>
      </c>
      <c r="K130" s="70"/>
      <c r="L130" s="70"/>
      <c r="M130" s="71" t="str">
        <f t="shared" si="25"/>
        <v>OK</v>
      </c>
      <c r="N130" s="71" t="str">
        <f t="shared" si="25"/>
        <v>OK</v>
      </c>
      <c r="O130" s="71" t="str">
        <f t="shared" si="25"/>
        <v>OK</v>
      </c>
      <c r="P130" s="71" t="str">
        <f t="shared" si="25"/>
        <v>OK</v>
      </c>
      <c r="Q130" s="71" t="str">
        <f t="shared" si="25"/>
        <v>OK</v>
      </c>
      <c r="R130" s="71" t="str">
        <f t="shared" si="25"/>
        <v>OK</v>
      </c>
      <c r="S130" s="71" t="str">
        <f t="shared" si="25"/>
        <v>OK</v>
      </c>
      <c r="T130" s="71" t="str">
        <f t="shared" si="25"/>
        <v>OK</v>
      </c>
      <c r="U130" s="71" t="str">
        <f t="shared" si="25"/>
        <v>OK</v>
      </c>
      <c r="V130" s="71" t="str">
        <f t="shared" si="25"/>
        <v>OK</v>
      </c>
      <c r="W130" s="71" t="str">
        <f t="shared" si="25"/>
        <v>OK</v>
      </c>
      <c r="X130" s="71" t="str">
        <f t="shared" si="25"/>
        <v>OK</v>
      </c>
    </row>
    <row r="131" spans="1:24" outlineLevel="2">
      <c r="A131" s="294" t="s">
        <v>223</v>
      </c>
      <c r="B131" s="295"/>
      <c r="C131" s="295"/>
      <c r="D131" s="296"/>
      <c r="E131" s="76" t="s">
        <v>224</v>
      </c>
      <c r="F131" s="67"/>
      <c r="G131" s="68"/>
      <c r="H131" s="68"/>
      <c r="I131" s="69"/>
      <c r="J131" s="70" t="str">
        <f t="shared" ref="J131:X132" si="26">IF(J73&gt;=J74,"OK","BŁĄD")</f>
        <v>OK</v>
      </c>
      <c r="K131" s="70"/>
      <c r="L131" s="70"/>
      <c r="M131" s="71" t="str">
        <f t="shared" si="26"/>
        <v>OK</v>
      </c>
      <c r="N131" s="71" t="str">
        <f t="shared" si="26"/>
        <v>OK</v>
      </c>
      <c r="O131" s="71" t="str">
        <f t="shared" si="26"/>
        <v>OK</v>
      </c>
      <c r="P131" s="71" t="str">
        <f t="shared" si="26"/>
        <v>OK</v>
      </c>
      <c r="Q131" s="71" t="str">
        <f t="shared" si="26"/>
        <v>OK</v>
      </c>
      <c r="R131" s="71" t="str">
        <f t="shared" si="26"/>
        <v>OK</v>
      </c>
      <c r="S131" s="71" t="str">
        <f t="shared" si="26"/>
        <v>OK</v>
      </c>
      <c r="T131" s="71" t="str">
        <f t="shared" si="26"/>
        <v>OK</v>
      </c>
      <c r="U131" s="71" t="str">
        <f t="shared" si="26"/>
        <v>OK</v>
      </c>
      <c r="V131" s="71" t="str">
        <f t="shared" si="26"/>
        <v>OK</v>
      </c>
      <c r="W131" s="71" t="str">
        <f t="shared" si="26"/>
        <v>OK</v>
      </c>
      <c r="X131" s="71" t="str">
        <f t="shared" si="26"/>
        <v>OK</v>
      </c>
    </row>
    <row r="132" spans="1:24" outlineLevel="2">
      <c r="A132" s="294" t="s">
        <v>225</v>
      </c>
      <c r="B132" s="295"/>
      <c r="C132" s="295"/>
      <c r="D132" s="296"/>
      <c r="E132" s="76" t="s">
        <v>226</v>
      </c>
      <c r="F132" s="67"/>
      <c r="G132" s="68"/>
      <c r="H132" s="68"/>
      <c r="I132" s="69"/>
      <c r="J132" s="70" t="str">
        <f t="shared" si="26"/>
        <v>OK</v>
      </c>
      <c r="K132" s="70"/>
      <c r="L132" s="70"/>
      <c r="M132" s="71" t="str">
        <f t="shared" si="26"/>
        <v>OK</v>
      </c>
      <c r="N132" s="71" t="str">
        <f t="shared" si="26"/>
        <v>OK</v>
      </c>
      <c r="O132" s="71" t="str">
        <f t="shared" si="26"/>
        <v>OK</v>
      </c>
      <c r="P132" s="71" t="str">
        <f t="shared" si="26"/>
        <v>OK</v>
      </c>
      <c r="Q132" s="71" t="str">
        <f t="shared" si="26"/>
        <v>OK</v>
      </c>
      <c r="R132" s="71" t="str">
        <f t="shared" si="26"/>
        <v>OK</v>
      </c>
      <c r="S132" s="71" t="str">
        <f t="shared" si="26"/>
        <v>OK</v>
      </c>
      <c r="T132" s="71" t="str">
        <f t="shared" si="26"/>
        <v>OK</v>
      </c>
      <c r="U132" s="71" t="str">
        <f t="shared" si="26"/>
        <v>OK</v>
      </c>
      <c r="V132" s="71" t="str">
        <f t="shared" si="26"/>
        <v>OK</v>
      </c>
      <c r="W132" s="71" t="str">
        <f t="shared" si="26"/>
        <v>OK</v>
      </c>
      <c r="X132" s="71" t="str">
        <f t="shared" si="26"/>
        <v>OK</v>
      </c>
    </row>
    <row r="133" spans="1:24" outlineLevel="2">
      <c r="A133" s="294" t="s">
        <v>227</v>
      </c>
      <c r="B133" s="295"/>
      <c r="C133" s="295"/>
      <c r="D133" s="296"/>
      <c r="E133" s="76" t="s">
        <v>228</v>
      </c>
      <c r="F133" s="67"/>
      <c r="G133" s="68"/>
      <c r="H133" s="68"/>
      <c r="I133" s="69"/>
      <c r="J133" s="70" t="str">
        <f t="shared" ref="J133:X134" si="27">IF(J76&gt;=J77,"OK","BŁĄD")</f>
        <v>OK</v>
      </c>
      <c r="K133" s="70"/>
      <c r="L133" s="70"/>
      <c r="M133" s="71" t="str">
        <f t="shared" si="27"/>
        <v>OK</v>
      </c>
      <c r="N133" s="71" t="str">
        <f t="shared" si="27"/>
        <v>OK</v>
      </c>
      <c r="O133" s="71" t="str">
        <f t="shared" si="27"/>
        <v>OK</v>
      </c>
      <c r="P133" s="71" t="str">
        <f t="shared" si="27"/>
        <v>OK</v>
      </c>
      <c r="Q133" s="71" t="str">
        <f t="shared" si="27"/>
        <v>OK</v>
      </c>
      <c r="R133" s="71" t="str">
        <f t="shared" si="27"/>
        <v>OK</v>
      </c>
      <c r="S133" s="71" t="str">
        <f t="shared" si="27"/>
        <v>OK</v>
      </c>
      <c r="T133" s="71" t="str">
        <f t="shared" si="27"/>
        <v>OK</v>
      </c>
      <c r="U133" s="71" t="str">
        <f t="shared" si="27"/>
        <v>OK</v>
      </c>
      <c r="V133" s="71" t="str">
        <f t="shared" si="27"/>
        <v>OK</v>
      </c>
      <c r="W133" s="71" t="str">
        <f t="shared" si="27"/>
        <v>OK</v>
      </c>
      <c r="X133" s="71" t="str">
        <f t="shared" si="27"/>
        <v>OK</v>
      </c>
    </row>
    <row r="134" spans="1:24" outlineLevel="2">
      <c r="A134" s="294" t="s">
        <v>229</v>
      </c>
      <c r="B134" s="295"/>
      <c r="C134" s="295"/>
      <c r="D134" s="296"/>
      <c r="E134" s="76" t="s">
        <v>230</v>
      </c>
      <c r="F134" s="67"/>
      <c r="G134" s="68"/>
      <c r="H134" s="68"/>
      <c r="I134" s="69"/>
      <c r="J134" s="70" t="str">
        <f t="shared" si="27"/>
        <v>OK</v>
      </c>
      <c r="K134" s="70"/>
      <c r="L134" s="70"/>
      <c r="M134" s="71" t="str">
        <f t="shared" si="27"/>
        <v>OK</v>
      </c>
      <c r="N134" s="71" t="str">
        <f t="shared" si="27"/>
        <v>OK</v>
      </c>
      <c r="O134" s="71" t="str">
        <f t="shared" si="27"/>
        <v>OK</v>
      </c>
      <c r="P134" s="71" t="str">
        <f t="shared" si="27"/>
        <v>OK</v>
      </c>
      <c r="Q134" s="71" t="str">
        <f t="shared" si="27"/>
        <v>OK</v>
      </c>
      <c r="R134" s="71" t="str">
        <f t="shared" si="27"/>
        <v>OK</v>
      </c>
      <c r="S134" s="71" t="str">
        <f t="shared" si="27"/>
        <v>OK</v>
      </c>
      <c r="T134" s="71" t="str">
        <f t="shared" si="27"/>
        <v>OK</v>
      </c>
      <c r="U134" s="71" t="str">
        <f t="shared" si="27"/>
        <v>OK</v>
      </c>
      <c r="V134" s="71" t="str">
        <f t="shared" si="27"/>
        <v>OK</v>
      </c>
      <c r="W134" s="71" t="str">
        <f t="shared" si="27"/>
        <v>OK</v>
      </c>
      <c r="X134" s="71" t="str">
        <f t="shared" si="27"/>
        <v>OK</v>
      </c>
    </row>
    <row r="135" spans="1:24" outlineLevel="2">
      <c r="A135" s="294" t="s">
        <v>231</v>
      </c>
      <c r="B135" s="295"/>
      <c r="C135" s="295"/>
      <c r="D135" s="296"/>
      <c r="E135" s="76" t="s">
        <v>232</v>
      </c>
      <c r="F135" s="67"/>
      <c r="G135" s="68"/>
      <c r="H135" s="68"/>
      <c r="I135" s="69"/>
      <c r="J135" s="70" t="str">
        <f t="shared" ref="J135:X135" si="28">IF(J79&gt;=J80,"OK","BŁĄD")</f>
        <v>OK</v>
      </c>
      <c r="K135" s="70"/>
      <c r="L135" s="70"/>
      <c r="M135" s="71" t="str">
        <f t="shared" si="28"/>
        <v>OK</v>
      </c>
      <c r="N135" s="71" t="str">
        <f t="shared" si="28"/>
        <v>OK</v>
      </c>
      <c r="O135" s="71" t="str">
        <f t="shared" si="28"/>
        <v>OK</v>
      </c>
      <c r="P135" s="71" t="str">
        <f t="shared" si="28"/>
        <v>OK</v>
      </c>
      <c r="Q135" s="71" t="str">
        <f t="shared" si="28"/>
        <v>OK</v>
      </c>
      <c r="R135" s="71" t="str">
        <f t="shared" si="28"/>
        <v>OK</v>
      </c>
      <c r="S135" s="71" t="str">
        <f t="shared" si="28"/>
        <v>OK</v>
      </c>
      <c r="T135" s="71" t="str">
        <f t="shared" si="28"/>
        <v>OK</v>
      </c>
      <c r="U135" s="71" t="str">
        <f t="shared" si="28"/>
        <v>OK</v>
      </c>
      <c r="V135" s="71" t="str">
        <f t="shared" si="28"/>
        <v>OK</v>
      </c>
      <c r="W135" s="71" t="str">
        <f t="shared" si="28"/>
        <v>OK</v>
      </c>
      <c r="X135" s="71" t="str">
        <f t="shared" si="28"/>
        <v>OK</v>
      </c>
    </row>
    <row r="136" spans="1:24" outlineLevel="2">
      <c r="A136" s="294" t="s">
        <v>233</v>
      </c>
      <c r="B136" s="295"/>
      <c r="C136" s="295"/>
      <c r="D136" s="296"/>
      <c r="E136" s="76" t="s">
        <v>234</v>
      </c>
      <c r="F136" s="67"/>
      <c r="G136" s="68"/>
      <c r="H136" s="68"/>
      <c r="I136" s="69"/>
      <c r="J136" s="70" t="str">
        <f t="shared" ref="J136:X136" si="29">IF(J79&gt;=J81,"OK","BŁĄD")</f>
        <v>OK</v>
      </c>
      <c r="K136" s="70"/>
      <c r="L136" s="70"/>
      <c r="M136" s="71" t="str">
        <f t="shared" si="29"/>
        <v>OK</v>
      </c>
      <c r="N136" s="71" t="str">
        <f t="shared" si="29"/>
        <v>OK</v>
      </c>
      <c r="O136" s="71" t="str">
        <f t="shared" si="29"/>
        <v>OK</v>
      </c>
      <c r="P136" s="71" t="str">
        <f t="shared" si="29"/>
        <v>OK</v>
      </c>
      <c r="Q136" s="71" t="str">
        <f t="shared" si="29"/>
        <v>OK</v>
      </c>
      <c r="R136" s="71" t="str">
        <f t="shared" si="29"/>
        <v>OK</v>
      </c>
      <c r="S136" s="71" t="str">
        <f t="shared" si="29"/>
        <v>OK</v>
      </c>
      <c r="T136" s="71" t="str">
        <f t="shared" si="29"/>
        <v>OK</v>
      </c>
      <c r="U136" s="71" t="str">
        <f t="shared" si="29"/>
        <v>OK</v>
      </c>
      <c r="V136" s="71" t="str">
        <f t="shared" si="29"/>
        <v>OK</v>
      </c>
      <c r="W136" s="71" t="str">
        <f t="shared" si="29"/>
        <v>OK</v>
      </c>
      <c r="X136" s="71" t="str">
        <f t="shared" si="29"/>
        <v>OK</v>
      </c>
    </row>
    <row r="137" spans="1:24" outlineLevel="2">
      <c r="A137" s="294" t="s">
        <v>235</v>
      </c>
      <c r="B137" s="295"/>
      <c r="C137" s="295"/>
      <c r="D137" s="296"/>
      <c r="E137" s="76" t="s">
        <v>236</v>
      </c>
      <c r="F137" s="67"/>
      <c r="G137" s="68"/>
      <c r="H137" s="68"/>
      <c r="I137" s="69"/>
      <c r="J137" s="70" t="str">
        <f t="shared" ref="J137:X137" si="30">IF(J82&gt;=J83,"OK","BŁĄD")</f>
        <v>OK</v>
      </c>
      <c r="K137" s="70"/>
      <c r="L137" s="70"/>
      <c r="M137" s="71" t="str">
        <f t="shared" si="30"/>
        <v>OK</v>
      </c>
      <c r="N137" s="71" t="str">
        <f t="shared" si="30"/>
        <v>OK</v>
      </c>
      <c r="O137" s="71" t="str">
        <f t="shared" si="30"/>
        <v>OK</v>
      </c>
      <c r="P137" s="71" t="str">
        <f t="shared" si="30"/>
        <v>OK</v>
      </c>
      <c r="Q137" s="71" t="str">
        <f t="shared" si="30"/>
        <v>OK</v>
      </c>
      <c r="R137" s="71" t="str">
        <f t="shared" si="30"/>
        <v>OK</v>
      </c>
      <c r="S137" s="71" t="str">
        <f t="shared" si="30"/>
        <v>OK</v>
      </c>
      <c r="T137" s="71" t="str">
        <f t="shared" si="30"/>
        <v>OK</v>
      </c>
      <c r="U137" s="71" t="str">
        <f t="shared" si="30"/>
        <v>OK</v>
      </c>
      <c r="V137" s="71" t="str">
        <f t="shared" si="30"/>
        <v>OK</v>
      </c>
      <c r="W137" s="71" t="str">
        <f t="shared" si="30"/>
        <v>OK</v>
      </c>
      <c r="X137" s="71" t="str">
        <f t="shared" si="30"/>
        <v>OK</v>
      </c>
    </row>
    <row r="138" spans="1:24" outlineLevel="2">
      <c r="A138" s="294" t="s">
        <v>237</v>
      </c>
      <c r="B138" s="295"/>
      <c r="C138" s="295"/>
      <c r="D138" s="296"/>
      <c r="E138" s="76" t="s">
        <v>238</v>
      </c>
      <c r="F138" s="67"/>
      <c r="G138" s="68"/>
      <c r="H138" s="68"/>
      <c r="I138" s="69"/>
      <c r="J138" s="70" t="str">
        <f t="shared" ref="J138:X138" si="31">IF(J82&gt;=J84,"OK","BŁĄD")</f>
        <v>OK</v>
      </c>
      <c r="K138" s="70"/>
      <c r="L138" s="70"/>
      <c r="M138" s="71" t="str">
        <f t="shared" si="31"/>
        <v>OK</v>
      </c>
      <c r="N138" s="71" t="str">
        <f t="shared" si="31"/>
        <v>OK</v>
      </c>
      <c r="O138" s="71" t="str">
        <f t="shared" si="31"/>
        <v>OK</v>
      </c>
      <c r="P138" s="71" t="str">
        <f t="shared" si="31"/>
        <v>OK</v>
      </c>
      <c r="Q138" s="71" t="str">
        <f t="shared" si="31"/>
        <v>OK</v>
      </c>
      <c r="R138" s="71" t="str">
        <f t="shared" si="31"/>
        <v>OK</v>
      </c>
      <c r="S138" s="71" t="str">
        <f t="shared" si="31"/>
        <v>OK</v>
      </c>
      <c r="T138" s="71" t="str">
        <f t="shared" si="31"/>
        <v>OK</v>
      </c>
      <c r="U138" s="71" t="str">
        <f t="shared" si="31"/>
        <v>OK</v>
      </c>
      <c r="V138" s="71" t="str">
        <f t="shared" si="31"/>
        <v>OK</v>
      </c>
      <c r="W138" s="71" t="str">
        <f t="shared" si="31"/>
        <v>OK</v>
      </c>
      <c r="X138" s="71" t="str">
        <f t="shared" si="31"/>
        <v>OK</v>
      </c>
    </row>
    <row r="139" spans="1:24" outlineLevel="2">
      <c r="A139" s="294" t="s">
        <v>239</v>
      </c>
      <c r="B139" s="295"/>
      <c r="C139" s="295"/>
      <c r="D139" s="296"/>
      <c r="E139" s="76" t="s">
        <v>240</v>
      </c>
      <c r="F139" s="67"/>
      <c r="G139" s="68"/>
      <c r="H139" s="68"/>
      <c r="I139" s="69"/>
      <c r="J139" s="70" t="str">
        <f t="shared" ref="J139:X139" si="32">IF(J86&gt;=J88,"OK","BŁĄD")</f>
        <v>OK</v>
      </c>
      <c r="K139" s="70"/>
      <c r="L139" s="70"/>
      <c r="M139" s="71" t="str">
        <f t="shared" si="32"/>
        <v>OK</v>
      </c>
      <c r="N139" s="71" t="str">
        <f t="shared" si="32"/>
        <v>OK</v>
      </c>
      <c r="O139" s="71" t="str">
        <f t="shared" si="32"/>
        <v>OK</v>
      </c>
      <c r="P139" s="71" t="str">
        <f t="shared" si="32"/>
        <v>OK</v>
      </c>
      <c r="Q139" s="71" t="str">
        <f t="shared" si="32"/>
        <v>OK</v>
      </c>
      <c r="R139" s="71" t="str">
        <f t="shared" si="32"/>
        <v>OK</v>
      </c>
      <c r="S139" s="71" t="str">
        <f t="shared" si="32"/>
        <v>OK</v>
      </c>
      <c r="T139" s="71" t="str">
        <f t="shared" si="32"/>
        <v>OK</v>
      </c>
      <c r="U139" s="71" t="str">
        <f t="shared" si="32"/>
        <v>OK</v>
      </c>
      <c r="V139" s="71" t="str">
        <f t="shared" si="32"/>
        <v>OK</v>
      </c>
      <c r="W139" s="71" t="str">
        <f t="shared" si="32"/>
        <v>OK</v>
      </c>
      <c r="X139" s="71" t="str">
        <f t="shared" si="32"/>
        <v>OK</v>
      </c>
    </row>
    <row r="140" spans="1:24" outlineLevel="2">
      <c r="A140" s="294" t="s">
        <v>241</v>
      </c>
      <c r="B140" s="295"/>
      <c r="C140" s="295"/>
      <c r="D140" s="296"/>
      <c r="E140" s="76" t="s">
        <v>242</v>
      </c>
      <c r="F140" s="67"/>
      <c r="G140" s="68"/>
      <c r="H140" s="68"/>
      <c r="I140" s="69"/>
      <c r="J140" s="70" t="str">
        <f t="shared" ref="J140:X140" si="33">IF(J89&gt;=J21,"OK","BŁĄD")</f>
        <v>OK</v>
      </c>
      <c r="K140" s="70"/>
      <c r="L140" s="70"/>
      <c r="M140" s="71" t="str">
        <f t="shared" si="33"/>
        <v>OK</v>
      </c>
      <c r="N140" s="71" t="str">
        <f t="shared" si="33"/>
        <v>OK</v>
      </c>
      <c r="O140" s="71" t="str">
        <f t="shared" si="33"/>
        <v>OK</v>
      </c>
      <c r="P140" s="71" t="str">
        <f t="shared" si="33"/>
        <v>OK</v>
      </c>
      <c r="Q140" s="71" t="str">
        <f t="shared" si="33"/>
        <v>OK</v>
      </c>
      <c r="R140" s="71" t="str">
        <f t="shared" si="33"/>
        <v>OK</v>
      </c>
      <c r="S140" s="71" t="str">
        <f t="shared" si="33"/>
        <v>OK</v>
      </c>
      <c r="T140" s="71" t="str">
        <f t="shared" si="33"/>
        <v>OK</v>
      </c>
      <c r="U140" s="71" t="str">
        <f t="shared" si="33"/>
        <v>OK</v>
      </c>
      <c r="V140" s="71" t="str">
        <f t="shared" si="33"/>
        <v>OK</v>
      </c>
      <c r="W140" s="71" t="str">
        <f t="shared" si="33"/>
        <v>OK</v>
      </c>
      <c r="X140" s="71" t="str">
        <f t="shared" si="33"/>
        <v>OK</v>
      </c>
    </row>
    <row r="141" spans="1:24" outlineLevel="2">
      <c r="A141" s="294" t="s">
        <v>243</v>
      </c>
      <c r="B141" s="295"/>
      <c r="C141" s="295"/>
      <c r="D141" s="296"/>
      <c r="E141" s="76" t="s">
        <v>244</v>
      </c>
      <c r="F141" s="67"/>
      <c r="G141" s="68"/>
      <c r="H141" s="68"/>
      <c r="I141" s="69"/>
      <c r="J141" s="70" t="str">
        <f t="shared" ref="J141:X141" si="34">IF(J96&gt;=(J97+J98+J99),"OK","BŁĄD")</f>
        <v>OK</v>
      </c>
      <c r="K141" s="70"/>
      <c r="L141" s="70"/>
      <c r="M141" s="71" t="str">
        <f t="shared" si="34"/>
        <v>OK</v>
      </c>
      <c r="N141" s="71" t="str">
        <f t="shared" si="34"/>
        <v>OK</v>
      </c>
      <c r="O141" s="71" t="str">
        <f t="shared" si="34"/>
        <v>OK</v>
      </c>
      <c r="P141" s="71" t="str">
        <f t="shared" si="34"/>
        <v>OK</v>
      </c>
      <c r="Q141" s="71" t="str">
        <f t="shared" si="34"/>
        <v>OK</v>
      </c>
      <c r="R141" s="71" t="str">
        <f t="shared" si="34"/>
        <v>OK</v>
      </c>
      <c r="S141" s="71" t="str">
        <f t="shared" si="34"/>
        <v>OK</v>
      </c>
      <c r="T141" s="71" t="str">
        <f t="shared" si="34"/>
        <v>OK</v>
      </c>
      <c r="U141" s="71" t="str">
        <f t="shared" si="34"/>
        <v>OK</v>
      </c>
      <c r="V141" s="71" t="str">
        <f t="shared" si="34"/>
        <v>OK</v>
      </c>
      <c r="W141" s="71" t="str">
        <f t="shared" si="34"/>
        <v>OK</v>
      </c>
      <c r="X141" s="71" t="str">
        <f t="shared" si="34"/>
        <v>OK</v>
      </c>
    </row>
    <row r="142" spans="1:24" outlineLevel="2">
      <c r="A142" s="294" t="s">
        <v>245</v>
      </c>
      <c r="B142" s="295"/>
      <c r="C142" s="295"/>
      <c r="D142" s="296"/>
      <c r="E142" s="76" t="s">
        <v>246</v>
      </c>
      <c r="F142" s="67"/>
      <c r="G142" s="68"/>
      <c r="H142" s="68"/>
      <c r="I142" s="69"/>
      <c r="J142" s="70" t="str">
        <f t="shared" ref="J142:X142" si="35">IF(J19&gt;=J20,"OK","BŁĄD")</f>
        <v>OK</v>
      </c>
      <c r="K142" s="70"/>
      <c r="L142" s="70"/>
      <c r="M142" s="71" t="str">
        <f t="shared" si="35"/>
        <v>OK</v>
      </c>
      <c r="N142" s="71" t="str">
        <f t="shared" si="35"/>
        <v>OK</v>
      </c>
      <c r="O142" s="71" t="str">
        <f t="shared" si="35"/>
        <v>OK</v>
      </c>
      <c r="P142" s="71" t="str">
        <f t="shared" si="35"/>
        <v>OK</v>
      </c>
      <c r="Q142" s="71" t="str">
        <f t="shared" si="35"/>
        <v>OK</v>
      </c>
      <c r="R142" s="71" t="str">
        <f t="shared" si="35"/>
        <v>OK</v>
      </c>
      <c r="S142" s="71" t="str">
        <f t="shared" si="35"/>
        <v>OK</v>
      </c>
      <c r="T142" s="71" t="str">
        <f t="shared" si="35"/>
        <v>OK</v>
      </c>
      <c r="U142" s="71" t="str">
        <f t="shared" si="35"/>
        <v>OK</v>
      </c>
      <c r="V142" s="71" t="str">
        <f t="shared" si="35"/>
        <v>OK</v>
      </c>
      <c r="W142" s="71" t="str">
        <f t="shared" si="35"/>
        <v>OK</v>
      </c>
      <c r="X142" s="71" t="str">
        <f t="shared" si="35"/>
        <v>OK</v>
      </c>
    </row>
    <row r="143" spans="1:24" outlineLevel="2">
      <c r="A143" s="294" t="s">
        <v>247</v>
      </c>
      <c r="B143" s="295"/>
      <c r="C143" s="295"/>
      <c r="D143" s="296"/>
      <c r="E143" s="76" t="s">
        <v>248</v>
      </c>
      <c r="F143" s="67"/>
      <c r="G143" s="68"/>
      <c r="H143" s="68"/>
      <c r="I143" s="69"/>
      <c r="J143" s="70" t="str">
        <f t="shared" ref="J143:X143" si="36">IF(J19&gt;=J99,"OK","BŁĄD")</f>
        <v>OK</v>
      </c>
      <c r="K143" s="70"/>
      <c r="L143" s="70"/>
      <c r="M143" s="71" t="str">
        <f t="shared" si="36"/>
        <v>OK</v>
      </c>
      <c r="N143" s="71" t="str">
        <f t="shared" si="36"/>
        <v>OK</v>
      </c>
      <c r="O143" s="71" t="str">
        <f t="shared" si="36"/>
        <v>OK</v>
      </c>
      <c r="P143" s="71" t="str">
        <f t="shared" si="36"/>
        <v>OK</v>
      </c>
      <c r="Q143" s="71" t="str">
        <f t="shared" si="36"/>
        <v>OK</v>
      </c>
      <c r="R143" s="71" t="str">
        <f t="shared" si="36"/>
        <v>OK</v>
      </c>
      <c r="S143" s="71" t="str">
        <f t="shared" si="36"/>
        <v>OK</v>
      </c>
      <c r="T143" s="71" t="str">
        <f t="shared" si="36"/>
        <v>OK</v>
      </c>
      <c r="U143" s="71" t="str">
        <f t="shared" si="36"/>
        <v>OK</v>
      </c>
      <c r="V143" s="71" t="str">
        <f t="shared" si="36"/>
        <v>OK</v>
      </c>
      <c r="W143" s="71" t="str">
        <f t="shared" si="36"/>
        <v>OK</v>
      </c>
      <c r="X143" s="71" t="str">
        <f t="shared" si="36"/>
        <v>OK</v>
      </c>
    </row>
    <row r="144" spans="1:24" outlineLevel="2">
      <c r="A144" s="294" t="s">
        <v>249</v>
      </c>
      <c r="B144" s="295"/>
      <c r="C144" s="295"/>
      <c r="D144" s="296"/>
      <c r="E144" s="76" t="s">
        <v>250</v>
      </c>
      <c r="F144" s="67"/>
      <c r="G144" s="68"/>
      <c r="H144" s="68"/>
      <c r="I144" s="69"/>
      <c r="J144" s="70" t="str">
        <f t="shared" ref="J144:X144" si="37">IF(J22&gt;=J23,"OK","BŁĄD")</f>
        <v>OK</v>
      </c>
      <c r="K144" s="70"/>
      <c r="L144" s="70"/>
      <c r="M144" s="71" t="str">
        <f t="shared" si="37"/>
        <v>OK</v>
      </c>
      <c r="N144" s="71" t="str">
        <f t="shared" si="37"/>
        <v>OK</v>
      </c>
      <c r="O144" s="71" t="str">
        <f t="shared" si="37"/>
        <v>OK</v>
      </c>
      <c r="P144" s="71" t="str">
        <f t="shared" si="37"/>
        <v>OK</v>
      </c>
      <c r="Q144" s="71" t="str">
        <f t="shared" si="37"/>
        <v>OK</v>
      </c>
      <c r="R144" s="71" t="str">
        <f t="shared" si="37"/>
        <v>OK</v>
      </c>
      <c r="S144" s="71" t="str">
        <f t="shared" si="37"/>
        <v>OK</v>
      </c>
      <c r="T144" s="71" t="str">
        <f t="shared" si="37"/>
        <v>OK</v>
      </c>
      <c r="U144" s="71" t="str">
        <f t="shared" si="37"/>
        <v>OK</v>
      </c>
      <c r="V144" s="71" t="str">
        <f t="shared" si="37"/>
        <v>OK</v>
      </c>
      <c r="W144" s="71" t="str">
        <f t="shared" si="37"/>
        <v>OK</v>
      </c>
      <c r="X144" s="71" t="str">
        <f t="shared" si="37"/>
        <v>OK</v>
      </c>
    </row>
    <row r="145" spans="1:24" outlineLevel="2">
      <c r="A145" s="294" t="s">
        <v>251</v>
      </c>
      <c r="B145" s="295"/>
      <c r="C145" s="295"/>
      <c r="D145" s="296"/>
      <c r="E145" s="76" t="s">
        <v>252</v>
      </c>
      <c r="F145" s="67"/>
      <c r="G145" s="68"/>
      <c r="H145" s="68"/>
      <c r="I145" s="69"/>
      <c r="J145" s="70" t="str">
        <f t="shared" ref="J145:X145" si="38">IF(J18&gt;=(J19+J21+J22),"OK","BŁĄD")</f>
        <v>OK</v>
      </c>
      <c r="K145" s="70"/>
      <c r="L145" s="70"/>
      <c r="M145" s="71" t="str">
        <f t="shared" si="38"/>
        <v>OK</v>
      </c>
      <c r="N145" s="71" t="str">
        <f t="shared" si="38"/>
        <v>OK</v>
      </c>
      <c r="O145" s="71" t="str">
        <f t="shared" si="38"/>
        <v>OK</v>
      </c>
      <c r="P145" s="71" t="str">
        <f t="shared" si="38"/>
        <v>OK</v>
      </c>
      <c r="Q145" s="71" t="str">
        <f t="shared" si="38"/>
        <v>OK</v>
      </c>
      <c r="R145" s="71" t="str">
        <f t="shared" si="38"/>
        <v>OK</v>
      </c>
      <c r="S145" s="71" t="str">
        <f t="shared" si="38"/>
        <v>OK</v>
      </c>
      <c r="T145" s="71" t="str">
        <f t="shared" si="38"/>
        <v>OK</v>
      </c>
      <c r="U145" s="71" t="str">
        <f t="shared" si="38"/>
        <v>OK</v>
      </c>
      <c r="V145" s="71" t="str">
        <f t="shared" si="38"/>
        <v>OK</v>
      </c>
      <c r="W145" s="71" t="str">
        <f t="shared" si="38"/>
        <v>OK</v>
      </c>
      <c r="X145" s="71" t="str">
        <f t="shared" si="38"/>
        <v>OK</v>
      </c>
    </row>
    <row r="146" spans="1:24" outlineLevel="2">
      <c r="A146" s="294" t="s">
        <v>253</v>
      </c>
      <c r="B146" s="295"/>
      <c r="C146" s="295"/>
      <c r="D146" s="296"/>
      <c r="E146" s="76" t="s">
        <v>254</v>
      </c>
      <c r="F146" s="67"/>
      <c r="G146" s="68"/>
      <c r="H146" s="68"/>
      <c r="I146" s="69"/>
      <c r="J146" s="70" t="str">
        <f t="shared" ref="J146:X146" si="39">IF(J18&gt;=J64,"OK","BŁĄD")</f>
        <v>OK</v>
      </c>
      <c r="K146" s="70"/>
      <c r="L146" s="70"/>
      <c r="M146" s="71" t="str">
        <f t="shared" si="39"/>
        <v>OK</v>
      </c>
      <c r="N146" s="71" t="str">
        <f t="shared" si="39"/>
        <v>OK</v>
      </c>
      <c r="O146" s="71" t="str">
        <f t="shared" si="39"/>
        <v>OK</v>
      </c>
      <c r="P146" s="71" t="str">
        <f t="shared" si="39"/>
        <v>OK</v>
      </c>
      <c r="Q146" s="71" t="str">
        <f t="shared" si="39"/>
        <v>OK</v>
      </c>
      <c r="R146" s="71" t="str">
        <f t="shared" si="39"/>
        <v>OK</v>
      </c>
      <c r="S146" s="71" t="str">
        <f t="shared" si="39"/>
        <v>OK</v>
      </c>
      <c r="T146" s="71" t="str">
        <f t="shared" si="39"/>
        <v>OK</v>
      </c>
      <c r="U146" s="71" t="str">
        <f t="shared" si="39"/>
        <v>OK</v>
      </c>
      <c r="V146" s="71" t="str">
        <f t="shared" si="39"/>
        <v>OK</v>
      </c>
      <c r="W146" s="71" t="str">
        <f t="shared" si="39"/>
        <v>OK</v>
      </c>
      <c r="X146" s="71" t="str">
        <f t="shared" si="39"/>
        <v>OK</v>
      </c>
    </row>
    <row r="147" spans="1:24" outlineLevel="2">
      <c r="A147" s="294" t="s">
        <v>255</v>
      </c>
      <c r="B147" s="295"/>
      <c r="C147" s="295"/>
      <c r="D147" s="296"/>
      <c r="E147" s="76" t="s">
        <v>256</v>
      </c>
      <c r="F147" s="67"/>
      <c r="G147" s="68"/>
      <c r="H147" s="68"/>
      <c r="I147" s="69"/>
      <c r="J147" s="70" t="str">
        <f t="shared" ref="J147:X147" si="40">IF(J18&gt;=J67,"OK","BŁĄD")</f>
        <v>OK</v>
      </c>
      <c r="K147" s="70"/>
      <c r="L147" s="70"/>
      <c r="M147" s="71" t="str">
        <f t="shared" si="40"/>
        <v>OK</v>
      </c>
      <c r="N147" s="71" t="str">
        <f t="shared" si="40"/>
        <v>OK</v>
      </c>
      <c r="O147" s="71" t="str">
        <f t="shared" si="40"/>
        <v>OK</v>
      </c>
      <c r="P147" s="71" t="str">
        <f t="shared" si="40"/>
        <v>OK</v>
      </c>
      <c r="Q147" s="71" t="str">
        <f t="shared" si="40"/>
        <v>OK</v>
      </c>
      <c r="R147" s="71" t="str">
        <f t="shared" si="40"/>
        <v>OK</v>
      </c>
      <c r="S147" s="71" t="str">
        <f t="shared" si="40"/>
        <v>OK</v>
      </c>
      <c r="T147" s="71" t="str">
        <f t="shared" si="40"/>
        <v>OK</v>
      </c>
      <c r="U147" s="71" t="str">
        <f t="shared" si="40"/>
        <v>OK</v>
      </c>
      <c r="V147" s="71" t="str">
        <f t="shared" si="40"/>
        <v>OK</v>
      </c>
      <c r="W147" s="71" t="str">
        <f t="shared" si="40"/>
        <v>OK</v>
      </c>
      <c r="X147" s="71" t="str">
        <f t="shared" si="40"/>
        <v>OK</v>
      </c>
    </row>
    <row r="148" spans="1:24" outlineLevel="2">
      <c r="A148" s="294" t="s">
        <v>257</v>
      </c>
      <c r="B148" s="295"/>
      <c r="C148" s="295"/>
      <c r="D148" s="296"/>
      <c r="E148" s="76" t="s">
        <v>258</v>
      </c>
      <c r="F148" s="67"/>
      <c r="G148" s="68"/>
      <c r="H148" s="68"/>
      <c r="I148" s="69"/>
      <c r="J148" s="70" t="str">
        <f t="shared" ref="J148:X148" si="41">IF(J18&gt;=J79,"OK","BŁĄD")</f>
        <v>OK</v>
      </c>
      <c r="K148" s="70"/>
      <c r="L148" s="70"/>
      <c r="M148" s="71" t="str">
        <f t="shared" si="41"/>
        <v>OK</v>
      </c>
      <c r="N148" s="71" t="str">
        <f t="shared" si="41"/>
        <v>OK</v>
      </c>
      <c r="O148" s="71" t="str">
        <f t="shared" si="41"/>
        <v>OK</v>
      </c>
      <c r="P148" s="71" t="str">
        <f t="shared" si="41"/>
        <v>OK</v>
      </c>
      <c r="Q148" s="71" t="str">
        <f t="shared" si="41"/>
        <v>OK</v>
      </c>
      <c r="R148" s="71" t="str">
        <f t="shared" si="41"/>
        <v>OK</v>
      </c>
      <c r="S148" s="71" t="str">
        <f t="shared" si="41"/>
        <v>OK</v>
      </c>
      <c r="T148" s="71" t="str">
        <f t="shared" si="41"/>
        <v>OK</v>
      </c>
      <c r="U148" s="71" t="str">
        <f t="shared" si="41"/>
        <v>OK</v>
      </c>
      <c r="V148" s="71" t="str">
        <f t="shared" si="41"/>
        <v>OK</v>
      </c>
      <c r="W148" s="71" t="str">
        <f t="shared" si="41"/>
        <v>OK</v>
      </c>
      <c r="X148" s="71" t="str">
        <f t="shared" si="41"/>
        <v>OK</v>
      </c>
    </row>
    <row r="149" spans="1:24" outlineLevel="2">
      <c r="A149" s="294" t="s">
        <v>259</v>
      </c>
      <c r="B149" s="295"/>
      <c r="C149" s="295"/>
      <c r="D149" s="296"/>
      <c r="E149" s="76" t="s">
        <v>260</v>
      </c>
      <c r="F149" s="67"/>
      <c r="G149" s="68"/>
      <c r="H149" s="68"/>
      <c r="I149" s="69"/>
      <c r="J149" s="70" t="str">
        <f t="shared" ref="J149:X149" si="42">IF(J18&gt;=J92,"OK","BŁĄD")</f>
        <v>OK</v>
      </c>
      <c r="K149" s="70"/>
      <c r="L149" s="70"/>
      <c r="M149" s="71" t="str">
        <f t="shared" si="42"/>
        <v>OK</v>
      </c>
      <c r="N149" s="71" t="str">
        <f t="shared" si="42"/>
        <v>OK</v>
      </c>
      <c r="O149" s="71" t="str">
        <f t="shared" si="42"/>
        <v>OK</v>
      </c>
      <c r="P149" s="71" t="str">
        <f t="shared" si="42"/>
        <v>OK</v>
      </c>
      <c r="Q149" s="71" t="str">
        <f t="shared" si="42"/>
        <v>OK</v>
      </c>
      <c r="R149" s="71" t="str">
        <f t="shared" si="42"/>
        <v>OK</v>
      </c>
      <c r="S149" s="71" t="str">
        <f t="shared" si="42"/>
        <v>OK</v>
      </c>
      <c r="T149" s="71" t="str">
        <f t="shared" si="42"/>
        <v>OK</v>
      </c>
      <c r="U149" s="71" t="str">
        <f t="shared" si="42"/>
        <v>OK</v>
      </c>
      <c r="V149" s="71" t="str">
        <f t="shared" si="42"/>
        <v>OK</v>
      </c>
      <c r="W149" s="71" t="str">
        <f t="shared" si="42"/>
        <v>OK</v>
      </c>
      <c r="X149" s="71" t="str">
        <f t="shared" si="42"/>
        <v>OK</v>
      </c>
    </row>
    <row r="150" spans="1:24" outlineLevel="2">
      <c r="A150" s="294" t="s">
        <v>261</v>
      </c>
      <c r="B150" s="295"/>
      <c r="C150" s="295"/>
      <c r="D150" s="296"/>
      <c r="E150" s="76" t="s">
        <v>262</v>
      </c>
      <c r="F150" s="67"/>
      <c r="G150" s="68"/>
      <c r="H150" s="68"/>
      <c r="I150" s="69"/>
      <c r="J150" s="70" t="str">
        <f t="shared" ref="J150:X150" si="43">IF(J24&gt;=J68,"OK","BŁĄD")</f>
        <v>OK</v>
      </c>
      <c r="K150" s="70"/>
      <c r="L150" s="70"/>
      <c r="M150" s="71" t="str">
        <f t="shared" si="43"/>
        <v>OK</v>
      </c>
      <c r="N150" s="71" t="str">
        <f t="shared" si="43"/>
        <v>OK</v>
      </c>
      <c r="O150" s="71" t="str">
        <f t="shared" si="43"/>
        <v>OK</v>
      </c>
      <c r="P150" s="71" t="str">
        <f t="shared" si="43"/>
        <v>OK</v>
      </c>
      <c r="Q150" s="71" t="str">
        <f t="shared" si="43"/>
        <v>OK</v>
      </c>
      <c r="R150" s="71" t="str">
        <f t="shared" si="43"/>
        <v>OK</v>
      </c>
      <c r="S150" s="71" t="str">
        <f t="shared" si="43"/>
        <v>OK</v>
      </c>
      <c r="T150" s="71" t="str">
        <f t="shared" si="43"/>
        <v>OK</v>
      </c>
      <c r="U150" s="71" t="str">
        <f t="shared" si="43"/>
        <v>OK</v>
      </c>
      <c r="V150" s="71" t="str">
        <f t="shared" si="43"/>
        <v>OK</v>
      </c>
      <c r="W150" s="71" t="str">
        <f t="shared" si="43"/>
        <v>OK</v>
      </c>
      <c r="X150" s="71" t="str">
        <f t="shared" si="43"/>
        <v>OK</v>
      </c>
    </row>
    <row r="151" spans="1:24" outlineLevel="2">
      <c r="A151" s="294" t="s">
        <v>263</v>
      </c>
      <c r="B151" s="295"/>
      <c r="C151" s="295"/>
      <c r="D151" s="296"/>
      <c r="E151" s="76" t="s">
        <v>264</v>
      </c>
      <c r="F151" s="67"/>
      <c r="G151" s="68"/>
      <c r="H151" s="68"/>
      <c r="I151" s="69"/>
      <c r="J151" s="70" t="str">
        <f t="shared" ref="J151:X151" si="44">IF(J24&gt;=J69+J70,"OK","BŁĄD")</f>
        <v>OK</v>
      </c>
      <c r="K151" s="70"/>
      <c r="L151" s="70"/>
      <c r="M151" s="71" t="str">
        <f t="shared" si="44"/>
        <v>OK</v>
      </c>
      <c r="N151" s="71" t="str">
        <f t="shared" si="44"/>
        <v>OK</v>
      </c>
      <c r="O151" s="71" t="str">
        <f t="shared" si="44"/>
        <v>OK</v>
      </c>
      <c r="P151" s="71" t="str">
        <f t="shared" si="44"/>
        <v>OK</v>
      </c>
      <c r="Q151" s="71" t="str">
        <f t="shared" si="44"/>
        <v>OK</v>
      </c>
      <c r="R151" s="71" t="str">
        <f t="shared" si="44"/>
        <v>OK</v>
      </c>
      <c r="S151" s="71" t="str">
        <f t="shared" si="44"/>
        <v>OK</v>
      </c>
      <c r="T151" s="71" t="str">
        <f t="shared" si="44"/>
        <v>OK</v>
      </c>
      <c r="U151" s="71" t="str">
        <f t="shared" si="44"/>
        <v>OK</v>
      </c>
      <c r="V151" s="71" t="str">
        <f t="shared" si="44"/>
        <v>OK</v>
      </c>
      <c r="W151" s="71" t="str">
        <f t="shared" si="44"/>
        <v>OK</v>
      </c>
      <c r="X151" s="71" t="str">
        <f t="shared" si="44"/>
        <v>OK</v>
      </c>
    </row>
    <row r="152" spans="1:24" outlineLevel="2">
      <c r="A152" s="294" t="s">
        <v>265</v>
      </c>
      <c r="B152" s="295"/>
      <c r="C152" s="295"/>
      <c r="D152" s="296"/>
      <c r="E152" s="76" t="s">
        <v>266</v>
      </c>
      <c r="F152" s="67"/>
      <c r="G152" s="68"/>
      <c r="H152" s="68"/>
      <c r="I152" s="69"/>
      <c r="J152" s="70" t="str">
        <f t="shared" ref="J152:X152" si="45">IF(J24&gt;=J71,"OK","BŁĄD")</f>
        <v>OK</v>
      </c>
      <c r="K152" s="70"/>
      <c r="L152" s="70"/>
      <c r="M152" s="71" t="str">
        <f t="shared" si="45"/>
        <v>OK</v>
      </c>
      <c r="N152" s="71" t="str">
        <f t="shared" si="45"/>
        <v>OK</v>
      </c>
      <c r="O152" s="71" t="str">
        <f t="shared" si="45"/>
        <v>OK</v>
      </c>
      <c r="P152" s="71" t="str">
        <f t="shared" si="45"/>
        <v>OK</v>
      </c>
      <c r="Q152" s="71" t="str">
        <f t="shared" si="45"/>
        <v>OK</v>
      </c>
      <c r="R152" s="71" t="str">
        <f t="shared" si="45"/>
        <v>OK</v>
      </c>
      <c r="S152" s="71" t="str">
        <f t="shared" si="45"/>
        <v>OK</v>
      </c>
      <c r="T152" s="71" t="str">
        <f t="shared" si="45"/>
        <v>OK</v>
      </c>
      <c r="U152" s="71" t="str">
        <f t="shared" si="45"/>
        <v>OK</v>
      </c>
      <c r="V152" s="71" t="str">
        <f t="shared" si="45"/>
        <v>OK</v>
      </c>
      <c r="W152" s="71" t="str">
        <f t="shared" si="45"/>
        <v>OK</v>
      </c>
      <c r="X152" s="71" t="str">
        <f t="shared" si="45"/>
        <v>OK</v>
      </c>
    </row>
    <row r="153" spans="1:24" outlineLevel="2">
      <c r="A153" s="294" t="s">
        <v>267</v>
      </c>
      <c r="B153" s="295"/>
      <c r="C153" s="295"/>
      <c r="D153" s="296"/>
      <c r="E153" s="76" t="s">
        <v>268</v>
      </c>
      <c r="F153" s="67"/>
      <c r="G153" s="68"/>
      <c r="H153" s="68"/>
      <c r="I153" s="69"/>
      <c r="J153" s="70" t="str">
        <f t="shared" ref="J153:X153" si="46">IF(J24&gt;=J82,"OK","BŁĄD")</f>
        <v>OK</v>
      </c>
      <c r="K153" s="70"/>
      <c r="L153" s="70"/>
      <c r="M153" s="71" t="str">
        <f t="shared" si="46"/>
        <v>OK</v>
      </c>
      <c r="N153" s="71" t="str">
        <f t="shared" si="46"/>
        <v>OK</v>
      </c>
      <c r="O153" s="71" t="str">
        <f t="shared" si="46"/>
        <v>OK</v>
      </c>
      <c r="P153" s="71" t="str">
        <f t="shared" si="46"/>
        <v>OK</v>
      </c>
      <c r="Q153" s="71" t="str">
        <f t="shared" si="46"/>
        <v>OK</v>
      </c>
      <c r="R153" s="71" t="str">
        <f t="shared" si="46"/>
        <v>OK</v>
      </c>
      <c r="S153" s="71" t="str">
        <f t="shared" si="46"/>
        <v>OK</v>
      </c>
      <c r="T153" s="71" t="str">
        <f t="shared" si="46"/>
        <v>OK</v>
      </c>
      <c r="U153" s="71" t="str">
        <f t="shared" si="46"/>
        <v>OK</v>
      </c>
      <c r="V153" s="71" t="str">
        <f t="shared" si="46"/>
        <v>OK</v>
      </c>
      <c r="W153" s="71" t="str">
        <f t="shared" si="46"/>
        <v>OK</v>
      </c>
      <c r="X153" s="71" t="str">
        <f t="shared" si="46"/>
        <v>OK</v>
      </c>
    </row>
    <row r="154" spans="1:24" outlineLevel="2">
      <c r="A154" s="294" t="s">
        <v>269</v>
      </c>
      <c r="B154" s="295"/>
      <c r="C154" s="295"/>
      <c r="D154" s="296"/>
      <c r="E154" s="76" t="s">
        <v>270</v>
      </c>
      <c r="F154" s="67"/>
      <c r="G154" s="68"/>
      <c r="H154" s="68"/>
      <c r="I154" s="69"/>
      <c r="J154" s="70" t="str">
        <f t="shared" ref="J154:X154" si="47">IF(J27&gt;=J28,"OK","BŁĄD")</f>
        <v>OK</v>
      </c>
      <c r="K154" s="70"/>
      <c r="L154" s="70"/>
      <c r="M154" s="71" t="str">
        <f t="shared" si="47"/>
        <v>OK</v>
      </c>
      <c r="N154" s="71" t="str">
        <f t="shared" si="47"/>
        <v>OK</v>
      </c>
      <c r="O154" s="71" t="str">
        <f t="shared" si="47"/>
        <v>OK</v>
      </c>
      <c r="P154" s="71" t="str">
        <f t="shared" si="47"/>
        <v>OK</v>
      </c>
      <c r="Q154" s="71" t="str">
        <f t="shared" si="47"/>
        <v>OK</v>
      </c>
      <c r="R154" s="71" t="str">
        <f t="shared" si="47"/>
        <v>OK</v>
      </c>
      <c r="S154" s="71" t="str">
        <f t="shared" si="47"/>
        <v>OK</v>
      </c>
      <c r="T154" s="71" t="str">
        <f t="shared" si="47"/>
        <v>OK</v>
      </c>
      <c r="U154" s="71" t="str">
        <f t="shared" si="47"/>
        <v>OK</v>
      </c>
      <c r="V154" s="71" t="str">
        <f t="shared" si="47"/>
        <v>OK</v>
      </c>
      <c r="W154" s="71" t="str">
        <f t="shared" si="47"/>
        <v>OK</v>
      </c>
      <c r="X154" s="71" t="str">
        <f t="shared" si="47"/>
        <v>OK</v>
      </c>
    </row>
    <row r="155" spans="1:24" outlineLevel="2">
      <c r="A155" s="294" t="s">
        <v>271</v>
      </c>
      <c r="B155" s="295"/>
      <c r="C155" s="295"/>
      <c r="D155" s="296"/>
      <c r="E155" s="76" t="s">
        <v>272</v>
      </c>
      <c r="F155" s="67"/>
      <c r="G155" s="68"/>
      <c r="H155" s="68"/>
      <c r="I155" s="69"/>
      <c r="J155" s="70" t="str">
        <f t="shared" ref="J155:X155" si="48">IF(J29&gt;=J30,"OK","BŁĄD")</f>
        <v>OK</v>
      </c>
      <c r="K155" s="70"/>
      <c r="L155" s="70"/>
      <c r="M155" s="71" t="str">
        <f t="shared" si="48"/>
        <v>OK</v>
      </c>
      <c r="N155" s="71" t="str">
        <f t="shared" si="48"/>
        <v>OK</v>
      </c>
      <c r="O155" s="71" t="str">
        <f t="shared" si="48"/>
        <v>OK</v>
      </c>
      <c r="P155" s="71" t="str">
        <f t="shared" si="48"/>
        <v>OK</v>
      </c>
      <c r="Q155" s="71" t="str">
        <f t="shared" si="48"/>
        <v>OK</v>
      </c>
      <c r="R155" s="71" t="str">
        <f t="shared" si="48"/>
        <v>OK</v>
      </c>
      <c r="S155" s="71" t="str">
        <f t="shared" si="48"/>
        <v>OK</v>
      </c>
      <c r="T155" s="71" t="str">
        <f t="shared" si="48"/>
        <v>OK</v>
      </c>
      <c r="U155" s="71" t="str">
        <f t="shared" si="48"/>
        <v>OK</v>
      </c>
      <c r="V155" s="71" t="str">
        <f t="shared" si="48"/>
        <v>OK</v>
      </c>
      <c r="W155" s="71" t="str">
        <f t="shared" si="48"/>
        <v>OK</v>
      </c>
      <c r="X155" s="71" t="str">
        <f t="shared" si="48"/>
        <v>OK</v>
      </c>
    </row>
    <row r="156" spans="1:24" outlineLevel="2">
      <c r="A156" s="294" t="s">
        <v>273</v>
      </c>
      <c r="B156" s="295"/>
      <c r="C156" s="295"/>
      <c r="D156" s="296"/>
      <c r="E156" s="76" t="s">
        <v>274</v>
      </c>
      <c r="F156" s="67"/>
      <c r="G156" s="68"/>
      <c r="H156" s="68"/>
      <c r="I156" s="69"/>
      <c r="J156" s="70" t="str">
        <f t="shared" ref="J156:X156" si="49">IF(J31&gt;=J32,"OK","BŁĄD")</f>
        <v>OK</v>
      </c>
      <c r="K156" s="70"/>
      <c r="L156" s="70"/>
      <c r="M156" s="71" t="str">
        <f t="shared" si="49"/>
        <v>OK</v>
      </c>
      <c r="N156" s="71" t="str">
        <f t="shared" si="49"/>
        <v>OK</v>
      </c>
      <c r="O156" s="71" t="str">
        <f t="shared" si="49"/>
        <v>OK</v>
      </c>
      <c r="P156" s="71" t="str">
        <f t="shared" si="49"/>
        <v>OK</v>
      </c>
      <c r="Q156" s="71" t="str">
        <f t="shared" si="49"/>
        <v>OK</v>
      </c>
      <c r="R156" s="71" t="str">
        <f t="shared" si="49"/>
        <v>OK</v>
      </c>
      <c r="S156" s="71" t="str">
        <f t="shared" si="49"/>
        <v>OK</v>
      </c>
      <c r="T156" s="71" t="str">
        <f t="shared" si="49"/>
        <v>OK</v>
      </c>
      <c r="U156" s="71" t="str">
        <f t="shared" si="49"/>
        <v>OK</v>
      </c>
      <c r="V156" s="71" t="str">
        <f t="shared" si="49"/>
        <v>OK</v>
      </c>
      <c r="W156" s="71" t="str">
        <f t="shared" si="49"/>
        <v>OK</v>
      </c>
      <c r="X156" s="71" t="str">
        <f t="shared" si="49"/>
        <v>OK</v>
      </c>
    </row>
    <row r="157" spans="1:24" outlineLevel="2">
      <c r="A157" s="294" t="s">
        <v>275</v>
      </c>
      <c r="B157" s="295"/>
      <c r="C157" s="295"/>
      <c r="D157" s="296"/>
      <c r="E157" s="76" t="s">
        <v>276</v>
      </c>
      <c r="F157" s="67"/>
      <c r="G157" s="68"/>
      <c r="H157" s="68"/>
      <c r="I157" s="69"/>
      <c r="J157" s="70" t="str">
        <f t="shared" ref="J157:X157" si="50">IF(J33&gt;=J34,"OK","BŁĄD")</f>
        <v>OK</v>
      </c>
      <c r="K157" s="70"/>
      <c r="L157" s="70"/>
      <c r="M157" s="71" t="str">
        <f t="shared" si="50"/>
        <v>OK</v>
      </c>
      <c r="N157" s="71" t="str">
        <f t="shared" si="50"/>
        <v>OK</v>
      </c>
      <c r="O157" s="71" t="str">
        <f t="shared" si="50"/>
        <v>OK</v>
      </c>
      <c r="P157" s="71" t="str">
        <f t="shared" si="50"/>
        <v>OK</v>
      </c>
      <c r="Q157" s="71" t="str">
        <f t="shared" si="50"/>
        <v>OK</v>
      </c>
      <c r="R157" s="71" t="str">
        <f t="shared" si="50"/>
        <v>OK</v>
      </c>
      <c r="S157" s="71" t="str">
        <f t="shared" si="50"/>
        <v>OK</v>
      </c>
      <c r="T157" s="71" t="str">
        <f t="shared" si="50"/>
        <v>OK</v>
      </c>
      <c r="U157" s="71" t="str">
        <f t="shared" si="50"/>
        <v>OK</v>
      </c>
      <c r="V157" s="71" t="str">
        <f t="shared" si="50"/>
        <v>OK</v>
      </c>
      <c r="W157" s="71" t="str">
        <f t="shared" si="50"/>
        <v>OK</v>
      </c>
      <c r="X157" s="71" t="str">
        <f t="shared" si="50"/>
        <v>OK</v>
      </c>
    </row>
    <row r="158" spans="1:24" outlineLevel="2">
      <c r="A158" s="294" t="s">
        <v>277</v>
      </c>
      <c r="B158" s="295"/>
      <c r="C158" s="295"/>
      <c r="D158" s="296"/>
      <c r="E158" s="76" t="s">
        <v>278</v>
      </c>
      <c r="F158" s="67"/>
      <c r="G158" s="68"/>
      <c r="H158" s="68"/>
      <c r="I158" s="69"/>
      <c r="J158" s="70" t="str">
        <f t="shared" ref="J158:X159" si="51">IF(J36&gt;=J37,"OK","BŁĄD")</f>
        <v>OK</v>
      </c>
      <c r="K158" s="70"/>
      <c r="L158" s="70"/>
      <c r="M158" s="71" t="str">
        <f t="shared" si="51"/>
        <v>OK</v>
      </c>
      <c r="N158" s="71" t="str">
        <f t="shared" si="51"/>
        <v>OK</v>
      </c>
      <c r="O158" s="71" t="str">
        <f t="shared" si="51"/>
        <v>OK</v>
      </c>
      <c r="P158" s="71" t="str">
        <f t="shared" si="51"/>
        <v>OK</v>
      </c>
      <c r="Q158" s="71" t="str">
        <f t="shared" si="51"/>
        <v>OK</v>
      </c>
      <c r="R158" s="71" t="str">
        <f t="shared" si="51"/>
        <v>OK</v>
      </c>
      <c r="S158" s="71" t="str">
        <f t="shared" si="51"/>
        <v>OK</v>
      </c>
      <c r="T158" s="71" t="str">
        <f t="shared" si="51"/>
        <v>OK</v>
      </c>
      <c r="U158" s="71" t="str">
        <f t="shared" si="51"/>
        <v>OK</v>
      </c>
      <c r="V158" s="71" t="str">
        <f t="shared" si="51"/>
        <v>OK</v>
      </c>
      <c r="W158" s="71" t="str">
        <f t="shared" si="51"/>
        <v>OK</v>
      </c>
      <c r="X158" s="71" t="str">
        <f t="shared" si="51"/>
        <v>OK</v>
      </c>
    </row>
    <row r="159" spans="1:24" outlineLevel="2">
      <c r="A159" s="294" t="s">
        <v>279</v>
      </c>
      <c r="B159" s="295"/>
      <c r="C159" s="295"/>
      <c r="D159" s="296"/>
      <c r="E159" s="76" t="s">
        <v>280</v>
      </c>
      <c r="F159" s="67"/>
      <c r="G159" s="68"/>
      <c r="H159" s="68"/>
      <c r="I159" s="69"/>
      <c r="J159" s="70" t="str">
        <f t="shared" si="51"/>
        <v>OK</v>
      </c>
      <c r="K159" s="70"/>
      <c r="L159" s="70"/>
      <c r="M159" s="71" t="str">
        <f t="shared" si="51"/>
        <v>OK</v>
      </c>
      <c r="N159" s="71" t="str">
        <f t="shared" si="51"/>
        <v>OK</v>
      </c>
      <c r="O159" s="71" t="str">
        <f t="shared" si="51"/>
        <v>OK</v>
      </c>
      <c r="P159" s="71" t="str">
        <f t="shared" si="51"/>
        <v>OK</v>
      </c>
      <c r="Q159" s="71" t="str">
        <f t="shared" si="51"/>
        <v>OK</v>
      </c>
      <c r="R159" s="71" t="str">
        <f t="shared" si="51"/>
        <v>OK</v>
      </c>
      <c r="S159" s="71" t="str">
        <f t="shared" si="51"/>
        <v>OK</v>
      </c>
      <c r="T159" s="71" t="str">
        <f t="shared" si="51"/>
        <v>OK</v>
      </c>
      <c r="U159" s="71" t="str">
        <f t="shared" si="51"/>
        <v>OK</v>
      </c>
      <c r="V159" s="71" t="str">
        <f t="shared" si="51"/>
        <v>OK</v>
      </c>
      <c r="W159" s="71" t="str">
        <f t="shared" si="51"/>
        <v>OK</v>
      </c>
      <c r="X159" s="71" t="str">
        <f t="shared" si="51"/>
        <v>OK</v>
      </c>
    </row>
    <row r="160" spans="1:24" outlineLevel="2">
      <c r="A160" s="294" t="s">
        <v>281</v>
      </c>
      <c r="B160" s="295"/>
      <c r="C160" s="295"/>
      <c r="D160" s="296"/>
      <c r="E160" s="76" t="s">
        <v>282</v>
      </c>
      <c r="F160" s="67"/>
      <c r="G160" s="68"/>
      <c r="H160" s="68"/>
      <c r="I160" s="69"/>
      <c r="J160" s="70" t="str">
        <f t="shared" ref="J160:X160" si="52">IF(J36&gt;=J62,"OK","BŁĄD")</f>
        <v>OK</v>
      </c>
      <c r="K160" s="70"/>
      <c r="L160" s="70"/>
      <c r="M160" s="71" t="str">
        <f t="shared" si="52"/>
        <v>OK</v>
      </c>
      <c r="N160" s="71" t="str">
        <f t="shared" si="52"/>
        <v>OK</v>
      </c>
      <c r="O160" s="71" t="str">
        <f t="shared" si="52"/>
        <v>OK</v>
      </c>
      <c r="P160" s="71" t="str">
        <f t="shared" si="52"/>
        <v>OK</v>
      </c>
      <c r="Q160" s="71" t="str">
        <f t="shared" si="52"/>
        <v>OK</v>
      </c>
      <c r="R160" s="71" t="str">
        <f t="shared" si="52"/>
        <v>OK</v>
      </c>
      <c r="S160" s="71" t="str">
        <f t="shared" si="52"/>
        <v>OK</v>
      </c>
      <c r="T160" s="71" t="str">
        <f t="shared" si="52"/>
        <v>OK</v>
      </c>
      <c r="U160" s="71" t="str">
        <f t="shared" si="52"/>
        <v>OK</v>
      </c>
      <c r="V160" s="71" t="str">
        <f t="shared" si="52"/>
        <v>OK</v>
      </c>
      <c r="W160" s="71" t="str">
        <f t="shared" si="52"/>
        <v>OK</v>
      </c>
      <c r="X160" s="71" t="str">
        <f t="shared" si="52"/>
        <v>OK</v>
      </c>
    </row>
    <row r="161" spans="1:24" outlineLevel="2">
      <c r="A161" s="294" t="s">
        <v>283</v>
      </c>
      <c r="B161" s="295"/>
      <c r="C161" s="295"/>
      <c r="D161" s="296"/>
      <c r="E161" s="76" t="s">
        <v>284</v>
      </c>
      <c r="F161" s="67"/>
      <c r="G161" s="68"/>
      <c r="H161" s="68"/>
      <c r="I161" s="69"/>
      <c r="J161" s="70" t="str">
        <f t="shared" ref="J161:X161" si="53">IF(J36&gt;=J94,"OK","BŁĄD")</f>
        <v>OK</v>
      </c>
      <c r="K161" s="70"/>
      <c r="L161" s="70"/>
      <c r="M161" s="71" t="str">
        <f t="shared" si="53"/>
        <v>OK</v>
      </c>
      <c r="N161" s="71" t="str">
        <f t="shared" si="53"/>
        <v>OK</v>
      </c>
      <c r="O161" s="71" t="str">
        <f t="shared" si="53"/>
        <v>OK</v>
      </c>
      <c r="P161" s="71" t="str">
        <f t="shared" si="53"/>
        <v>OK</v>
      </c>
      <c r="Q161" s="71" t="str">
        <f t="shared" si="53"/>
        <v>OK</v>
      </c>
      <c r="R161" s="71" t="str">
        <f t="shared" si="53"/>
        <v>OK</v>
      </c>
      <c r="S161" s="71" t="str">
        <f t="shared" si="53"/>
        <v>OK</v>
      </c>
      <c r="T161" s="71" t="str">
        <f t="shared" si="53"/>
        <v>OK</v>
      </c>
      <c r="U161" s="71" t="str">
        <f t="shared" si="53"/>
        <v>OK</v>
      </c>
      <c r="V161" s="71" t="str">
        <f t="shared" si="53"/>
        <v>OK</v>
      </c>
      <c r="W161" s="71" t="str">
        <f t="shared" si="53"/>
        <v>OK</v>
      </c>
      <c r="X161" s="71" t="str">
        <f t="shared" si="53"/>
        <v>OK</v>
      </c>
    </row>
    <row r="162" spans="1:24" outlineLevel="2">
      <c r="A162" s="294" t="s">
        <v>285</v>
      </c>
      <c r="B162" s="295"/>
      <c r="C162" s="295"/>
      <c r="D162" s="296"/>
      <c r="E162" s="76" t="s">
        <v>286</v>
      </c>
      <c r="F162" s="67"/>
      <c r="G162" s="68"/>
      <c r="H162" s="68"/>
      <c r="I162" s="69"/>
      <c r="J162" s="70" t="str">
        <f t="shared" ref="J162:X162" si="54">IF(J40&gt;=J41,"OK","BŁĄD")</f>
        <v>OK</v>
      </c>
      <c r="K162" s="70"/>
      <c r="L162" s="70"/>
      <c r="M162" s="71" t="str">
        <f t="shared" si="54"/>
        <v>OK</v>
      </c>
      <c r="N162" s="71" t="str">
        <f t="shared" si="54"/>
        <v>OK</v>
      </c>
      <c r="O162" s="71" t="str">
        <f t="shared" si="54"/>
        <v>OK</v>
      </c>
      <c r="P162" s="71" t="str">
        <f t="shared" si="54"/>
        <v>OK</v>
      </c>
      <c r="Q162" s="71" t="str">
        <f t="shared" si="54"/>
        <v>OK</v>
      </c>
      <c r="R162" s="71" t="str">
        <f t="shared" si="54"/>
        <v>OK</v>
      </c>
      <c r="S162" s="71" t="str">
        <f t="shared" si="54"/>
        <v>OK</v>
      </c>
      <c r="T162" s="71" t="str">
        <f t="shared" si="54"/>
        <v>OK</v>
      </c>
      <c r="U162" s="71" t="str">
        <f t="shared" si="54"/>
        <v>OK</v>
      </c>
      <c r="V162" s="71" t="str">
        <f t="shared" si="54"/>
        <v>OK</v>
      </c>
      <c r="W162" s="71" t="str">
        <f t="shared" si="54"/>
        <v>OK</v>
      </c>
      <c r="X162" s="71" t="str">
        <f t="shared" si="54"/>
        <v>OK</v>
      </c>
    </row>
    <row r="163" spans="1:24" outlineLevel="2">
      <c r="A163" s="294" t="s">
        <v>287</v>
      </c>
      <c r="B163" s="295"/>
      <c r="C163" s="295"/>
      <c r="D163" s="296"/>
      <c r="E163" s="76" t="s">
        <v>288</v>
      </c>
      <c r="F163" s="67"/>
      <c r="G163" s="68"/>
      <c r="H163" s="68"/>
      <c r="I163" s="69"/>
      <c r="J163" s="70" t="str">
        <f t="shared" ref="J163:X163" si="55">IF(J40&gt;=J45,"OK","BŁĄD")</f>
        <v>OK</v>
      </c>
      <c r="K163" s="70"/>
      <c r="L163" s="70"/>
      <c r="M163" s="71" t="str">
        <f t="shared" si="55"/>
        <v>OK</v>
      </c>
      <c r="N163" s="71" t="str">
        <f t="shared" si="55"/>
        <v>OK</v>
      </c>
      <c r="O163" s="71" t="str">
        <f t="shared" si="55"/>
        <v>OK</v>
      </c>
      <c r="P163" s="71" t="str">
        <f t="shared" si="55"/>
        <v>OK</v>
      </c>
      <c r="Q163" s="71" t="str">
        <f t="shared" si="55"/>
        <v>OK</v>
      </c>
      <c r="R163" s="71" t="str">
        <f t="shared" si="55"/>
        <v>OK</v>
      </c>
      <c r="S163" s="71" t="str">
        <f t="shared" si="55"/>
        <v>OK</v>
      </c>
      <c r="T163" s="71" t="str">
        <f t="shared" si="55"/>
        <v>OK</v>
      </c>
      <c r="U163" s="71" t="str">
        <f t="shared" si="55"/>
        <v>OK</v>
      </c>
      <c r="V163" s="71" t="str">
        <f t="shared" si="55"/>
        <v>OK</v>
      </c>
      <c r="W163" s="71" t="str">
        <f t="shared" si="55"/>
        <v>OK</v>
      </c>
      <c r="X163" s="71" t="str">
        <f t="shared" si="55"/>
        <v>OK</v>
      </c>
    </row>
    <row r="164" spans="1:24" outlineLevel="2">
      <c r="A164" s="294" t="s">
        <v>289</v>
      </c>
      <c r="B164" s="295"/>
      <c r="C164" s="295"/>
      <c r="D164" s="296"/>
      <c r="E164" s="76" t="s">
        <v>290</v>
      </c>
      <c r="F164" s="67"/>
      <c r="G164" s="68"/>
      <c r="H164" s="68"/>
      <c r="I164" s="69"/>
      <c r="J164" s="70" t="str">
        <f t="shared" ref="J164:X164" si="56">IF(J40&gt;=J95,"OK","BŁĄD")</f>
        <v>OK</v>
      </c>
      <c r="K164" s="70"/>
      <c r="L164" s="70"/>
      <c r="M164" s="71" t="str">
        <f t="shared" si="56"/>
        <v>OK</v>
      </c>
      <c r="N164" s="71" t="str">
        <f t="shared" si="56"/>
        <v>OK</v>
      </c>
      <c r="O164" s="71" t="str">
        <f t="shared" si="56"/>
        <v>OK</v>
      </c>
      <c r="P164" s="71" t="str">
        <f t="shared" si="56"/>
        <v>OK</v>
      </c>
      <c r="Q164" s="71" t="str">
        <f t="shared" si="56"/>
        <v>OK</v>
      </c>
      <c r="R164" s="71" t="str">
        <f t="shared" si="56"/>
        <v>OK</v>
      </c>
      <c r="S164" s="71" t="str">
        <f t="shared" si="56"/>
        <v>OK</v>
      </c>
      <c r="T164" s="71" t="str">
        <f t="shared" si="56"/>
        <v>OK</v>
      </c>
      <c r="U164" s="71" t="str">
        <f t="shared" si="56"/>
        <v>OK</v>
      </c>
      <c r="V164" s="71" t="str">
        <f t="shared" si="56"/>
        <v>OK</v>
      </c>
      <c r="W164" s="71" t="str">
        <f t="shared" si="56"/>
        <v>OK</v>
      </c>
      <c r="X164" s="71" t="str">
        <f t="shared" si="56"/>
        <v>OK</v>
      </c>
    </row>
    <row r="165" spans="1:24" outlineLevel="2">
      <c r="A165" s="294" t="s">
        <v>291</v>
      </c>
      <c r="B165" s="295"/>
      <c r="C165" s="295"/>
      <c r="D165" s="296"/>
      <c r="E165" s="76" t="s">
        <v>292</v>
      </c>
      <c r="F165" s="67"/>
      <c r="G165" s="68"/>
      <c r="H165" s="68"/>
      <c r="I165" s="69"/>
      <c r="J165" s="70" t="str">
        <f t="shared" ref="J165:X165" si="57">+IF(J41&gt;=J42,"OK","BŁĄD")</f>
        <v>OK</v>
      </c>
      <c r="K165" s="70"/>
      <c r="L165" s="70"/>
      <c r="M165" s="71" t="str">
        <f t="shared" si="57"/>
        <v>OK</v>
      </c>
      <c r="N165" s="71" t="str">
        <f t="shared" si="57"/>
        <v>OK</v>
      </c>
      <c r="O165" s="71" t="str">
        <f t="shared" si="57"/>
        <v>OK</v>
      </c>
      <c r="P165" s="71" t="str">
        <f t="shared" si="57"/>
        <v>OK</v>
      </c>
      <c r="Q165" s="71" t="str">
        <f t="shared" si="57"/>
        <v>OK</v>
      </c>
      <c r="R165" s="71" t="str">
        <f t="shared" si="57"/>
        <v>OK</v>
      </c>
      <c r="S165" s="71" t="str">
        <f t="shared" si="57"/>
        <v>OK</v>
      </c>
      <c r="T165" s="71" t="str">
        <f t="shared" si="57"/>
        <v>OK</v>
      </c>
      <c r="U165" s="71" t="str">
        <f t="shared" si="57"/>
        <v>OK</v>
      </c>
      <c r="V165" s="71" t="str">
        <f t="shared" si="57"/>
        <v>OK</v>
      </c>
      <c r="W165" s="71" t="str">
        <f t="shared" si="57"/>
        <v>OK</v>
      </c>
      <c r="X165" s="71" t="str">
        <f t="shared" si="57"/>
        <v>OK</v>
      </c>
    </row>
    <row r="166" spans="1:24" outlineLevel="2">
      <c r="A166" s="294" t="s">
        <v>293</v>
      </c>
      <c r="B166" s="295"/>
      <c r="C166" s="295"/>
      <c r="D166" s="296"/>
      <c r="E166" s="76" t="s">
        <v>294</v>
      </c>
      <c r="F166" s="67"/>
      <c r="G166" s="68"/>
      <c r="H166" s="68"/>
      <c r="I166" s="69"/>
      <c r="J166" s="70" t="str">
        <f t="shared" ref="J166:X166" si="58">IF(J45&gt;=J86,"OK","BŁĄD")</f>
        <v>OK</v>
      </c>
      <c r="K166" s="70"/>
      <c r="L166" s="70"/>
      <c r="M166" s="71" t="str">
        <f t="shared" si="58"/>
        <v>OK</v>
      </c>
      <c r="N166" s="71" t="str">
        <f t="shared" si="58"/>
        <v>OK</v>
      </c>
      <c r="O166" s="71" t="str">
        <f t="shared" si="58"/>
        <v>OK</v>
      </c>
      <c r="P166" s="71" t="str">
        <f t="shared" si="58"/>
        <v>OK</v>
      </c>
      <c r="Q166" s="71" t="str">
        <f t="shared" si="58"/>
        <v>OK</v>
      </c>
      <c r="R166" s="71" t="str">
        <f t="shared" si="58"/>
        <v>OK</v>
      </c>
      <c r="S166" s="71" t="str">
        <f t="shared" si="58"/>
        <v>OK</v>
      </c>
      <c r="T166" s="71" t="str">
        <f t="shared" si="58"/>
        <v>OK</v>
      </c>
      <c r="U166" s="71" t="str">
        <f t="shared" si="58"/>
        <v>OK</v>
      </c>
      <c r="V166" s="71" t="str">
        <f t="shared" si="58"/>
        <v>OK</v>
      </c>
      <c r="W166" s="71" t="str">
        <f t="shared" si="58"/>
        <v>OK</v>
      </c>
      <c r="X166" s="71" t="str">
        <f t="shared" si="58"/>
        <v>OK</v>
      </c>
    </row>
    <row r="167" spans="1:24" outlineLevel="2">
      <c r="A167" s="297" t="s">
        <v>295</v>
      </c>
      <c r="B167" s="298"/>
      <c r="C167" s="298"/>
      <c r="D167" s="299"/>
      <c r="E167" s="79" t="s">
        <v>296</v>
      </c>
      <c r="F167" s="80"/>
      <c r="G167" s="81"/>
      <c r="H167" s="81"/>
      <c r="I167" s="82"/>
      <c r="J167" s="83" t="str">
        <f t="shared" ref="J167:X167" si="59">IF(J22&lt;&gt;0,IF(J23&lt;&gt;0,"OK","BŁĄD"),"N/D")</f>
        <v>OK</v>
      </c>
      <c r="K167" s="83"/>
      <c r="L167" s="83"/>
      <c r="M167" s="84" t="str">
        <f t="shared" si="59"/>
        <v>OK</v>
      </c>
      <c r="N167" s="84" t="str">
        <f t="shared" si="59"/>
        <v>OK</v>
      </c>
      <c r="O167" s="84" t="str">
        <f t="shared" si="59"/>
        <v>OK</v>
      </c>
      <c r="P167" s="84" t="str">
        <f t="shared" si="59"/>
        <v>OK</v>
      </c>
      <c r="Q167" s="84" t="str">
        <f t="shared" si="59"/>
        <v>OK</v>
      </c>
      <c r="R167" s="84" t="str">
        <f t="shared" si="59"/>
        <v>OK</v>
      </c>
      <c r="S167" s="84" t="str">
        <f t="shared" si="59"/>
        <v>OK</v>
      </c>
      <c r="T167" s="84" t="str">
        <f t="shared" si="59"/>
        <v>OK</v>
      </c>
      <c r="U167" s="84" t="str">
        <f t="shared" si="59"/>
        <v>OK</v>
      </c>
      <c r="V167" s="84" t="str">
        <f t="shared" si="59"/>
        <v>OK</v>
      </c>
      <c r="W167" s="84" t="str">
        <f t="shared" si="59"/>
        <v>OK</v>
      </c>
      <c r="X167" s="84" t="str">
        <f t="shared" si="59"/>
        <v>OK</v>
      </c>
    </row>
    <row r="168" spans="1:24" outlineLevel="2">
      <c r="A168" s="85"/>
      <c r="B168" s="85"/>
      <c r="C168" s="85"/>
      <c r="D168" s="85"/>
      <c r="E168" s="85"/>
      <c r="F168" s="86"/>
      <c r="G168" s="86"/>
      <c r="H168" s="86"/>
      <c r="I168" s="86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  <c r="W168" s="87"/>
      <c r="X168" s="87"/>
    </row>
    <row r="169" spans="1:24" outlineLevel="1">
      <c r="A169" s="85"/>
      <c r="B169" s="85"/>
      <c r="C169" s="85"/>
      <c r="D169" s="85"/>
      <c r="E169" s="59" t="s">
        <v>297</v>
      </c>
      <c r="F169" s="86"/>
      <c r="G169" s="86"/>
      <c r="H169" s="86"/>
      <c r="I169" s="86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  <c r="W169" s="87"/>
      <c r="X169" s="87"/>
    </row>
    <row r="170" spans="1:24" ht="15" outlineLevel="2">
      <c r="A170" s="88"/>
      <c r="B170" s="88"/>
      <c r="C170" s="88"/>
      <c r="D170" s="88"/>
      <c r="E170" s="89" t="s">
        <v>298</v>
      </c>
      <c r="F170" s="90">
        <f t="shared" ref="F170:X170" si="60">F7+F14</f>
        <v>43547520.879999995</v>
      </c>
      <c r="G170" s="91">
        <f t="shared" si="60"/>
        <v>43678117.659999996</v>
      </c>
      <c r="H170" s="91">
        <f t="shared" si="60"/>
        <v>56684709.060000002</v>
      </c>
      <c r="I170" s="92">
        <f t="shared" si="60"/>
        <v>57149784.269999996</v>
      </c>
      <c r="J170" s="93">
        <f t="shared" si="60"/>
        <v>50218292.149999999</v>
      </c>
      <c r="K170" s="93"/>
      <c r="L170" s="93"/>
      <c r="M170" s="94">
        <f t="shared" si="60"/>
        <v>49149369</v>
      </c>
      <c r="N170" s="94">
        <f t="shared" si="60"/>
        <v>47528749</v>
      </c>
      <c r="O170" s="94">
        <f t="shared" si="60"/>
        <v>49361094</v>
      </c>
      <c r="P170" s="94">
        <f t="shared" si="60"/>
        <v>50316773</v>
      </c>
      <c r="Q170" s="94">
        <f t="shared" si="60"/>
        <v>50800240</v>
      </c>
      <c r="R170" s="94">
        <f t="shared" si="60"/>
        <v>52344204</v>
      </c>
      <c r="S170" s="94">
        <f t="shared" si="60"/>
        <v>53952760</v>
      </c>
      <c r="T170" s="94">
        <f t="shared" si="60"/>
        <v>55628819</v>
      </c>
      <c r="U170" s="94">
        <f t="shared" si="60"/>
        <v>57340713</v>
      </c>
      <c r="V170" s="94">
        <f t="shared" si="60"/>
        <v>59132417</v>
      </c>
      <c r="W170" s="94">
        <f t="shared" si="60"/>
        <v>60439559</v>
      </c>
      <c r="X170" s="94">
        <f t="shared" si="60"/>
        <v>61776769</v>
      </c>
    </row>
    <row r="171" spans="1:24" ht="15" outlineLevel="2">
      <c r="A171" s="88"/>
      <c r="B171" s="88"/>
      <c r="C171" s="88"/>
      <c r="D171" s="88"/>
      <c r="E171" s="95" t="s">
        <v>299</v>
      </c>
      <c r="F171" s="96">
        <f t="shared" ref="F171:X171" si="61">F18+F24</f>
        <v>43246893.200000003</v>
      </c>
      <c r="G171" s="97">
        <f t="shared" si="61"/>
        <v>44225485.790000007</v>
      </c>
      <c r="H171" s="97">
        <f t="shared" si="61"/>
        <v>60442357</v>
      </c>
      <c r="I171" s="98">
        <f t="shared" si="61"/>
        <v>57174534.859999999</v>
      </c>
      <c r="J171" s="99">
        <f t="shared" si="61"/>
        <v>58251598.149999999</v>
      </c>
      <c r="K171" s="99"/>
      <c r="L171" s="99"/>
      <c r="M171" s="100">
        <f t="shared" si="61"/>
        <v>47382369</v>
      </c>
      <c r="N171" s="100">
        <f t="shared" si="61"/>
        <v>45864749</v>
      </c>
      <c r="O171" s="100">
        <f t="shared" si="61"/>
        <v>47697094</v>
      </c>
      <c r="P171" s="100">
        <f t="shared" si="61"/>
        <v>48702773</v>
      </c>
      <c r="Q171" s="100">
        <f t="shared" si="61"/>
        <v>49186240</v>
      </c>
      <c r="R171" s="100">
        <f t="shared" si="61"/>
        <v>50730204</v>
      </c>
      <c r="S171" s="100">
        <f t="shared" si="61"/>
        <v>53070760</v>
      </c>
      <c r="T171" s="100">
        <f t="shared" si="61"/>
        <v>54746819</v>
      </c>
      <c r="U171" s="100">
        <f t="shared" si="61"/>
        <v>56464179</v>
      </c>
      <c r="V171" s="100">
        <f t="shared" si="61"/>
        <v>58298880</v>
      </c>
      <c r="W171" s="100">
        <f t="shared" si="61"/>
        <v>60019559</v>
      </c>
      <c r="X171" s="100">
        <f t="shared" si="61"/>
        <v>61362442.93</v>
      </c>
    </row>
    <row r="172" spans="1:24" ht="15" outlineLevel="2">
      <c r="A172" s="88"/>
      <c r="B172" s="88"/>
      <c r="C172" s="88"/>
      <c r="D172" s="88"/>
      <c r="E172" s="95" t="s">
        <v>300</v>
      </c>
      <c r="F172" s="96">
        <f t="shared" ref="F172:X172" si="62">F6-F17</f>
        <v>300627.6799999997</v>
      </c>
      <c r="G172" s="97">
        <f t="shared" si="62"/>
        <v>-547368.13000000268</v>
      </c>
      <c r="H172" s="97">
        <f t="shared" si="62"/>
        <v>-3757647.9399999976</v>
      </c>
      <c r="I172" s="98">
        <f t="shared" si="62"/>
        <v>-24750.589999996126</v>
      </c>
      <c r="J172" s="99">
        <f t="shared" si="62"/>
        <v>-8033306</v>
      </c>
      <c r="K172" s="99"/>
      <c r="L172" s="99"/>
      <c r="M172" s="100">
        <f t="shared" si="62"/>
        <v>1767000</v>
      </c>
      <c r="N172" s="100">
        <f t="shared" si="62"/>
        <v>1664000</v>
      </c>
      <c r="O172" s="100">
        <f t="shared" si="62"/>
        <v>1664000</v>
      </c>
      <c r="P172" s="100">
        <f t="shared" si="62"/>
        <v>1614000</v>
      </c>
      <c r="Q172" s="100">
        <f t="shared" si="62"/>
        <v>1614000</v>
      </c>
      <c r="R172" s="100">
        <f t="shared" si="62"/>
        <v>1614000</v>
      </c>
      <c r="S172" s="100">
        <f t="shared" si="62"/>
        <v>882000</v>
      </c>
      <c r="T172" s="100">
        <f t="shared" si="62"/>
        <v>882000</v>
      </c>
      <c r="U172" s="100">
        <f t="shared" si="62"/>
        <v>876534</v>
      </c>
      <c r="V172" s="100">
        <f t="shared" si="62"/>
        <v>833537</v>
      </c>
      <c r="W172" s="100">
        <f t="shared" si="62"/>
        <v>420000</v>
      </c>
      <c r="X172" s="100">
        <f t="shared" si="62"/>
        <v>414326.0700000003</v>
      </c>
    </row>
    <row r="173" spans="1:24" ht="15" outlineLevel="2">
      <c r="A173" s="88"/>
      <c r="B173" s="88"/>
      <c r="C173" s="88"/>
      <c r="D173" s="88"/>
      <c r="E173" s="101" t="s">
        <v>301</v>
      </c>
      <c r="F173" s="96">
        <f t="shared" ref="F173:X173" si="63">E40+F31-F36+(F45-E45)+(F95-E95)+F100</f>
        <v>-1439112</v>
      </c>
      <c r="G173" s="97">
        <f t="shared" si="63"/>
        <v>6724582.8499999996</v>
      </c>
      <c r="H173" s="97">
        <f t="shared" si="63"/>
        <v>9901509.7899999991</v>
      </c>
      <c r="I173" s="98">
        <f t="shared" si="63"/>
        <v>12293739.009999998</v>
      </c>
      <c r="J173" s="99">
        <f t="shared" si="63"/>
        <v>14245397.07</v>
      </c>
      <c r="K173" s="99"/>
      <c r="L173" s="99"/>
      <c r="M173" s="100">
        <f>J40+M31-M36+(M45-J45)+(M95-J95)+M100</f>
        <v>12478397.07</v>
      </c>
      <c r="N173" s="100">
        <f t="shared" si="63"/>
        <v>10814397.07</v>
      </c>
      <c r="O173" s="100">
        <f t="shared" si="63"/>
        <v>9150397.0700000003</v>
      </c>
      <c r="P173" s="100">
        <f t="shared" si="63"/>
        <v>7536397.0700000003</v>
      </c>
      <c r="Q173" s="100">
        <f t="shared" si="63"/>
        <v>5922397.0700000003</v>
      </c>
      <c r="R173" s="100">
        <f t="shared" si="63"/>
        <v>4308397.07</v>
      </c>
      <c r="S173" s="100">
        <f t="shared" si="63"/>
        <v>3426397.0700000003</v>
      </c>
      <c r="T173" s="100">
        <f t="shared" si="63"/>
        <v>2544397.0699999998</v>
      </c>
      <c r="U173" s="100">
        <f t="shared" si="63"/>
        <v>1667863.0699999998</v>
      </c>
      <c r="V173" s="100">
        <f t="shared" si="63"/>
        <v>834326.07000000007</v>
      </c>
      <c r="W173" s="100">
        <f t="shared" si="63"/>
        <v>414326.06999999995</v>
      </c>
      <c r="X173" s="100">
        <f t="shared" si="63"/>
        <v>0</v>
      </c>
    </row>
    <row r="174" spans="1:24" ht="24" outlineLevel="2">
      <c r="A174" s="88"/>
      <c r="B174" s="88"/>
      <c r="C174" s="88"/>
      <c r="D174" s="88"/>
      <c r="E174" s="102" t="s">
        <v>302</v>
      </c>
      <c r="F174" s="103" t="s">
        <v>37</v>
      </c>
      <c r="G174" s="104">
        <f>F86-(G88+G89+G90+G91)</f>
        <v>0</v>
      </c>
      <c r="H174" s="104">
        <f t="shared" ref="H174:X174" si="64">G86-(H88+H89+H90+H91)</f>
        <v>0</v>
      </c>
      <c r="I174" s="105">
        <f t="shared" si="64"/>
        <v>0</v>
      </c>
      <c r="J174" s="106">
        <f t="shared" si="64"/>
        <v>0</v>
      </c>
      <c r="K174" s="106"/>
      <c r="L174" s="106"/>
      <c r="M174" s="107">
        <f>J86-(M88+M89+M90+M91)</f>
        <v>0</v>
      </c>
      <c r="N174" s="107">
        <f t="shared" si="64"/>
        <v>0</v>
      </c>
      <c r="O174" s="107">
        <f t="shared" si="64"/>
        <v>0</v>
      </c>
      <c r="P174" s="107">
        <f t="shared" si="64"/>
        <v>0</v>
      </c>
      <c r="Q174" s="107">
        <f t="shared" si="64"/>
        <v>0</v>
      </c>
      <c r="R174" s="107">
        <f t="shared" si="64"/>
        <v>0</v>
      </c>
      <c r="S174" s="107">
        <f t="shared" si="64"/>
        <v>0</v>
      </c>
      <c r="T174" s="107">
        <f t="shared" si="64"/>
        <v>0</v>
      </c>
      <c r="U174" s="107">
        <f t="shared" si="64"/>
        <v>0</v>
      </c>
      <c r="V174" s="107">
        <f t="shared" si="64"/>
        <v>0</v>
      </c>
      <c r="W174" s="107">
        <f t="shared" si="64"/>
        <v>0</v>
      </c>
      <c r="X174" s="107">
        <f t="shared" si="64"/>
        <v>0</v>
      </c>
    </row>
    <row r="175" spans="1:24">
      <c r="F175" s="109"/>
      <c r="G175" s="109"/>
      <c r="H175" s="109"/>
      <c r="I175" s="109"/>
    </row>
    <row r="176" spans="1:24" ht="15.75">
      <c r="E176" s="110" t="s">
        <v>303</v>
      </c>
      <c r="F176" s="111"/>
      <c r="G176" s="111"/>
      <c r="H176" s="111"/>
      <c r="I176" s="111"/>
    </row>
    <row r="177" spans="1:24" outlineLevel="1">
      <c r="E177" s="112" t="s">
        <v>304</v>
      </c>
      <c r="F177" s="113"/>
      <c r="G177" s="113"/>
      <c r="H177" s="113"/>
      <c r="I177" s="113"/>
    </row>
    <row r="178" spans="1:24" outlineLevel="2">
      <c r="E178" s="114">
        <v>0</v>
      </c>
      <c r="F178" s="115" t="str">
        <f>+"różnica mniejsza od "&amp;TEXT(E178*100,"0,0")&amp;"%"</f>
        <v>różnica mniejsza od 0,0%</v>
      </c>
      <c r="G178" s="116"/>
      <c r="H178" s="116"/>
      <c r="I178" s="116"/>
      <c r="J178"/>
      <c r="K178"/>
      <c r="L178"/>
      <c r="M178" s="117"/>
      <c r="N178" s="117"/>
      <c r="O178" s="117"/>
      <c r="P178" s="117"/>
      <c r="Q178" s="117"/>
      <c r="R178" s="117"/>
      <c r="S178" s="117"/>
      <c r="T178" s="117"/>
      <c r="U178" s="117"/>
      <c r="V178" s="117"/>
      <c r="W178" s="117"/>
      <c r="X178" s="117"/>
    </row>
    <row r="179" spans="1:24" outlineLevel="2">
      <c r="E179" s="118">
        <v>5.0000000000000001E-3</v>
      </c>
      <c r="F179" s="115" t="str">
        <f>+"różnica mniejsza od "&amp;TEXT(E179*100,"0,0")&amp;"%"</f>
        <v>różnica mniejsza od 0,5%</v>
      </c>
      <c r="G179" s="116"/>
      <c r="H179" s="116"/>
      <c r="I179" s="116"/>
      <c r="J179"/>
      <c r="K179"/>
      <c r="L179"/>
      <c r="M179" s="117"/>
      <c r="N179" s="117"/>
      <c r="O179" s="117"/>
      <c r="P179" s="117"/>
      <c r="Q179" s="117"/>
      <c r="R179" s="117"/>
      <c r="S179" s="117"/>
      <c r="T179" s="117"/>
      <c r="U179" s="117"/>
      <c r="V179" s="117"/>
      <c r="W179" s="117"/>
      <c r="X179" s="117"/>
    </row>
    <row r="180" spans="1:24" outlineLevel="2">
      <c r="E180" s="119">
        <v>0.01</v>
      </c>
      <c r="F180" s="115" t="str">
        <f>+"różnica mniejsza od "&amp;TEXT(E180*100,"0,0")&amp;"%"</f>
        <v>różnica mniejsza od 1,0%</v>
      </c>
      <c r="G180" s="116"/>
      <c r="H180" s="116"/>
      <c r="I180" s="116"/>
      <c r="J180"/>
      <c r="K180"/>
      <c r="L180"/>
      <c r="M180" s="117"/>
      <c r="N180" s="117"/>
      <c r="O180" s="117"/>
      <c r="P180" s="117"/>
      <c r="Q180" s="117"/>
      <c r="R180" s="117"/>
      <c r="S180" s="117"/>
      <c r="T180" s="117"/>
      <c r="U180" s="117"/>
      <c r="V180" s="117"/>
      <c r="W180" s="117"/>
      <c r="X180" s="117"/>
    </row>
    <row r="181" spans="1:24" outlineLevel="2">
      <c r="E181" s="120" t="s">
        <v>305</v>
      </c>
      <c r="F181" s="121">
        <f t="shared" ref="F181:X181" si="65">+IF(F6=0,"",F57-F52)</f>
        <v>-4.2700000000000002E-2</v>
      </c>
      <c r="G181" s="122">
        <f t="shared" si="65"/>
        <v>-4.1399999999999999E-2</v>
      </c>
      <c r="H181" s="122">
        <f t="shared" si="65"/>
        <v>-3.2599999999999997E-2</v>
      </c>
      <c r="I181" s="123">
        <f t="shared" si="65"/>
        <v>-2.9499999999999998E-2</v>
      </c>
      <c r="J181" s="124">
        <f t="shared" si="65"/>
        <v>3.44E-2</v>
      </c>
      <c r="K181" s="124"/>
      <c r="L181" s="124"/>
      <c r="M181" s="125">
        <f t="shared" si="65"/>
        <v>5.9999999999999984E-3</v>
      </c>
      <c r="N181" s="125">
        <f t="shared" si="65"/>
        <v>2.0800000000000006E-2</v>
      </c>
      <c r="O181" s="125">
        <f t="shared" si="65"/>
        <v>1.5300000000000001E-2</v>
      </c>
      <c r="P181" s="125">
        <f t="shared" si="65"/>
        <v>2.3800000000000002E-2</v>
      </c>
      <c r="Q181" s="125">
        <f t="shared" si="65"/>
        <v>1.7799999999999996E-2</v>
      </c>
      <c r="R181" s="125">
        <f t="shared" si="65"/>
        <v>1.2499999999999997E-2</v>
      </c>
      <c r="S181" s="125">
        <f t="shared" si="65"/>
        <v>1.7699999999999997E-2</v>
      </c>
      <c r="T181" s="125">
        <f t="shared" si="65"/>
        <v>7.2000000000000015E-3</v>
      </c>
      <c r="U181" s="125">
        <f t="shared" si="65"/>
        <v>3.4000000000000002E-3</v>
      </c>
      <c r="V181" s="125">
        <f t="shared" si="65"/>
        <v>2.0000000000000226E-4</v>
      </c>
      <c r="W181" s="125">
        <f t="shared" si="65"/>
        <v>7.3000000000000009E-3</v>
      </c>
      <c r="X181" s="125">
        <f t="shared" si="65"/>
        <v>4.7999999999999996E-3</v>
      </c>
    </row>
    <row r="182" spans="1:24" outlineLevel="2">
      <c r="E182" s="126" t="s">
        <v>306</v>
      </c>
      <c r="F182" s="127">
        <f t="shared" ref="F182:X182" si="66">+IF(F6=0,"",F57-F53)</f>
        <v>-4.2700000000000002E-2</v>
      </c>
      <c r="G182" s="128">
        <f t="shared" si="66"/>
        <v>-4.1399999999999999E-2</v>
      </c>
      <c r="H182" s="128">
        <f t="shared" si="66"/>
        <v>-3.2599999999999997E-2</v>
      </c>
      <c r="I182" s="129">
        <f t="shared" si="66"/>
        <v>-2.9499999999999998E-2</v>
      </c>
      <c r="J182" s="130">
        <f t="shared" si="66"/>
        <v>3.44E-2</v>
      </c>
      <c r="K182" s="130"/>
      <c r="L182" s="130"/>
      <c r="M182" s="131">
        <f t="shared" si="66"/>
        <v>5.9999999999999984E-3</v>
      </c>
      <c r="N182" s="131">
        <f t="shared" si="66"/>
        <v>2.0800000000000006E-2</v>
      </c>
      <c r="O182" s="131">
        <f t="shared" si="66"/>
        <v>1.5300000000000001E-2</v>
      </c>
      <c r="P182" s="131">
        <f t="shared" si="66"/>
        <v>2.3800000000000002E-2</v>
      </c>
      <c r="Q182" s="131">
        <f t="shared" si="66"/>
        <v>1.7799999999999996E-2</v>
      </c>
      <c r="R182" s="131">
        <f t="shared" si="66"/>
        <v>1.2499999999999997E-2</v>
      </c>
      <c r="S182" s="131">
        <f t="shared" si="66"/>
        <v>1.7699999999999997E-2</v>
      </c>
      <c r="T182" s="131">
        <f t="shared" si="66"/>
        <v>7.2000000000000015E-3</v>
      </c>
      <c r="U182" s="131">
        <f t="shared" si="66"/>
        <v>3.4000000000000002E-3</v>
      </c>
      <c r="V182" s="131">
        <f t="shared" si="66"/>
        <v>2.0000000000000226E-4</v>
      </c>
      <c r="W182" s="131">
        <f t="shared" si="66"/>
        <v>7.3000000000000009E-3</v>
      </c>
      <c r="X182" s="131">
        <f t="shared" si="66"/>
        <v>4.7999999999999996E-3</v>
      </c>
    </row>
    <row r="183" spans="1:24" outlineLevel="2">
      <c r="E183" s="120" t="s">
        <v>307</v>
      </c>
      <c r="F183" s="121">
        <f t="shared" ref="F183:X183" si="67">+IF(F6=0,"",F58-F52)</f>
        <v>-4.2700000000000002E-2</v>
      </c>
      <c r="G183" s="122">
        <f t="shared" si="67"/>
        <v>-4.1399999999999999E-2</v>
      </c>
      <c r="H183" s="122">
        <f t="shared" si="67"/>
        <v>-3.2599999999999997E-2</v>
      </c>
      <c r="I183" s="123">
        <f t="shared" si="67"/>
        <v>-2.9499999999999998E-2</v>
      </c>
      <c r="J183" s="124">
        <f t="shared" si="67"/>
        <v>4.3099999999999999E-2</v>
      </c>
      <c r="K183" s="124"/>
      <c r="L183" s="124"/>
      <c r="M183" s="125">
        <f t="shared" si="67"/>
        <v>1.4800000000000001E-2</v>
      </c>
      <c r="N183" s="125">
        <f t="shared" si="67"/>
        <v>2.9600000000000008E-2</v>
      </c>
      <c r="O183" s="125">
        <f t="shared" si="67"/>
        <v>1.5300000000000001E-2</v>
      </c>
      <c r="P183" s="125">
        <f t="shared" si="67"/>
        <v>2.3800000000000002E-2</v>
      </c>
      <c r="Q183" s="125">
        <f t="shared" si="67"/>
        <v>1.7799999999999996E-2</v>
      </c>
      <c r="R183" s="125">
        <f t="shared" si="67"/>
        <v>1.2499999999999997E-2</v>
      </c>
      <c r="S183" s="125">
        <f t="shared" si="67"/>
        <v>1.7699999999999997E-2</v>
      </c>
      <c r="T183" s="125">
        <f t="shared" si="67"/>
        <v>7.2000000000000015E-3</v>
      </c>
      <c r="U183" s="125">
        <f t="shared" si="67"/>
        <v>3.4000000000000002E-3</v>
      </c>
      <c r="V183" s="125">
        <f t="shared" si="67"/>
        <v>2.0000000000000226E-4</v>
      </c>
      <c r="W183" s="125">
        <f t="shared" si="67"/>
        <v>7.3000000000000009E-3</v>
      </c>
      <c r="X183" s="125">
        <f t="shared" si="67"/>
        <v>4.7999999999999996E-3</v>
      </c>
    </row>
    <row r="184" spans="1:24" outlineLevel="2">
      <c r="E184" s="126" t="s">
        <v>308</v>
      </c>
      <c r="F184" s="127">
        <f t="shared" ref="F184:X184" si="68">+IF(F6=0,"",F58-F53)</f>
        <v>-4.2700000000000002E-2</v>
      </c>
      <c r="G184" s="128">
        <f t="shared" si="68"/>
        <v>-4.1399999999999999E-2</v>
      </c>
      <c r="H184" s="128">
        <f t="shared" si="68"/>
        <v>-3.2599999999999997E-2</v>
      </c>
      <c r="I184" s="129">
        <f t="shared" si="68"/>
        <v>-2.9499999999999998E-2</v>
      </c>
      <c r="J184" s="130">
        <f t="shared" si="68"/>
        <v>4.3099999999999999E-2</v>
      </c>
      <c r="K184" s="130"/>
      <c r="L184" s="130"/>
      <c r="M184" s="131">
        <f t="shared" si="68"/>
        <v>1.4800000000000001E-2</v>
      </c>
      <c r="N184" s="131">
        <f t="shared" si="68"/>
        <v>2.9600000000000008E-2</v>
      </c>
      <c r="O184" s="131">
        <f t="shared" si="68"/>
        <v>1.5300000000000001E-2</v>
      </c>
      <c r="P184" s="131">
        <f t="shared" si="68"/>
        <v>2.3800000000000002E-2</v>
      </c>
      <c r="Q184" s="131">
        <f t="shared" si="68"/>
        <v>1.7799999999999996E-2</v>
      </c>
      <c r="R184" s="131">
        <f t="shared" si="68"/>
        <v>1.2499999999999997E-2</v>
      </c>
      <c r="S184" s="131">
        <f t="shared" si="68"/>
        <v>1.7699999999999997E-2</v>
      </c>
      <c r="T184" s="131">
        <f t="shared" si="68"/>
        <v>7.2000000000000015E-3</v>
      </c>
      <c r="U184" s="131">
        <f t="shared" si="68"/>
        <v>3.4000000000000002E-3</v>
      </c>
      <c r="V184" s="131">
        <f t="shared" si="68"/>
        <v>2.0000000000000226E-4</v>
      </c>
      <c r="W184" s="131">
        <f t="shared" si="68"/>
        <v>7.3000000000000009E-3</v>
      </c>
      <c r="X184" s="131">
        <f t="shared" si="68"/>
        <v>4.7999999999999996E-3</v>
      </c>
    </row>
    <row r="185" spans="1:24" outlineLevel="1">
      <c r="E185" s="112" t="s">
        <v>309</v>
      </c>
      <c r="F185" s="113"/>
      <c r="G185" s="113"/>
      <c r="H185" s="113"/>
      <c r="I185" s="113"/>
      <c r="J185" s="117"/>
      <c r="K185" s="117"/>
      <c r="L185" s="117"/>
      <c r="M185" s="117"/>
      <c r="N185" s="117"/>
      <c r="O185" s="117"/>
      <c r="P185" s="117"/>
      <c r="Q185" s="117"/>
      <c r="R185" s="117"/>
      <c r="S185" s="117"/>
      <c r="T185" s="117"/>
      <c r="U185" s="117"/>
      <c r="V185" s="117"/>
      <c r="W185" s="117"/>
      <c r="X185" s="117"/>
    </row>
    <row r="186" spans="1:24" outlineLevel="2">
      <c r="E186" s="132">
        <v>0.05</v>
      </c>
      <c r="F186" s="115" t="str">
        <f>+"zmiana większa niż +/- "&amp;TEXT(E186*100,"0,0")&amp;"%"</f>
        <v>zmiana większa niż +/- 5,0%</v>
      </c>
      <c r="G186" s="133"/>
      <c r="H186" s="133"/>
      <c r="I186" s="133"/>
      <c r="M186" s="117"/>
      <c r="N186" s="117"/>
      <c r="O186" s="117"/>
      <c r="P186" s="117"/>
      <c r="Q186" s="117"/>
      <c r="R186" s="117"/>
      <c r="S186" s="117"/>
      <c r="T186" s="117"/>
      <c r="U186" s="117"/>
      <c r="V186" s="117"/>
      <c r="W186" s="117"/>
      <c r="X186" s="117"/>
    </row>
    <row r="187" spans="1:24" outlineLevel="2">
      <c r="E187" s="134">
        <v>0.1</v>
      </c>
      <c r="F187" s="115" t="str">
        <f>+"zmiana większa niż +/- "&amp;TEXT(E187*100,"0,0")&amp;"%"</f>
        <v>zmiana większa niż +/- 10,0%</v>
      </c>
      <c r="G187" s="133"/>
      <c r="H187" s="133"/>
      <c r="I187" s="133"/>
      <c r="M187" s="117"/>
      <c r="N187" s="117"/>
      <c r="O187" s="117"/>
      <c r="P187" s="117"/>
      <c r="Q187" s="117"/>
      <c r="R187" s="117"/>
      <c r="S187" s="117"/>
      <c r="T187" s="117"/>
      <c r="U187" s="117"/>
      <c r="V187" s="117"/>
      <c r="W187" s="117"/>
      <c r="X187" s="117"/>
    </row>
    <row r="188" spans="1:24" outlineLevel="2">
      <c r="E188" s="135">
        <v>0.2</v>
      </c>
      <c r="F188" s="115" t="str">
        <f>+"zmiana większa niż +/- "&amp;TEXT(E188*100,"0,0")&amp;"%"</f>
        <v>zmiana większa niż +/- 20,0%</v>
      </c>
      <c r="G188" s="133"/>
      <c r="H188" s="133"/>
      <c r="I188" s="133"/>
      <c r="M188" s="117"/>
      <c r="N188" s="117"/>
      <c r="O188" s="117"/>
      <c r="P188" s="117"/>
      <c r="Q188" s="117"/>
      <c r="R188" s="117"/>
      <c r="S188" s="117"/>
      <c r="T188" s="117"/>
      <c r="U188" s="117"/>
      <c r="V188" s="117"/>
      <c r="W188" s="117"/>
      <c r="X188" s="117"/>
    </row>
    <row r="189" spans="1:24" outlineLevel="2">
      <c r="A189" s="136"/>
      <c r="B189" s="136"/>
      <c r="C189" s="136"/>
      <c r="D189" s="136"/>
      <c r="E189" s="137" t="s">
        <v>7</v>
      </c>
      <c r="F189" s="138" t="s">
        <v>310</v>
      </c>
      <c r="G189" s="139">
        <f t="shared" ref="G189:X189" si="69">+IF(G6=0,0,IF(F215&lt;&gt;0,G215/F215-1,0))</f>
        <v>2.9989486740213955E-3</v>
      </c>
      <c r="H189" s="139">
        <f t="shared" si="69"/>
        <v>0.2977827822445589</v>
      </c>
      <c r="I189" s="140">
        <f t="shared" si="69"/>
        <v>8.2045972840352199E-3</v>
      </c>
      <c r="J189" s="141">
        <f t="shared" si="69"/>
        <v>-0.12128640918839995</v>
      </c>
      <c r="K189" s="141"/>
      <c r="L189" s="141"/>
      <c r="M189" s="142">
        <f>+IF(M6=0,0,IF(J215&lt;&gt;0,M215/J215-1,0))</f>
        <v>-2.1285533701687176E-2</v>
      </c>
      <c r="N189" s="142">
        <f t="shared" si="69"/>
        <v>-3.2973363299943936E-2</v>
      </c>
      <c r="O189" s="142">
        <f t="shared" si="69"/>
        <v>3.855235070462304E-2</v>
      </c>
      <c r="P189" s="142">
        <f t="shared" si="69"/>
        <v>1.9360976885966164E-2</v>
      </c>
      <c r="Q189" s="142">
        <f t="shared" si="69"/>
        <v>9.6084659483230972E-3</v>
      </c>
      <c r="R189" s="142">
        <f t="shared" si="69"/>
        <v>3.0392848537723394E-2</v>
      </c>
      <c r="S189" s="142">
        <f t="shared" si="69"/>
        <v>3.073035555187742E-2</v>
      </c>
      <c r="T189" s="142">
        <f t="shared" si="69"/>
        <v>3.1065306019562255E-2</v>
      </c>
      <c r="U189" s="142">
        <f t="shared" si="69"/>
        <v>3.077350968029724E-2</v>
      </c>
      <c r="V189" s="142">
        <f t="shared" si="69"/>
        <v>3.1246629249273461E-2</v>
      </c>
      <c r="W189" s="142">
        <f t="shared" si="69"/>
        <v>2.2105336908518458E-2</v>
      </c>
      <c r="X189" s="142">
        <f t="shared" si="69"/>
        <v>2.2124747799698641E-2</v>
      </c>
    </row>
    <row r="190" spans="1:24" outlineLevel="2">
      <c r="A190" s="143"/>
      <c r="B190" s="143"/>
      <c r="C190" s="143"/>
      <c r="D190" s="143"/>
      <c r="E190" s="144" t="s">
        <v>311</v>
      </c>
      <c r="F190" s="145" t="s">
        <v>310</v>
      </c>
      <c r="G190" s="146">
        <f t="shared" ref="G190:X190" si="70">+IF(G6=0,0,IF(F216&lt;&gt;0,G216/F216-1,0))</f>
        <v>2.9989486740213955E-3</v>
      </c>
      <c r="H190" s="146">
        <f t="shared" si="70"/>
        <v>0.2977827822445589</v>
      </c>
      <c r="I190" s="147">
        <f t="shared" si="70"/>
        <v>8.2045972840352199E-3</v>
      </c>
      <c r="J190" s="148">
        <f t="shared" si="70"/>
        <v>-0.16737533207139799</v>
      </c>
      <c r="K190" s="148"/>
      <c r="L190" s="148"/>
      <c r="M190" s="149">
        <f>+IF(M6=0,0,IF(J216&lt;&gt;0,M216/J216-1,0))</f>
        <v>-2.1728820475750754E-2</v>
      </c>
      <c r="N190" s="149">
        <f t="shared" si="70"/>
        <v>2.101766368382596E-2</v>
      </c>
      <c r="O190" s="149">
        <f t="shared" si="70"/>
        <v>3.855235070462304E-2</v>
      </c>
      <c r="P190" s="149">
        <f t="shared" si="70"/>
        <v>1.9360976885966164E-2</v>
      </c>
      <c r="Q190" s="149">
        <f t="shared" si="70"/>
        <v>9.6084659483230972E-3</v>
      </c>
      <c r="R190" s="149">
        <f t="shared" si="70"/>
        <v>3.0392848537723394E-2</v>
      </c>
      <c r="S190" s="149">
        <f t="shared" si="70"/>
        <v>3.073035555187742E-2</v>
      </c>
      <c r="T190" s="149">
        <f t="shared" si="70"/>
        <v>3.1065306019562255E-2</v>
      </c>
      <c r="U190" s="149">
        <f t="shared" si="70"/>
        <v>3.077350968029724E-2</v>
      </c>
      <c r="V190" s="149">
        <f t="shared" si="70"/>
        <v>3.1246629249273461E-2</v>
      </c>
      <c r="W190" s="149">
        <f t="shared" si="70"/>
        <v>2.2105336908518458E-2</v>
      </c>
      <c r="X190" s="149">
        <f t="shared" si="70"/>
        <v>2.2124747799698641E-2</v>
      </c>
    </row>
    <row r="191" spans="1:24" outlineLevel="2">
      <c r="A191" s="143"/>
      <c r="B191" s="143"/>
      <c r="C191" s="143"/>
      <c r="D191" s="143"/>
      <c r="E191" s="150" t="s">
        <v>312</v>
      </c>
      <c r="F191" s="151" t="s">
        <v>310</v>
      </c>
      <c r="G191" s="152">
        <f t="shared" ref="G191:X191" si="71">+IF(G6=0,0,IF(F217&lt;&gt;0,G217/F217-1,0))</f>
        <v>-4.5965274765249586E-2</v>
      </c>
      <c r="H191" s="152">
        <f t="shared" si="71"/>
        <v>0.10561128901130012</v>
      </c>
      <c r="I191" s="153">
        <f t="shared" si="71"/>
        <v>2.5880498544647468E-2</v>
      </c>
      <c r="J191" s="148">
        <f t="shared" si="71"/>
        <v>2.3982348317835189E-2</v>
      </c>
      <c r="K191" s="148"/>
      <c r="L191" s="148"/>
      <c r="M191" s="149">
        <f>+IF(M6=0,0,IF(J217&lt;&gt;0,M217/J217-1,0))</f>
        <v>-1.989771724213607E-2</v>
      </c>
      <c r="N191" s="149">
        <f t="shared" si="71"/>
        <v>1.2606892149286786E-2</v>
      </c>
      <c r="O191" s="149">
        <f t="shared" si="71"/>
        <v>2.86348769015905E-2</v>
      </c>
      <c r="P191" s="149">
        <f t="shared" si="71"/>
        <v>3.0414662063512399E-2</v>
      </c>
      <c r="Q191" s="149">
        <f t="shared" si="71"/>
        <v>3.0080374480301098E-2</v>
      </c>
      <c r="R191" s="149">
        <f t="shared" si="71"/>
        <v>3.0392848537723394E-2</v>
      </c>
      <c r="S191" s="149">
        <f t="shared" si="71"/>
        <v>3.073035555187742E-2</v>
      </c>
      <c r="T191" s="149">
        <f t="shared" si="71"/>
        <v>3.1065306019562255E-2</v>
      </c>
      <c r="U191" s="149">
        <f t="shared" si="71"/>
        <v>3.077350968029724E-2</v>
      </c>
      <c r="V191" s="149">
        <f t="shared" si="71"/>
        <v>3.1246629249273461E-2</v>
      </c>
      <c r="W191" s="149">
        <f t="shared" si="71"/>
        <v>2.2105336908518458E-2</v>
      </c>
      <c r="X191" s="149">
        <f t="shared" si="71"/>
        <v>2.2124747799698641E-2</v>
      </c>
    </row>
    <row r="192" spans="1:24" outlineLevel="2">
      <c r="A192" s="143"/>
      <c r="B192" s="143"/>
      <c r="C192" s="143"/>
      <c r="D192" s="143"/>
      <c r="E192" s="150" t="s">
        <v>313</v>
      </c>
      <c r="F192" s="151" t="s">
        <v>310</v>
      </c>
      <c r="G192" s="152">
        <f t="shared" ref="G192:X192" si="72">+IF(G6=0,0,IF(F218&lt;&gt;0,G218/F218-1,0))</f>
        <v>1.6784344495361516</v>
      </c>
      <c r="H192" s="152">
        <f t="shared" si="72"/>
        <v>2.6399665539671151</v>
      </c>
      <c r="I192" s="153">
        <f t="shared" si="72"/>
        <v>-5.7231688586522722E-2</v>
      </c>
      <c r="J192" s="148">
        <f t="shared" si="72"/>
        <v>-0.938234016945244</v>
      </c>
      <c r="K192" s="148"/>
      <c r="L192" s="148"/>
      <c r="M192" s="149">
        <f>+IF(M6=0,0,IF(J218&lt;&gt;0,M218/J218-1,0))</f>
        <v>-0.14401709401709406</v>
      </c>
      <c r="N192" s="149">
        <f t="shared" si="72"/>
        <v>0.66417041105009145</v>
      </c>
      <c r="O192" s="149">
        <f t="shared" si="72"/>
        <v>0.5</v>
      </c>
      <c r="P192" s="149">
        <f t="shared" si="72"/>
        <v>-0.33333333333333337</v>
      </c>
      <c r="Q192" s="149">
        <f t="shared" si="72"/>
        <v>-1</v>
      </c>
      <c r="R192" s="149">
        <f t="shared" si="72"/>
        <v>0</v>
      </c>
      <c r="S192" s="149">
        <f t="shared" si="72"/>
        <v>0</v>
      </c>
      <c r="T192" s="149">
        <f t="shared" si="72"/>
        <v>0</v>
      </c>
      <c r="U192" s="149">
        <f t="shared" si="72"/>
        <v>0</v>
      </c>
      <c r="V192" s="149">
        <f t="shared" si="72"/>
        <v>0</v>
      </c>
      <c r="W192" s="149">
        <f t="shared" si="72"/>
        <v>0</v>
      </c>
      <c r="X192" s="149">
        <f t="shared" si="72"/>
        <v>0</v>
      </c>
    </row>
    <row r="193" spans="1:24" ht="24" outlineLevel="2">
      <c r="A193" s="143"/>
      <c r="B193" s="143"/>
      <c r="C193" s="143"/>
      <c r="D193" s="143"/>
      <c r="E193" s="150" t="s">
        <v>314</v>
      </c>
      <c r="F193" s="151" t="s">
        <v>310</v>
      </c>
      <c r="G193" s="152">
        <f t="shared" ref="G193:X193" si="73">+IF(G6=0,0,IF(F219&lt;&gt;0,G219/F219-1,0))</f>
        <v>2.6688011588288232</v>
      </c>
      <c r="H193" s="152">
        <f t="shared" si="73"/>
        <v>2.3013523895775689</v>
      </c>
      <c r="I193" s="153">
        <f t="shared" si="73"/>
        <v>-4.4984457157086877E-2</v>
      </c>
      <c r="J193" s="148">
        <f t="shared" si="73"/>
        <v>-0.99958346757175554</v>
      </c>
      <c r="K193" s="148"/>
      <c r="L193" s="148"/>
      <c r="M193" s="149">
        <f>+IF(M6=0,0,IF(J219&lt;&gt;0,M219/J219-1,0))</f>
        <v>-1</v>
      </c>
      <c r="N193" s="149">
        <f t="shared" si="73"/>
        <v>0</v>
      </c>
      <c r="O193" s="149">
        <f t="shared" si="73"/>
        <v>0</v>
      </c>
      <c r="P193" s="149">
        <f t="shared" si="73"/>
        <v>0</v>
      </c>
      <c r="Q193" s="149">
        <f t="shared" si="73"/>
        <v>0</v>
      </c>
      <c r="R193" s="149">
        <f t="shared" si="73"/>
        <v>0</v>
      </c>
      <c r="S193" s="149">
        <f t="shared" si="73"/>
        <v>0</v>
      </c>
      <c r="T193" s="149">
        <f t="shared" si="73"/>
        <v>0</v>
      </c>
      <c r="U193" s="149">
        <f t="shared" si="73"/>
        <v>0</v>
      </c>
      <c r="V193" s="149">
        <f t="shared" si="73"/>
        <v>0</v>
      </c>
      <c r="W193" s="149">
        <f t="shared" si="73"/>
        <v>0</v>
      </c>
      <c r="X193" s="149">
        <f t="shared" si="73"/>
        <v>0</v>
      </c>
    </row>
    <row r="194" spans="1:24" outlineLevel="2">
      <c r="A194" s="143"/>
      <c r="B194" s="143"/>
      <c r="C194" s="143"/>
      <c r="D194" s="143"/>
      <c r="E194" s="154" t="s">
        <v>315</v>
      </c>
      <c r="F194" s="155" t="s">
        <v>310</v>
      </c>
      <c r="G194" s="156">
        <f t="shared" ref="G194:X194" si="74">+IF(G6=0,0,IF(F220&lt;&gt;0,G220/F220-1,0))</f>
        <v>-0.34508178961179492</v>
      </c>
      <c r="H194" s="156">
        <f t="shared" si="74"/>
        <v>6.5156909777850078</v>
      </c>
      <c r="I194" s="157">
        <f t="shared" si="74"/>
        <v>-0.11880729000000001</v>
      </c>
      <c r="J194" s="158">
        <f t="shared" si="74"/>
        <v>-0.60394588375566571</v>
      </c>
      <c r="K194" s="158"/>
      <c r="L194" s="158"/>
      <c r="M194" s="159">
        <f>+IF(M6=0,0,IF(J220&lt;&gt;0,M220/J220-1,0))</f>
        <v>-0.13911174785100289</v>
      </c>
      <c r="N194" s="159">
        <f t="shared" si="74"/>
        <v>0.66417041105009145</v>
      </c>
      <c r="O194" s="159">
        <f t="shared" si="74"/>
        <v>0.5</v>
      </c>
      <c r="P194" s="159">
        <f t="shared" si="74"/>
        <v>-0.33333333333333337</v>
      </c>
      <c r="Q194" s="159">
        <f t="shared" si="74"/>
        <v>-1</v>
      </c>
      <c r="R194" s="159">
        <f t="shared" si="74"/>
        <v>0</v>
      </c>
      <c r="S194" s="159">
        <f t="shared" si="74"/>
        <v>0</v>
      </c>
      <c r="T194" s="159">
        <f t="shared" si="74"/>
        <v>0</v>
      </c>
      <c r="U194" s="159">
        <f t="shared" si="74"/>
        <v>0</v>
      </c>
      <c r="V194" s="159">
        <f t="shared" si="74"/>
        <v>0</v>
      </c>
      <c r="W194" s="159">
        <f t="shared" si="74"/>
        <v>0</v>
      </c>
      <c r="X194" s="159">
        <f t="shared" si="74"/>
        <v>0</v>
      </c>
    </row>
    <row r="195" spans="1:24" outlineLevel="2">
      <c r="A195" s="136"/>
      <c r="B195" s="136"/>
      <c r="C195" s="136"/>
      <c r="D195" s="136"/>
      <c r="E195" s="137" t="s">
        <v>28</v>
      </c>
      <c r="F195" s="138" t="s">
        <v>310</v>
      </c>
      <c r="G195" s="139">
        <f t="shared" ref="G195:X195" si="75">+IF(G6=0,0,IF(F221&lt;&gt;0,G221/F221-1,0))</f>
        <v>2.2628043718062818E-2</v>
      </c>
      <c r="H195" s="139">
        <f t="shared" si="75"/>
        <v>0.36668610689782088</v>
      </c>
      <c r="I195" s="140">
        <f t="shared" si="75"/>
        <v>-5.4065101068113575E-2</v>
      </c>
      <c r="J195" s="141">
        <f t="shared" si="75"/>
        <v>1.8838164449213934E-2</v>
      </c>
      <c r="K195" s="141"/>
      <c r="L195" s="141"/>
      <c r="M195" s="142">
        <f>+IF(M6=0,0,IF(J221&lt;&gt;0,M221/J221-1,0))</f>
        <v>-0.18659108926095613</v>
      </c>
      <c r="N195" s="142">
        <f t="shared" si="75"/>
        <v>-3.2029213229081033E-2</v>
      </c>
      <c r="O195" s="142">
        <f t="shared" si="75"/>
        <v>3.9951052604692006E-2</v>
      </c>
      <c r="P195" s="142">
        <f t="shared" si="75"/>
        <v>2.1084701722079657E-2</v>
      </c>
      <c r="Q195" s="142">
        <f t="shared" si="75"/>
        <v>9.9268885572489918E-3</v>
      </c>
      <c r="R195" s="142">
        <f t="shared" si="75"/>
        <v>3.1390161150760765E-2</v>
      </c>
      <c r="S195" s="142">
        <f t="shared" si="75"/>
        <v>4.6137326788593169E-2</v>
      </c>
      <c r="T195" s="142">
        <f t="shared" si="75"/>
        <v>3.1581590314516017E-2</v>
      </c>
      <c r="U195" s="142">
        <f t="shared" si="75"/>
        <v>3.1369128496762544E-2</v>
      </c>
      <c r="V195" s="142">
        <f t="shared" si="75"/>
        <v>3.2493184749927906E-2</v>
      </c>
      <c r="W195" s="142">
        <f t="shared" si="75"/>
        <v>2.9514786561937401E-2</v>
      </c>
      <c r="X195" s="142">
        <f t="shared" si="75"/>
        <v>2.237410524792427E-2</v>
      </c>
    </row>
    <row r="196" spans="1:24" outlineLevel="2">
      <c r="A196" s="143"/>
      <c r="B196" s="143"/>
      <c r="C196" s="143"/>
      <c r="D196" s="143"/>
      <c r="E196" s="160" t="s">
        <v>316</v>
      </c>
      <c r="F196" s="151" t="s">
        <v>310</v>
      </c>
      <c r="G196" s="152">
        <f t="shared" ref="G196:X196" si="76">+IF(G6=0,0,IF(F222&lt;&gt;0,G222/F222-1,0))</f>
        <v>2.2628043718062818E-2</v>
      </c>
      <c r="H196" s="152">
        <f t="shared" si="76"/>
        <v>0.36668610689782088</v>
      </c>
      <c r="I196" s="153">
        <f t="shared" si="76"/>
        <v>-5.4065101068113575E-2</v>
      </c>
      <c r="J196" s="148">
        <f t="shared" si="76"/>
        <v>-0.17310086971820804</v>
      </c>
      <c r="K196" s="148"/>
      <c r="L196" s="148"/>
      <c r="M196" s="149">
        <f>+IF(M6=0,0,IF(J222&lt;&gt;0,M222/J222-1,0))</f>
        <v>-9.4708185121807564E-2</v>
      </c>
      <c r="N196" s="149">
        <f t="shared" si="76"/>
        <v>7.1606285046728946E-2</v>
      </c>
      <c r="O196" s="149">
        <f t="shared" si="76"/>
        <v>3.9951052604692006E-2</v>
      </c>
      <c r="P196" s="149">
        <f t="shared" si="76"/>
        <v>2.1084701722079657E-2</v>
      </c>
      <c r="Q196" s="149">
        <f t="shared" si="76"/>
        <v>9.9268885572489918E-3</v>
      </c>
      <c r="R196" s="149">
        <f t="shared" si="76"/>
        <v>3.1390161150760765E-2</v>
      </c>
      <c r="S196" s="149">
        <f t="shared" si="76"/>
        <v>4.6137326788593169E-2</v>
      </c>
      <c r="T196" s="149">
        <f t="shared" si="76"/>
        <v>3.1581590314516017E-2</v>
      </c>
      <c r="U196" s="149">
        <f t="shared" si="76"/>
        <v>3.1369128496762544E-2</v>
      </c>
      <c r="V196" s="149">
        <f t="shared" si="76"/>
        <v>3.2493184749927906E-2</v>
      </c>
      <c r="W196" s="149">
        <f t="shared" si="76"/>
        <v>2.9514786561937401E-2</v>
      </c>
      <c r="X196" s="149">
        <f t="shared" si="76"/>
        <v>2.237410524792427E-2</v>
      </c>
    </row>
    <row r="197" spans="1:24" outlineLevel="2">
      <c r="A197" s="136"/>
      <c r="B197" s="136"/>
      <c r="C197" s="136"/>
      <c r="D197" s="136"/>
      <c r="E197" s="161" t="s">
        <v>317</v>
      </c>
      <c r="F197" s="162" t="s">
        <v>310</v>
      </c>
      <c r="G197" s="163">
        <f t="shared" ref="G197:X197" si="77">+IF(G6=0,0,IF(F223&lt;&gt;0,G223/F223-1,0))</f>
        <v>-2.7394982024191439E-3</v>
      </c>
      <c r="H197" s="163">
        <f t="shared" si="77"/>
        <v>7.6857038818008094E-2</v>
      </c>
      <c r="I197" s="164">
        <f t="shared" si="77"/>
        <v>-1.4821363318606506E-2</v>
      </c>
      <c r="J197" s="165">
        <f t="shared" si="77"/>
        <v>9.6788187296304784E-2</v>
      </c>
      <c r="K197" s="165"/>
      <c r="L197" s="165"/>
      <c r="M197" s="166">
        <f>+IF(M6=0,0,IF(J223&lt;&gt;0,M223/J223-1,0))</f>
        <v>-5.4656182578439183E-2</v>
      </c>
      <c r="N197" s="166">
        <f t="shared" si="77"/>
        <v>4.8241799065420476E-2</v>
      </c>
      <c r="O197" s="166">
        <f t="shared" si="77"/>
        <v>2.96969230787405E-2</v>
      </c>
      <c r="P197" s="166">
        <f t="shared" si="77"/>
        <v>3.2592504628105035E-2</v>
      </c>
      <c r="Q197" s="166">
        <f t="shared" si="77"/>
        <v>3.1098129242926875E-2</v>
      </c>
      <c r="R197" s="166">
        <f t="shared" si="77"/>
        <v>3.1390161150760765E-2</v>
      </c>
      <c r="S197" s="166">
        <f t="shared" si="77"/>
        <v>4.6137326788593169E-2</v>
      </c>
      <c r="T197" s="166">
        <f t="shared" si="77"/>
        <v>3.1581590314516017E-2</v>
      </c>
      <c r="U197" s="166">
        <f t="shared" si="77"/>
        <v>3.1369128496762544E-2</v>
      </c>
      <c r="V197" s="166">
        <f t="shared" si="77"/>
        <v>3.2493184749927906E-2</v>
      </c>
      <c r="W197" s="166">
        <f t="shared" si="77"/>
        <v>2.9514786561937401E-2</v>
      </c>
      <c r="X197" s="166">
        <f t="shared" si="77"/>
        <v>2.237410524792427E-2</v>
      </c>
    </row>
    <row r="198" spans="1:24" outlineLevel="2">
      <c r="A198" s="143"/>
      <c r="B198" s="143"/>
      <c r="C198" s="143"/>
      <c r="D198" s="143"/>
      <c r="E198" s="150" t="s">
        <v>318</v>
      </c>
      <c r="F198" s="151" t="s">
        <v>310</v>
      </c>
      <c r="G198" s="152">
        <f t="shared" ref="G198:X198" si="78">+IF(G6=0,0,IF(F224&lt;&gt;0,G224/F224-1,0))</f>
        <v>-2.7394982024191439E-3</v>
      </c>
      <c r="H198" s="152">
        <f t="shared" si="78"/>
        <v>7.6857038818008094E-2</v>
      </c>
      <c r="I198" s="153">
        <f t="shared" si="78"/>
        <v>-1.4821363318606506E-2</v>
      </c>
      <c r="J198" s="148">
        <f t="shared" si="78"/>
        <v>9.1641284566221781E-2</v>
      </c>
      <c r="K198" s="148"/>
      <c r="L198" s="148"/>
      <c r="M198" s="149">
        <f>+IF(M6=0,0,IF(J224&lt;&gt;0,M224/J224-1,0))</f>
        <v>-5.0199047488786008E-2</v>
      </c>
      <c r="N198" s="149">
        <f t="shared" si="78"/>
        <v>4.8241799065420476E-2</v>
      </c>
      <c r="O198" s="149">
        <f t="shared" si="78"/>
        <v>2.96969230787405E-2</v>
      </c>
      <c r="P198" s="149">
        <f t="shared" si="78"/>
        <v>3.2592504628105035E-2</v>
      </c>
      <c r="Q198" s="149">
        <f t="shared" si="78"/>
        <v>3.1098129242926875E-2</v>
      </c>
      <c r="R198" s="149">
        <f t="shared" si="78"/>
        <v>3.1390161150760765E-2</v>
      </c>
      <c r="S198" s="149">
        <f t="shared" si="78"/>
        <v>4.6137326788593169E-2</v>
      </c>
      <c r="T198" s="149">
        <f t="shared" si="78"/>
        <v>3.1581590314516017E-2</v>
      </c>
      <c r="U198" s="149">
        <f t="shared" si="78"/>
        <v>3.1369128496762544E-2</v>
      </c>
      <c r="V198" s="149">
        <f t="shared" si="78"/>
        <v>3.2493184749927906E-2</v>
      </c>
      <c r="W198" s="149">
        <f t="shared" si="78"/>
        <v>2.9514786561937401E-2</v>
      </c>
      <c r="X198" s="149">
        <f t="shared" si="78"/>
        <v>2.237410524792427E-2</v>
      </c>
    </row>
    <row r="199" spans="1:24" outlineLevel="2">
      <c r="A199" s="143"/>
      <c r="B199" s="143"/>
      <c r="C199" s="143"/>
      <c r="D199" s="143"/>
      <c r="E199" s="150" t="s">
        <v>319</v>
      </c>
      <c r="F199" s="151" t="s">
        <v>310</v>
      </c>
      <c r="G199" s="152">
        <f t="shared" ref="G199:X199" si="79">+IF(G6=0,0,IF(F225&lt;&gt;0,G225/F225-1,0))</f>
        <v>7.987131370720113E-2</v>
      </c>
      <c r="H199" s="152">
        <f t="shared" si="79"/>
        <v>8.1125080731935251E-2</v>
      </c>
      <c r="I199" s="153">
        <f t="shared" si="79"/>
        <v>-2.9988201589795094E-2</v>
      </c>
      <c r="J199" s="148">
        <f t="shared" si="79"/>
        <v>4.5209295104297276E-2</v>
      </c>
      <c r="K199" s="148"/>
      <c r="L199" s="148"/>
      <c r="M199" s="149">
        <f>+IF(M6=0,0,IF(J225&lt;&gt;0,M225/J225-1,0))</f>
        <v>2.1604798316146034E-2</v>
      </c>
      <c r="N199" s="149">
        <f t="shared" si="79"/>
        <v>2.5000022972847757E-2</v>
      </c>
      <c r="O199" s="149">
        <f t="shared" si="79"/>
        <v>2.4999986303451571E-2</v>
      </c>
      <c r="P199" s="149">
        <f t="shared" si="79"/>
        <v>2.49999975704569E-2</v>
      </c>
      <c r="Q199" s="149">
        <f t="shared" si="79"/>
        <v>2.5000021332572731E-2</v>
      </c>
      <c r="R199" s="149">
        <f t="shared" si="79"/>
        <v>2.5000017343554726E-2</v>
      </c>
      <c r="S199" s="149">
        <f t="shared" si="79"/>
        <v>2.499998646356727E-2</v>
      </c>
      <c r="T199" s="149">
        <f t="shared" si="79"/>
        <v>2.500000880418396E-2</v>
      </c>
      <c r="U199" s="149">
        <f t="shared" si="79"/>
        <v>2.5000017178895551E-2</v>
      </c>
      <c r="V199" s="149">
        <f t="shared" si="79"/>
        <v>2.4999985335089514E-2</v>
      </c>
      <c r="W199" s="149">
        <f t="shared" si="79"/>
        <v>2.5000004087780026E-2</v>
      </c>
      <c r="X199" s="149">
        <f t="shared" si="79"/>
        <v>2.4999985044707351E-2</v>
      </c>
    </row>
    <row r="200" spans="1:24" ht="24" outlineLevel="2">
      <c r="A200" s="143"/>
      <c r="B200" s="143"/>
      <c r="C200" s="143"/>
      <c r="D200" s="143"/>
      <c r="E200" s="154" t="s">
        <v>320</v>
      </c>
      <c r="F200" s="167" t="s">
        <v>310</v>
      </c>
      <c r="G200" s="168">
        <f t="shared" ref="G200:X200" si="80">+IF(G6=0,0,IF(F226&lt;&gt;0,G226/F226-1,0))</f>
        <v>-6.2052317512044208E-2</v>
      </c>
      <c r="H200" s="168">
        <f t="shared" si="80"/>
        <v>6.527669366595501E-2</v>
      </c>
      <c r="I200" s="169">
        <f t="shared" si="80"/>
        <v>4.8643109992549949E-3</v>
      </c>
      <c r="J200" s="170">
        <f t="shared" si="80"/>
        <v>-3.4653037802946041E-2</v>
      </c>
      <c r="K200" s="170"/>
      <c r="L200" s="170"/>
      <c r="M200" s="171">
        <f>+IF(M6=0,0,IF(J226&lt;&gt;0,M226/J226-1,0))</f>
        <v>-0.13468179599499308</v>
      </c>
      <c r="N200" s="171">
        <f t="shared" si="80"/>
        <v>8.4289775659789568E-2</v>
      </c>
      <c r="O200" s="171">
        <f t="shared" si="80"/>
        <v>4.067827117237055E-2</v>
      </c>
      <c r="P200" s="171">
        <f t="shared" si="80"/>
        <v>4.6615218583585527E-2</v>
      </c>
      <c r="Q200" s="171">
        <f t="shared" si="80"/>
        <v>4.2583755717529703E-2</v>
      </c>
      <c r="R200" s="171">
        <f t="shared" si="80"/>
        <v>4.2874462581899309E-2</v>
      </c>
      <c r="S200" s="171">
        <f t="shared" si="80"/>
        <v>7.3394091858169919E-2</v>
      </c>
      <c r="T200" s="171">
        <f t="shared" si="80"/>
        <v>4.0396875895829298E-2</v>
      </c>
      <c r="U200" s="171">
        <f t="shared" si="80"/>
        <v>3.9768201936375203E-2</v>
      </c>
      <c r="V200" s="171">
        <f t="shared" si="80"/>
        <v>4.1801207350185221E-2</v>
      </c>
      <c r="W200" s="171">
        <f t="shared" si="80"/>
        <v>3.5479357845563664E-2</v>
      </c>
      <c r="X200" s="171">
        <f t="shared" si="80"/>
        <v>2.0229193099678522E-2</v>
      </c>
    </row>
    <row r="201" spans="1:24" outlineLevel="1">
      <c r="A201" s="143"/>
      <c r="B201" s="143"/>
      <c r="C201" s="143"/>
      <c r="D201" s="143"/>
      <c r="E201" s="112" t="s">
        <v>321</v>
      </c>
      <c r="F201" s="172"/>
      <c r="G201" s="172"/>
      <c r="H201" s="172"/>
      <c r="I201" s="172"/>
      <c r="J201" s="173"/>
      <c r="K201" s="173"/>
      <c r="L201" s="173"/>
      <c r="M201" s="173"/>
      <c r="N201" s="173"/>
      <c r="O201" s="173"/>
      <c r="P201" s="173"/>
      <c r="Q201" s="173"/>
      <c r="R201" s="173"/>
      <c r="S201" s="173"/>
      <c r="T201" s="173"/>
      <c r="U201" s="173"/>
      <c r="V201" s="173"/>
      <c r="W201" s="173"/>
      <c r="X201" s="173"/>
    </row>
    <row r="202" spans="1:24" outlineLevel="2">
      <c r="A202" s="136"/>
      <c r="B202" s="136"/>
      <c r="C202" s="136"/>
      <c r="D202" s="136"/>
      <c r="E202" s="137" t="s">
        <v>7</v>
      </c>
      <c r="F202" s="174" t="s">
        <v>310</v>
      </c>
      <c r="G202" s="175">
        <f t="shared" ref="G202:X207" si="81">+IF(G$215=0,"",G215-F215)</f>
        <v>130596.77999999374</v>
      </c>
      <c r="H202" s="175">
        <f t="shared" si="81"/>
        <v>13006591.400000006</v>
      </c>
      <c r="I202" s="176">
        <f t="shared" si="81"/>
        <v>465075.21000000089</v>
      </c>
      <c r="J202" s="177">
        <f t="shared" si="81"/>
        <v>-6931492.1200000048</v>
      </c>
      <c r="K202" s="177"/>
      <c r="L202" s="177"/>
      <c r="M202" s="178">
        <f t="shared" ref="M202:M207" si="82">+IF(M$215=0,"",M215-J215)</f>
        <v>-1068923.1499999985</v>
      </c>
      <c r="N202" s="178">
        <f t="shared" si="81"/>
        <v>-1620620</v>
      </c>
      <c r="O202" s="178">
        <f t="shared" si="81"/>
        <v>1832345</v>
      </c>
      <c r="P202" s="178">
        <f t="shared" si="81"/>
        <v>955679</v>
      </c>
      <c r="Q202" s="178">
        <f t="shared" si="81"/>
        <v>483467</v>
      </c>
      <c r="R202" s="178">
        <f t="shared" si="81"/>
        <v>1543964</v>
      </c>
      <c r="S202" s="178">
        <f t="shared" si="81"/>
        <v>1608556</v>
      </c>
      <c r="T202" s="178">
        <f t="shared" si="81"/>
        <v>1676059</v>
      </c>
      <c r="U202" s="178">
        <f t="shared" si="81"/>
        <v>1711894</v>
      </c>
      <c r="V202" s="178">
        <f t="shared" si="81"/>
        <v>1791704</v>
      </c>
      <c r="W202" s="178">
        <f t="shared" si="81"/>
        <v>1307142</v>
      </c>
      <c r="X202" s="178">
        <f t="shared" si="81"/>
        <v>1337210</v>
      </c>
    </row>
    <row r="203" spans="1:24" outlineLevel="2">
      <c r="A203" s="143"/>
      <c r="B203" s="143"/>
      <c r="C203" s="143"/>
      <c r="D203" s="143"/>
      <c r="E203" s="144" t="s">
        <v>311</v>
      </c>
      <c r="F203" s="179" t="s">
        <v>310</v>
      </c>
      <c r="G203" s="180">
        <f t="shared" si="81"/>
        <v>130596.77999999374</v>
      </c>
      <c r="H203" s="180">
        <f t="shared" si="81"/>
        <v>13006591.400000006</v>
      </c>
      <c r="I203" s="181">
        <f t="shared" si="81"/>
        <v>465075.21000000089</v>
      </c>
      <c r="J203" s="182">
        <f t="shared" si="81"/>
        <v>-9565464.1200000048</v>
      </c>
      <c r="K203" s="182"/>
      <c r="L203" s="182"/>
      <c r="M203" s="183">
        <f t="shared" si="82"/>
        <v>-1033951.1499999985</v>
      </c>
      <c r="N203" s="183">
        <f t="shared" si="81"/>
        <v>978380</v>
      </c>
      <c r="O203" s="183">
        <f t="shared" si="81"/>
        <v>1832345</v>
      </c>
      <c r="P203" s="183">
        <f t="shared" si="81"/>
        <v>955679</v>
      </c>
      <c r="Q203" s="183">
        <f t="shared" si="81"/>
        <v>483467</v>
      </c>
      <c r="R203" s="183">
        <f t="shared" si="81"/>
        <v>1543964</v>
      </c>
      <c r="S203" s="183">
        <f t="shared" si="81"/>
        <v>1608556</v>
      </c>
      <c r="T203" s="183">
        <f t="shared" si="81"/>
        <v>1676059</v>
      </c>
      <c r="U203" s="183">
        <f t="shared" si="81"/>
        <v>1711894</v>
      </c>
      <c r="V203" s="183">
        <f t="shared" si="81"/>
        <v>1791704</v>
      </c>
      <c r="W203" s="183">
        <f t="shared" si="81"/>
        <v>1307142</v>
      </c>
      <c r="X203" s="183">
        <f t="shared" si="81"/>
        <v>1337210</v>
      </c>
    </row>
    <row r="204" spans="1:24" outlineLevel="2">
      <c r="A204" s="143"/>
      <c r="B204" s="143"/>
      <c r="C204" s="143"/>
      <c r="D204" s="143"/>
      <c r="E204" s="150" t="s">
        <v>312</v>
      </c>
      <c r="F204" s="184" t="s">
        <v>310</v>
      </c>
      <c r="G204" s="185">
        <f t="shared" si="81"/>
        <v>-1944836.3599999994</v>
      </c>
      <c r="H204" s="185">
        <f t="shared" si="81"/>
        <v>4263121.700000003</v>
      </c>
      <c r="I204" s="186">
        <f t="shared" si="81"/>
        <v>1155027.9399999976</v>
      </c>
      <c r="J204" s="182">
        <f t="shared" si="81"/>
        <v>1098015.1499999985</v>
      </c>
      <c r="K204" s="182"/>
      <c r="L204" s="182"/>
      <c r="M204" s="183">
        <f t="shared" si="82"/>
        <v>-932851.14999999851</v>
      </c>
      <c r="N204" s="183">
        <f t="shared" si="81"/>
        <v>579280</v>
      </c>
      <c r="O204" s="183">
        <f t="shared" si="81"/>
        <v>1332345</v>
      </c>
      <c r="P204" s="183">
        <f t="shared" si="81"/>
        <v>1455679</v>
      </c>
      <c r="Q204" s="183">
        <f t="shared" si="81"/>
        <v>1483467</v>
      </c>
      <c r="R204" s="183">
        <f t="shared" si="81"/>
        <v>1543964</v>
      </c>
      <c r="S204" s="183">
        <f t="shared" si="81"/>
        <v>1608556</v>
      </c>
      <c r="T204" s="183">
        <f t="shared" si="81"/>
        <v>1676059</v>
      </c>
      <c r="U204" s="183">
        <f t="shared" si="81"/>
        <v>1711894</v>
      </c>
      <c r="V204" s="183">
        <f t="shared" si="81"/>
        <v>1791704</v>
      </c>
      <c r="W204" s="183">
        <f t="shared" si="81"/>
        <v>1307142</v>
      </c>
      <c r="X204" s="183">
        <f t="shared" si="81"/>
        <v>1337210</v>
      </c>
    </row>
    <row r="205" spans="1:24" outlineLevel="2">
      <c r="A205" s="143"/>
      <c r="B205" s="143"/>
      <c r="C205" s="143"/>
      <c r="D205" s="143"/>
      <c r="E205" s="150" t="s">
        <v>313</v>
      </c>
      <c r="F205" s="184" t="s">
        <v>310</v>
      </c>
      <c r="G205" s="185">
        <f t="shared" si="81"/>
        <v>2075433.14</v>
      </c>
      <c r="H205" s="185">
        <f t="shared" si="81"/>
        <v>8743469.6999999993</v>
      </c>
      <c r="I205" s="186">
        <f t="shared" si="81"/>
        <v>-689952.73000000045</v>
      </c>
      <c r="J205" s="182">
        <f t="shared" si="81"/>
        <v>-10663479.27</v>
      </c>
      <c r="K205" s="182"/>
      <c r="L205" s="182"/>
      <c r="M205" s="183">
        <f t="shared" si="82"/>
        <v>-101100</v>
      </c>
      <c r="N205" s="183">
        <f t="shared" si="81"/>
        <v>399100</v>
      </c>
      <c r="O205" s="183">
        <f t="shared" si="81"/>
        <v>500000</v>
      </c>
      <c r="P205" s="183">
        <f t="shared" si="81"/>
        <v>-500000</v>
      </c>
      <c r="Q205" s="183">
        <f t="shared" si="81"/>
        <v>-1000000</v>
      </c>
      <c r="R205" s="183">
        <f t="shared" si="81"/>
        <v>0</v>
      </c>
      <c r="S205" s="183">
        <f t="shared" si="81"/>
        <v>0</v>
      </c>
      <c r="T205" s="183">
        <f t="shared" si="81"/>
        <v>0</v>
      </c>
      <c r="U205" s="183">
        <f t="shared" si="81"/>
        <v>0</v>
      </c>
      <c r="V205" s="183">
        <f t="shared" si="81"/>
        <v>0</v>
      </c>
      <c r="W205" s="183">
        <f t="shared" si="81"/>
        <v>0</v>
      </c>
      <c r="X205" s="183">
        <f t="shared" si="81"/>
        <v>0</v>
      </c>
    </row>
    <row r="206" spans="1:24" ht="24" outlineLevel="2">
      <c r="A206" s="143"/>
      <c r="B206" s="143"/>
      <c r="C206" s="143"/>
      <c r="D206" s="143"/>
      <c r="E206" s="150" t="s">
        <v>314</v>
      </c>
      <c r="F206" s="184" t="s">
        <v>310</v>
      </c>
      <c r="G206" s="185">
        <f t="shared" si="81"/>
        <v>2215648.6499999994</v>
      </c>
      <c r="H206" s="185">
        <f t="shared" si="81"/>
        <v>7009579.6300000008</v>
      </c>
      <c r="I206" s="186">
        <f t="shared" si="81"/>
        <v>-452338.15000000037</v>
      </c>
      <c r="J206" s="182">
        <f t="shared" si="81"/>
        <v>-9599093.8499999996</v>
      </c>
      <c r="K206" s="182"/>
      <c r="L206" s="182"/>
      <c r="M206" s="183">
        <f t="shared" si="82"/>
        <v>-4000</v>
      </c>
      <c r="N206" s="183">
        <f t="shared" si="81"/>
        <v>0</v>
      </c>
      <c r="O206" s="183">
        <f t="shared" si="81"/>
        <v>0</v>
      </c>
      <c r="P206" s="183">
        <f t="shared" si="81"/>
        <v>0</v>
      </c>
      <c r="Q206" s="183">
        <f t="shared" si="81"/>
        <v>0</v>
      </c>
      <c r="R206" s="183">
        <f t="shared" si="81"/>
        <v>0</v>
      </c>
      <c r="S206" s="183">
        <f t="shared" si="81"/>
        <v>0</v>
      </c>
      <c r="T206" s="183">
        <f t="shared" si="81"/>
        <v>0</v>
      </c>
      <c r="U206" s="183">
        <f t="shared" si="81"/>
        <v>0</v>
      </c>
      <c r="V206" s="183">
        <f t="shared" si="81"/>
        <v>0</v>
      </c>
      <c r="W206" s="183">
        <f t="shared" si="81"/>
        <v>0</v>
      </c>
      <c r="X206" s="183">
        <f t="shared" si="81"/>
        <v>0</v>
      </c>
    </row>
    <row r="207" spans="1:24" outlineLevel="2">
      <c r="A207" s="143"/>
      <c r="B207" s="143"/>
      <c r="C207" s="143"/>
      <c r="D207" s="143"/>
      <c r="E207" s="154" t="s">
        <v>315</v>
      </c>
      <c r="F207" s="187" t="s">
        <v>310</v>
      </c>
      <c r="G207" s="188">
        <f t="shared" si="81"/>
        <v>-140215.51</v>
      </c>
      <c r="H207" s="188">
        <f t="shared" si="81"/>
        <v>1733890.07</v>
      </c>
      <c r="I207" s="189">
        <f t="shared" si="81"/>
        <v>-237614.58000000007</v>
      </c>
      <c r="J207" s="190">
        <f t="shared" si="81"/>
        <v>-1064385.42</v>
      </c>
      <c r="K207" s="190"/>
      <c r="L207" s="190"/>
      <c r="M207" s="191">
        <f t="shared" si="82"/>
        <v>-97100</v>
      </c>
      <c r="N207" s="191">
        <f t="shared" si="81"/>
        <v>399100</v>
      </c>
      <c r="O207" s="191">
        <f t="shared" si="81"/>
        <v>500000</v>
      </c>
      <c r="P207" s="191">
        <f t="shared" si="81"/>
        <v>-500000</v>
      </c>
      <c r="Q207" s="191">
        <f t="shared" si="81"/>
        <v>-1000000</v>
      </c>
      <c r="R207" s="191">
        <f t="shared" si="81"/>
        <v>0</v>
      </c>
      <c r="S207" s="191">
        <f t="shared" si="81"/>
        <v>0</v>
      </c>
      <c r="T207" s="191">
        <f t="shared" si="81"/>
        <v>0</v>
      </c>
      <c r="U207" s="191">
        <f t="shared" si="81"/>
        <v>0</v>
      </c>
      <c r="V207" s="191">
        <f t="shared" si="81"/>
        <v>0</v>
      </c>
      <c r="W207" s="191">
        <f t="shared" si="81"/>
        <v>0</v>
      </c>
      <c r="X207" s="191">
        <f t="shared" si="81"/>
        <v>0</v>
      </c>
    </row>
    <row r="208" spans="1:24" outlineLevel="2">
      <c r="A208" s="136"/>
      <c r="B208" s="136"/>
      <c r="C208" s="136"/>
      <c r="D208" s="136"/>
      <c r="E208" s="137" t="s">
        <v>28</v>
      </c>
      <c r="F208" s="174" t="s">
        <v>310</v>
      </c>
      <c r="G208" s="175">
        <f t="shared" ref="G208:X213" si="83">+IF(G$221=0,"",G221-F221)</f>
        <v>978592.58999999613</v>
      </c>
      <c r="H208" s="175">
        <f t="shared" si="83"/>
        <v>16216871.210000001</v>
      </c>
      <c r="I208" s="176">
        <f t="shared" si="83"/>
        <v>-3267822.1400000006</v>
      </c>
      <c r="J208" s="177">
        <f t="shared" si="83"/>
        <v>1077063.2899999991</v>
      </c>
      <c r="K208" s="177"/>
      <c r="L208" s="177"/>
      <c r="M208" s="178">
        <f t="shared" ref="M208:M213" si="84">+IF(M$221=0,"",M221-J221)</f>
        <v>-10869229.149999999</v>
      </c>
      <c r="N208" s="178">
        <f t="shared" si="83"/>
        <v>-1517620</v>
      </c>
      <c r="O208" s="178">
        <f t="shared" si="83"/>
        <v>1832345</v>
      </c>
      <c r="P208" s="178">
        <f t="shared" si="83"/>
        <v>1005679</v>
      </c>
      <c r="Q208" s="178">
        <f t="shared" si="83"/>
        <v>483467</v>
      </c>
      <c r="R208" s="178">
        <f t="shared" si="83"/>
        <v>1543964</v>
      </c>
      <c r="S208" s="178">
        <f t="shared" si="83"/>
        <v>2340556</v>
      </c>
      <c r="T208" s="178">
        <f t="shared" si="83"/>
        <v>1676059</v>
      </c>
      <c r="U208" s="178">
        <f t="shared" si="83"/>
        <v>1717360</v>
      </c>
      <c r="V208" s="178">
        <f t="shared" si="83"/>
        <v>1834701</v>
      </c>
      <c r="W208" s="178">
        <f t="shared" si="83"/>
        <v>1720679</v>
      </c>
      <c r="X208" s="178">
        <f t="shared" si="83"/>
        <v>1342883.9299999997</v>
      </c>
    </row>
    <row r="209" spans="1:24" outlineLevel="2">
      <c r="A209" s="143"/>
      <c r="B209" s="143"/>
      <c r="C209" s="143"/>
      <c r="D209" s="143"/>
      <c r="E209" s="160" t="s">
        <v>316</v>
      </c>
      <c r="F209" s="184" t="s">
        <v>310</v>
      </c>
      <c r="G209" s="185">
        <f t="shared" si="83"/>
        <v>978592.58999999613</v>
      </c>
      <c r="H209" s="185">
        <f t="shared" si="83"/>
        <v>16216871.210000001</v>
      </c>
      <c r="I209" s="186">
        <f t="shared" si="83"/>
        <v>-3267822.1400000006</v>
      </c>
      <c r="J209" s="182">
        <f t="shared" si="83"/>
        <v>-9896961.7100000009</v>
      </c>
      <c r="K209" s="182"/>
      <c r="L209" s="182"/>
      <c r="M209" s="183">
        <f t="shared" si="84"/>
        <v>-4477573.1499999985</v>
      </c>
      <c r="N209" s="183">
        <f t="shared" si="83"/>
        <v>3064749</v>
      </c>
      <c r="O209" s="183">
        <f t="shared" si="83"/>
        <v>1832345</v>
      </c>
      <c r="P209" s="183">
        <f t="shared" si="83"/>
        <v>1005679</v>
      </c>
      <c r="Q209" s="183">
        <f t="shared" si="83"/>
        <v>483467</v>
      </c>
      <c r="R209" s="183">
        <f t="shared" si="83"/>
        <v>1543964</v>
      </c>
      <c r="S209" s="183">
        <f t="shared" si="83"/>
        <v>2340556</v>
      </c>
      <c r="T209" s="183">
        <f t="shared" si="83"/>
        <v>1676059</v>
      </c>
      <c r="U209" s="183">
        <f t="shared" si="83"/>
        <v>1717360</v>
      </c>
      <c r="V209" s="183">
        <f t="shared" si="83"/>
        <v>1834701</v>
      </c>
      <c r="W209" s="183">
        <f t="shared" si="83"/>
        <v>1720679</v>
      </c>
      <c r="X209" s="183">
        <f t="shared" si="83"/>
        <v>1342883.9299999997</v>
      </c>
    </row>
    <row r="210" spans="1:24" outlineLevel="2">
      <c r="A210" s="136"/>
      <c r="B210" s="136"/>
      <c r="C210" s="136"/>
      <c r="D210" s="136"/>
      <c r="E210" s="161" t="s">
        <v>317</v>
      </c>
      <c r="F210" s="192" t="s">
        <v>310</v>
      </c>
      <c r="G210" s="193">
        <f t="shared" si="83"/>
        <v>-106885.93999999762</v>
      </c>
      <c r="H210" s="193">
        <f t="shared" si="83"/>
        <v>2990486.3699999973</v>
      </c>
      <c r="I210" s="194">
        <f t="shared" si="83"/>
        <v>-621018.28000000119</v>
      </c>
      <c r="J210" s="195">
        <f t="shared" si="83"/>
        <v>3995338.4299999997</v>
      </c>
      <c r="K210" s="195"/>
      <c r="L210" s="195"/>
      <c r="M210" s="196">
        <f t="shared" si="84"/>
        <v>-2474533.1499999985</v>
      </c>
      <c r="N210" s="196">
        <f t="shared" si="83"/>
        <v>2064749</v>
      </c>
      <c r="O210" s="196">
        <f t="shared" si="83"/>
        <v>1332345</v>
      </c>
      <c r="P210" s="196">
        <f t="shared" si="83"/>
        <v>1505679</v>
      </c>
      <c r="Q210" s="196">
        <f t="shared" si="83"/>
        <v>1483467</v>
      </c>
      <c r="R210" s="196">
        <f t="shared" si="83"/>
        <v>1543964</v>
      </c>
      <c r="S210" s="196">
        <f t="shared" si="83"/>
        <v>2340556</v>
      </c>
      <c r="T210" s="196">
        <f t="shared" si="83"/>
        <v>1676059</v>
      </c>
      <c r="U210" s="196">
        <f t="shared" si="83"/>
        <v>1717360</v>
      </c>
      <c r="V210" s="196">
        <f t="shared" si="83"/>
        <v>1834701</v>
      </c>
      <c r="W210" s="196">
        <f t="shared" si="83"/>
        <v>1720679</v>
      </c>
      <c r="X210" s="196">
        <f t="shared" si="83"/>
        <v>1342883.9299999997</v>
      </c>
    </row>
    <row r="211" spans="1:24" outlineLevel="2">
      <c r="A211" s="143"/>
      <c r="B211" s="143"/>
      <c r="C211" s="143"/>
      <c r="D211" s="143"/>
      <c r="E211" s="150" t="s">
        <v>318</v>
      </c>
      <c r="F211" s="184" t="s">
        <v>310</v>
      </c>
      <c r="G211" s="185">
        <f t="shared" si="83"/>
        <v>-106885.93999999762</v>
      </c>
      <c r="H211" s="185">
        <f t="shared" si="83"/>
        <v>2990486.3699999973</v>
      </c>
      <c r="I211" s="186">
        <f t="shared" si="83"/>
        <v>-621018.28000000119</v>
      </c>
      <c r="J211" s="182">
        <f t="shared" si="83"/>
        <v>3782878.4299999997</v>
      </c>
      <c r="K211" s="182"/>
      <c r="L211" s="182"/>
      <c r="M211" s="183">
        <f t="shared" si="84"/>
        <v>-2262073.1499999985</v>
      </c>
      <c r="N211" s="183">
        <f t="shared" si="83"/>
        <v>2064749</v>
      </c>
      <c r="O211" s="183">
        <f t="shared" si="83"/>
        <v>1332345</v>
      </c>
      <c r="P211" s="183">
        <f t="shared" si="83"/>
        <v>1505679</v>
      </c>
      <c r="Q211" s="183">
        <f t="shared" si="83"/>
        <v>1483467</v>
      </c>
      <c r="R211" s="183">
        <f t="shared" si="83"/>
        <v>1543964</v>
      </c>
      <c r="S211" s="183">
        <f t="shared" si="83"/>
        <v>2340556</v>
      </c>
      <c r="T211" s="183">
        <f t="shared" si="83"/>
        <v>1676059</v>
      </c>
      <c r="U211" s="183">
        <f t="shared" si="83"/>
        <v>1717360</v>
      </c>
      <c r="V211" s="183">
        <f t="shared" si="83"/>
        <v>1834701</v>
      </c>
      <c r="W211" s="183">
        <f t="shared" si="83"/>
        <v>1720679</v>
      </c>
      <c r="X211" s="183">
        <f t="shared" si="83"/>
        <v>1342883.9299999997</v>
      </c>
    </row>
    <row r="212" spans="1:24" outlineLevel="2">
      <c r="A212" s="143"/>
      <c r="B212" s="143"/>
      <c r="C212" s="143"/>
      <c r="D212" s="143"/>
      <c r="E212" s="150" t="s">
        <v>319</v>
      </c>
      <c r="F212" s="184" t="s">
        <v>310</v>
      </c>
      <c r="G212" s="185">
        <f t="shared" si="83"/>
        <v>1293830.4100000001</v>
      </c>
      <c r="H212" s="185">
        <f t="shared" si="83"/>
        <v>1419102.1999999993</v>
      </c>
      <c r="I212" s="186">
        <f t="shared" si="83"/>
        <v>-567132.96999999881</v>
      </c>
      <c r="J212" s="182">
        <f t="shared" si="83"/>
        <v>829352.62999999896</v>
      </c>
      <c r="K212" s="182"/>
      <c r="L212" s="182"/>
      <c r="M212" s="183">
        <f t="shared" si="84"/>
        <v>414252.33999999985</v>
      </c>
      <c r="N212" s="183">
        <f t="shared" si="83"/>
        <v>489709</v>
      </c>
      <c r="O212" s="183">
        <f t="shared" si="83"/>
        <v>501951</v>
      </c>
      <c r="P212" s="183">
        <f t="shared" si="83"/>
        <v>514500</v>
      </c>
      <c r="Q212" s="183">
        <f t="shared" si="83"/>
        <v>527363</v>
      </c>
      <c r="R212" s="183">
        <f t="shared" si="83"/>
        <v>540547</v>
      </c>
      <c r="S212" s="183">
        <f t="shared" si="83"/>
        <v>554060</v>
      </c>
      <c r="T212" s="183">
        <f t="shared" si="83"/>
        <v>567912</v>
      </c>
      <c r="U212" s="183">
        <f t="shared" si="83"/>
        <v>582110</v>
      </c>
      <c r="V212" s="183">
        <f t="shared" si="83"/>
        <v>596662</v>
      </c>
      <c r="W212" s="183">
        <f t="shared" si="83"/>
        <v>611579</v>
      </c>
      <c r="X212" s="183">
        <f t="shared" si="83"/>
        <v>626868</v>
      </c>
    </row>
    <row r="213" spans="1:24" ht="24" outlineLevel="2">
      <c r="A213" s="143"/>
      <c r="B213" s="143"/>
      <c r="C213" s="143"/>
      <c r="D213" s="143"/>
      <c r="E213" s="154" t="s">
        <v>320</v>
      </c>
      <c r="F213" s="187" t="s">
        <v>310</v>
      </c>
      <c r="G213" s="188">
        <f t="shared" si="83"/>
        <v>-1389776.2699999996</v>
      </c>
      <c r="H213" s="188">
        <f t="shared" si="83"/>
        <v>1371272.129999999</v>
      </c>
      <c r="I213" s="189">
        <f t="shared" si="83"/>
        <v>108855.21999999881</v>
      </c>
      <c r="J213" s="190">
        <f t="shared" si="83"/>
        <v>-779249.73000000045</v>
      </c>
      <c r="K213" s="190"/>
      <c r="L213" s="190"/>
      <c r="M213" s="191">
        <f t="shared" si="84"/>
        <v>-2923665.4899999984</v>
      </c>
      <c r="N213" s="191">
        <f t="shared" si="83"/>
        <v>1583323</v>
      </c>
      <c r="O213" s="191">
        <f t="shared" si="83"/>
        <v>828519</v>
      </c>
      <c r="P213" s="191">
        <f t="shared" si="83"/>
        <v>988062</v>
      </c>
      <c r="Q213" s="191">
        <f t="shared" si="83"/>
        <v>944686</v>
      </c>
      <c r="R213" s="191">
        <f t="shared" si="83"/>
        <v>991638</v>
      </c>
      <c r="S213" s="191">
        <f t="shared" si="83"/>
        <v>1770303</v>
      </c>
      <c r="T213" s="191">
        <f t="shared" si="83"/>
        <v>1045908</v>
      </c>
      <c r="U213" s="191">
        <f t="shared" si="83"/>
        <v>1071225</v>
      </c>
      <c r="V213" s="191">
        <f t="shared" si="83"/>
        <v>1170766</v>
      </c>
      <c r="W213" s="191">
        <f t="shared" si="83"/>
        <v>1035242</v>
      </c>
      <c r="X213" s="191">
        <f t="shared" si="83"/>
        <v>611203.9299999997</v>
      </c>
    </row>
    <row r="214" spans="1:24" outlineLevel="1">
      <c r="A214" s="143"/>
      <c r="B214" s="143"/>
      <c r="C214" s="143"/>
      <c r="D214" s="143"/>
      <c r="E214" s="112" t="s">
        <v>322</v>
      </c>
      <c r="F214" s="172"/>
      <c r="G214" s="172"/>
      <c r="H214" s="172"/>
      <c r="I214" s="172"/>
      <c r="J214" s="173"/>
      <c r="K214" s="173"/>
      <c r="L214" s="173"/>
      <c r="M214" s="173"/>
      <c r="N214" s="173"/>
      <c r="O214" s="173"/>
      <c r="P214" s="173"/>
      <c r="Q214" s="173"/>
      <c r="R214" s="173"/>
      <c r="S214" s="173"/>
      <c r="T214" s="173"/>
      <c r="U214" s="173"/>
      <c r="V214" s="173"/>
      <c r="W214" s="173"/>
      <c r="X214" s="173"/>
    </row>
    <row r="215" spans="1:24" outlineLevel="2">
      <c r="A215" s="136"/>
      <c r="B215" s="136"/>
      <c r="C215" s="136"/>
      <c r="D215" s="136"/>
      <c r="E215" s="137" t="s">
        <v>7</v>
      </c>
      <c r="F215" s="197">
        <f>+F6</f>
        <v>43547520.880000003</v>
      </c>
      <c r="G215" s="198">
        <f>+G6</f>
        <v>43678117.659999996</v>
      </c>
      <c r="H215" s="198">
        <f>+H6</f>
        <v>56684709.060000002</v>
      </c>
      <c r="I215" s="199">
        <f>+I6</f>
        <v>57149784.270000003</v>
      </c>
      <c r="J215" s="177">
        <f t="shared" ref="J215:X215" si="85">+J6</f>
        <v>50218292.149999999</v>
      </c>
      <c r="K215" s="177"/>
      <c r="L215" s="177"/>
      <c r="M215" s="178">
        <f t="shared" si="85"/>
        <v>49149369</v>
      </c>
      <c r="N215" s="178">
        <f t="shared" si="85"/>
        <v>47528749</v>
      </c>
      <c r="O215" s="178">
        <f t="shared" si="85"/>
        <v>49361094</v>
      </c>
      <c r="P215" s="178">
        <f t="shared" si="85"/>
        <v>50316773</v>
      </c>
      <c r="Q215" s="178">
        <f t="shared" si="85"/>
        <v>50800240</v>
      </c>
      <c r="R215" s="178">
        <f t="shared" si="85"/>
        <v>52344204</v>
      </c>
      <c r="S215" s="178">
        <f t="shared" si="85"/>
        <v>53952760</v>
      </c>
      <c r="T215" s="178">
        <f t="shared" si="85"/>
        <v>55628819</v>
      </c>
      <c r="U215" s="178">
        <f t="shared" si="85"/>
        <v>57340713</v>
      </c>
      <c r="V215" s="178">
        <f t="shared" si="85"/>
        <v>59132417</v>
      </c>
      <c r="W215" s="178">
        <f t="shared" si="85"/>
        <v>60439559</v>
      </c>
      <c r="X215" s="178">
        <f t="shared" si="85"/>
        <v>61776769</v>
      </c>
    </row>
    <row r="216" spans="1:24" outlineLevel="2">
      <c r="A216" s="143"/>
      <c r="B216" s="143"/>
      <c r="C216" s="143"/>
      <c r="D216" s="143"/>
      <c r="E216" s="144" t="s">
        <v>311</v>
      </c>
      <c r="F216" s="200">
        <f>+(F6-F73-F76)</f>
        <v>43547520.880000003</v>
      </c>
      <c r="G216" s="201">
        <f>+(G6-G73-G76)</f>
        <v>43678117.659999996</v>
      </c>
      <c r="H216" s="201">
        <f>+(H6-H73-H76)</f>
        <v>56684709.060000002</v>
      </c>
      <c r="I216" s="202">
        <f>+(I6-I73-I76)</f>
        <v>57149784.270000003</v>
      </c>
      <c r="J216" s="182">
        <f>+(J6-J73-J76)</f>
        <v>47584320.149999999</v>
      </c>
      <c r="K216" s="182"/>
      <c r="L216" s="182"/>
      <c r="M216" s="183">
        <f t="shared" ref="M216:X216" si="86">+(M6-M73-M76)</f>
        <v>46550369</v>
      </c>
      <c r="N216" s="183">
        <f t="shared" si="86"/>
        <v>47528749</v>
      </c>
      <c r="O216" s="183">
        <f t="shared" si="86"/>
        <v>49361094</v>
      </c>
      <c r="P216" s="183">
        <f t="shared" si="86"/>
        <v>50316773</v>
      </c>
      <c r="Q216" s="183">
        <f t="shared" si="86"/>
        <v>50800240</v>
      </c>
      <c r="R216" s="183">
        <f t="shared" si="86"/>
        <v>52344204</v>
      </c>
      <c r="S216" s="183">
        <f t="shared" si="86"/>
        <v>53952760</v>
      </c>
      <c r="T216" s="183">
        <f t="shared" si="86"/>
        <v>55628819</v>
      </c>
      <c r="U216" s="183">
        <f t="shared" si="86"/>
        <v>57340713</v>
      </c>
      <c r="V216" s="183">
        <f t="shared" si="86"/>
        <v>59132417</v>
      </c>
      <c r="W216" s="183">
        <f t="shared" si="86"/>
        <v>60439559</v>
      </c>
      <c r="X216" s="183">
        <f t="shared" si="86"/>
        <v>61776769</v>
      </c>
    </row>
    <row r="217" spans="1:24" outlineLevel="2">
      <c r="A217" s="143"/>
      <c r="B217" s="143"/>
      <c r="C217" s="143"/>
      <c r="D217" s="143"/>
      <c r="E217" s="150" t="s">
        <v>312</v>
      </c>
      <c r="F217" s="200">
        <f>+F7-F73</f>
        <v>42310991.719999999</v>
      </c>
      <c r="G217" s="201">
        <f>+G7-G73</f>
        <v>40366155.359999999</v>
      </c>
      <c r="H217" s="201">
        <f>+H7-H73</f>
        <v>44629277.060000002</v>
      </c>
      <c r="I217" s="202">
        <f>+I7-I73</f>
        <v>45784305</v>
      </c>
      <c r="J217" s="182">
        <f>+J7-J73</f>
        <v>46882320.149999999</v>
      </c>
      <c r="K217" s="182"/>
      <c r="L217" s="182"/>
      <c r="M217" s="183">
        <f t="shared" ref="M217:X217" si="87">+M7-M73</f>
        <v>45949469</v>
      </c>
      <c r="N217" s="183">
        <f t="shared" si="87"/>
        <v>46528749</v>
      </c>
      <c r="O217" s="183">
        <f t="shared" si="87"/>
        <v>47861094</v>
      </c>
      <c r="P217" s="183">
        <f t="shared" si="87"/>
        <v>49316773</v>
      </c>
      <c r="Q217" s="183">
        <f t="shared" si="87"/>
        <v>50800240</v>
      </c>
      <c r="R217" s="183">
        <f t="shared" si="87"/>
        <v>52344204</v>
      </c>
      <c r="S217" s="183">
        <f t="shared" si="87"/>
        <v>53952760</v>
      </c>
      <c r="T217" s="183">
        <f t="shared" si="87"/>
        <v>55628819</v>
      </c>
      <c r="U217" s="183">
        <f t="shared" si="87"/>
        <v>57340713</v>
      </c>
      <c r="V217" s="183">
        <f t="shared" si="87"/>
        <v>59132417</v>
      </c>
      <c r="W217" s="183">
        <f t="shared" si="87"/>
        <v>60439559</v>
      </c>
      <c r="X217" s="183">
        <f t="shared" si="87"/>
        <v>61776769</v>
      </c>
    </row>
    <row r="218" spans="1:24" outlineLevel="2">
      <c r="A218" s="143"/>
      <c r="B218" s="143"/>
      <c r="C218" s="143"/>
      <c r="D218" s="143"/>
      <c r="E218" s="150" t="s">
        <v>313</v>
      </c>
      <c r="F218" s="200">
        <f>+F14-F76</f>
        <v>1236529.1599999999</v>
      </c>
      <c r="G218" s="201">
        <f>+G14-G76</f>
        <v>3311962.3</v>
      </c>
      <c r="H218" s="201">
        <f>+H14-H76</f>
        <v>12055432</v>
      </c>
      <c r="I218" s="202">
        <f>+I14-I76</f>
        <v>11365479.27</v>
      </c>
      <c r="J218" s="182">
        <f>+J14-J76</f>
        <v>702000</v>
      </c>
      <c r="K218" s="182"/>
      <c r="L218" s="182"/>
      <c r="M218" s="183">
        <f t="shared" ref="M218:X218" si="88">+M14-M76</f>
        <v>600900</v>
      </c>
      <c r="N218" s="183">
        <f t="shared" si="88"/>
        <v>1000000</v>
      </c>
      <c r="O218" s="183">
        <f t="shared" si="88"/>
        <v>1500000</v>
      </c>
      <c r="P218" s="183">
        <f t="shared" si="88"/>
        <v>1000000</v>
      </c>
      <c r="Q218" s="183">
        <f t="shared" si="88"/>
        <v>0</v>
      </c>
      <c r="R218" s="183">
        <f t="shared" si="88"/>
        <v>0</v>
      </c>
      <c r="S218" s="183">
        <f t="shared" si="88"/>
        <v>0</v>
      </c>
      <c r="T218" s="183">
        <f t="shared" si="88"/>
        <v>0</v>
      </c>
      <c r="U218" s="183">
        <f t="shared" si="88"/>
        <v>0</v>
      </c>
      <c r="V218" s="183">
        <f t="shared" si="88"/>
        <v>0</v>
      </c>
      <c r="W218" s="183">
        <f t="shared" si="88"/>
        <v>0</v>
      </c>
      <c r="X218" s="183">
        <f t="shared" si="88"/>
        <v>0</v>
      </c>
    </row>
    <row r="219" spans="1:24" ht="24" outlineLevel="2">
      <c r="A219" s="143"/>
      <c r="B219" s="143"/>
      <c r="C219" s="143"/>
      <c r="D219" s="143"/>
      <c r="E219" s="150" t="s">
        <v>314</v>
      </c>
      <c r="F219" s="200">
        <f>+F14-F76-F15</f>
        <v>830203.72</v>
      </c>
      <c r="G219" s="201">
        <f>+G14-G76-G15</f>
        <v>3045852.3699999996</v>
      </c>
      <c r="H219" s="201">
        <f>+H14-H76-H15</f>
        <v>10055432</v>
      </c>
      <c r="I219" s="202">
        <f>+I14-I76-I15</f>
        <v>9603093.8499999996</v>
      </c>
      <c r="J219" s="182">
        <f>+J14-J76-J15</f>
        <v>4000</v>
      </c>
      <c r="K219" s="182"/>
      <c r="L219" s="182"/>
      <c r="M219" s="183">
        <f t="shared" ref="M219:X219" si="89">+M14-M76-M15</f>
        <v>0</v>
      </c>
      <c r="N219" s="183">
        <f t="shared" si="89"/>
        <v>0</v>
      </c>
      <c r="O219" s="183">
        <f t="shared" si="89"/>
        <v>0</v>
      </c>
      <c r="P219" s="183">
        <f t="shared" si="89"/>
        <v>0</v>
      </c>
      <c r="Q219" s="183">
        <f t="shared" si="89"/>
        <v>0</v>
      </c>
      <c r="R219" s="183">
        <f t="shared" si="89"/>
        <v>0</v>
      </c>
      <c r="S219" s="183">
        <f t="shared" si="89"/>
        <v>0</v>
      </c>
      <c r="T219" s="183">
        <f t="shared" si="89"/>
        <v>0</v>
      </c>
      <c r="U219" s="183">
        <f t="shared" si="89"/>
        <v>0</v>
      </c>
      <c r="V219" s="183">
        <f t="shared" si="89"/>
        <v>0</v>
      </c>
      <c r="W219" s="183">
        <f t="shared" si="89"/>
        <v>0</v>
      </c>
      <c r="X219" s="183">
        <f t="shared" si="89"/>
        <v>0</v>
      </c>
    </row>
    <row r="220" spans="1:24" outlineLevel="2">
      <c r="A220" s="143"/>
      <c r="B220" s="143"/>
      <c r="C220" s="143"/>
      <c r="D220" s="143"/>
      <c r="E220" s="154" t="s">
        <v>315</v>
      </c>
      <c r="F220" s="203">
        <f>+F15</f>
        <v>406325.44</v>
      </c>
      <c r="G220" s="204">
        <f>+G15</f>
        <v>266109.93</v>
      </c>
      <c r="H220" s="204">
        <f>+H15</f>
        <v>2000000</v>
      </c>
      <c r="I220" s="205">
        <f>+I15</f>
        <v>1762385.42</v>
      </c>
      <c r="J220" s="190">
        <f>+J15</f>
        <v>698000</v>
      </c>
      <c r="K220" s="190"/>
      <c r="L220" s="190"/>
      <c r="M220" s="191">
        <f t="shared" ref="M220:X220" si="90">+M15</f>
        <v>600900</v>
      </c>
      <c r="N220" s="191">
        <f t="shared" si="90"/>
        <v>1000000</v>
      </c>
      <c r="O220" s="191">
        <f t="shared" si="90"/>
        <v>1500000</v>
      </c>
      <c r="P220" s="191">
        <f t="shared" si="90"/>
        <v>1000000</v>
      </c>
      <c r="Q220" s="191">
        <f t="shared" si="90"/>
        <v>0</v>
      </c>
      <c r="R220" s="191">
        <f t="shared" si="90"/>
        <v>0</v>
      </c>
      <c r="S220" s="191">
        <f t="shared" si="90"/>
        <v>0</v>
      </c>
      <c r="T220" s="191">
        <f t="shared" si="90"/>
        <v>0</v>
      </c>
      <c r="U220" s="191">
        <f t="shared" si="90"/>
        <v>0</v>
      </c>
      <c r="V220" s="191">
        <f t="shared" si="90"/>
        <v>0</v>
      </c>
      <c r="W220" s="191">
        <f t="shared" si="90"/>
        <v>0</v>
      </c>
      <c r="X220" s="191">
        <f t="shared" si="90"/>
        <v>0</v>
      </c>
    </row>
    <row r="221" spans="1:24" outlineLevel="2">
      <c r="A221" s="136"/>
      <c r="B221" s="136"/>
      <c r="C221" s="136"/>
      <c r="D221" s="136"/>
      <c r="E221" s="137" t="s">
        <v>28</v>
      </c>
      <c r="F221" s="197">
        <f>+F17</f>
        <v>43246893.200000003</v>
      </c>
      <c r="G221" s="198">
        <f>+G17</f>
        <v>44225485.789999999</v>
      </c>
      <c r="H221" s="198">
        <f>+H17</f>
        <v>60442357</v>
      </c>
      <c r="I221" s="199">
        <f>+I17</f>
        <v>57174534.859999999</v>
      </c>
      <c r="J221" s="177">
        <f>+J17</f>
        <v>58251598.149999999</v>
      </c>
      <c r="K221" s="177"/>
      <c r="L221" s="177"/>
      <c r="M221" s="178">
        <f t="shared" ref="M221:X221" si="91">+M17</f>
        <v>47382369</v>
      </c>
      <c r="N221" s="178">
        <f t="shared" si="91"/>
        <v>45864749</v>
      </c>
      <c r="O221" s="178">
        <f t="shared" si="91"/>
        <v>47697094</v>
      </c>
      <c r="P221" s="178">
        <f t="shared" si="91"/>
        <v>48702773</v>
      </c>
      <c r="Q221" s="178">
        <f t="shared" si="91"/>
        <v>49186240</v>
      </c>
      <c r="R221" s="178">
        <f t="shared" si="91"/>
        <v>50730204</v>
      </c>
      <c r="S221" s="178">
        <f t="shared" si="91"/>
        <v>53070760</v>
      </c>
      <c r="T221" s="178">
        <f t="shared" si="91"/>
        <v>54746819</v>
      </c>
      <c r="U221" s="178">
        <f t="shared" si="91"/>
        <v>56464179</v>
      </c>
      <c r="V221" s="178">
        <f t="shared" si="91"/>
        <v>58298880</v>
      </c>
      <c r="W221" s="178">
        <f t="shared" si="91"/>
        <v>60019559</v>
      </c>
      <c r="X221" s="178">
        <f t="shared" si="91"/>
        <v>61362442.93</v>
      </c>
    </row>
    <row r="222" spans="1:24" outlineLevel="2">
      <c r="A222" s="143"/>
      <c r="B222" s="143"/>
      <c r="C222" s="143"/>
      <c r="D222" s="143"/>
      <c r="E222" s="160" t="s">
        <v>316</v>
      </c>
      <c r="F222" s="200">
        <f>+F17-F79-F82</f>
        <v>43246893.200000003</v>
      </c>
      <c r="G222" s="201">
        <f>+G17-G79-G82</f>
        <v>44225485.789999999</v>
      </c>
      <c r="H222" s="201">
        <f>+H17-H79-H82</f>
        <v>60442357</v>
      </c>
      <c r="I222" s="202">
        <f>+I17-I79-I82</f>
        <v>57174534.859999999</v>
      </c>
      <c r="J222" s="182">
        <f>+J17-J79-J82</f>
        <v>47277573.149999999</v>
      </c>
      <c r="K222" s="182"/>
      <c r="L222" s="182"/>
      <c r="M222" s="183">
        <f t="shared" ref="M222:X222" si="92">+M17-M79-M82</f>
        <v>42800000</v>
      </c>
      <c r="N222" s="183">
        <f t="shared" si="92"/>
        <v>45864749</v>
      </c>
      <c r="O222" s="183">
        <f t="shared" si="92"/>
        <v>47697094</v>
      </c>
      <c r="P222" s="183">
        <f t="shared" si="92"/>
        <v>48702773</v>
      </c>
      <c r="Q222" s="183">
        <f t="shared" si="92"/>
        <v>49186240</v>
      </c>
      <c r="R222" s="183">
        <f t="shared" si="92"/>
        <v>50730204</v>
      </c>
      <c r="S222" s="183">
        <f t="shared" si="92"/>
        <v>53070760</v>
      </c>
      <c r="T222" s="183">
        <f t="shared" si="92"/>
        <v>54746819</v>
      </c>
      <c r="U222" s="183">
        <f t="shared" si="92"/>
        <v>56464179</v>
      </c>
      <c r="V222" s="183">
        <f t="shared" si="92"/>
        <v>58298880</v>
      </c>
      <c r="W222" s="183">
        <f t="shared" si="92"/>
        <v>60019559</v>
      </c>
      <c r="X222" s="183">
        <f t="shared" si="92"/>
        <v>61362442.93</v>
      </c>
    </row>
    <row r="223" spans="1:24" outlineLevel="2">
      <c r="A223" s="136"/>
      <c r="B223" s="136"/>
      <c r="C223" s="136"/>
      <c r="D223" s="136"/>
      <c r="E223" s="161" t="s">
        <v>317</v>
      </c>
      <c r="F223" s="206">
        <f>+F18</f>
        <v>39016612.57</v>
      </c>
      <c r="G223" s="207">
        <f>+G18</f>
        <v>38909726.630000003</v>
      </c>
      <c r="H223" s="207">
        <f>+H18</f>
        <v>41900213</v>
      </c>
      <c r="I223" s="208">
        <f>+I18</f>
        <v>41279194.719999999</v>
      </c>
      <c r="J223" s="195">
        <f>+J18</f>
        <v>45274533.149999999</v>
      </c>
      <c r="K223" s="195"/>
      <c r="L223" s="195"/>
      <c r="M223" s="196">
        <f t="shared" ref="M223:X223" si="93">+M18</f>
        <v>42800000</v>
      </c>
      <c r="N223" s="196">
        <f t="shared" si="93"/>
        <v>44864749</v>
      </c>
      <c r="O223" s="196">
        <f t="shared" si="93"/>
        <v>46197094</v>
      </c>
      <c r="P223" s="196">
        <f t="shared" si="93"/>
        <v>47702773</v>
      </c>
      <c r="Q223" s="196">
        <f t="shared" si="93"/>
        <v>49186240</v>
      </c>
      <c r="R223" s="196">
        <f t="shared" si="93"/>
        <v>50730204</v>
      </c>
      <c r="S223" s="196">
        <f t="shared" si="93"/>
        <v>53070760</v>
      </c>
      <c r="T223" s="196">
        <f t="shared" si="93"/>
        <v>54746819</v>
      </c>
      <c r="U223" s="196">
        <f t="shared" si="93"/>
        <v>56464179</v>
      </c>
      <c r="V223" s="196">
        <f t="shared" si="93"/>
        <v>58298880</v>
      </c>
      <c r="W223" s="196">
        <f t="shared" si="93"/>
        <v>60019559</v>
      </c>
      <c r="X223" s="196">
        <f t="shared" si="93"/>
        <v>61362442.93</v>
      </c>
    </row>
    <row r="224" spans="1:24" outlineLevel="2">
      <c r="A224" s="143"/>
      <c r="B224" s="143"/>
      <c r="C224" s="143"/>
      <c r="D224" s="143"/>
      <c r="E224" s="150" t="s">
        <v>318</v>
      </c>
      <c r="F224" s="200">
        <f>+F18-F79</f>
        <v>39016612.57</v>
      </c>
      <c r="G224" s="201">
        <f>+G18-G79</f>
        <v>38909726.630000003</v>
      </c>
      <c r="H224" s="201">
        <f>+H18-H79</f>
        <v>41900213</v>
      </c>
      <c r="I224" s="202">
        <f>+I18-I79</f>
        <v>41279194.719999999</v>
      </c>
      <c r="J224" s="182">
        <f>+J18-J79</f>
        <v>45062073.149999999</v>
      </c>
      <c r="K224" s="182"/>
      <c r="L224" s="182"/>
      <c r="M224" s="183">
        <f t="shared" ref="M224:X224" si="94">+M18-M79</f>
        <v>42800000</v>
      </c>
      <c r="N224" s="183">
        <f t="shared" si="94"/>
        <v>44864749</v>
      </c>
      <c r="O224" s="183">
        <f t="shared" si="94"/>
        <v>46197094</v>
      </c>
      <c r="P224" s="183">
        <f t="shared" si="94"/>
        <v>47702773</v>
      </c>
      <c r="Q224" s="183">
        <f t="shared" si="94"/>
        <v>49186240</v>
      </c>
      <c r="R224" s="183">
        <f t="shared" si="94"/>
        <v>50730204</v>
      </c>
      <c r="S224" s="183">
        <f t="shared" si="94"/>
        <v>53070760</v>
      </c>
      <c r="T224" s="183">
        <f t="shared" si="94"/>
        <v>54746819</v>
      </c>
      <c r="U224" s="183">
        <f t="shared" si="94"/>
        <v>56464179</v>
      </c>
      <c r="V224" s="183">
        <f t="shared" si="94"/>
        <v>58298880</v>
      </c>
      <c r="W224" s="183">
        <f t="shared" si="94"/>
        <v>60019559</v>
      </c>
      <c r="X224" s="183">
        <f t="shared" si="94"/>
        <v>61362442.93</v>
      </c>
    </row>
    <row r="225" spans="1:24" outlineLevel="2">
      <c r="A225" s="143"/>
      <c r="B225" s="143"/>
      <c r="C225" s="143"/>
      <c r="D225" s="143"/>
      <c r="E225" s="150" t="s">
        <v>319</v>
      </c>
      <c r="F225" s="200">
        <f>+F64</f>
        <v>16198937.390000001</v>
      </c>
      <c r="G225" s="201">
        <f>+G64</f>
        <v>17492767.800000001</v>
      </c>
      <c r="H225" s="201">
        <f>+H64</f>
        <v>18911870</v>
      </c>
      <c r="I225" s="202">
        <f>+I64</f>
        <v>18344737.030000001</v>
      </c>
      <c r="J225" s="182">
        <f>+J64</f>
        <v>19174089.66</v>
      </c>
      <c r="K225" s="182"/>
      <c r="L225" s="182"/>
      <c r="M225" s="183">
        <f t="shared" ref="M225:X225" si="95">+M64</f>
        <v>19588342</v>
      </c>
      <c r="N225" s="183">
        <f t="shared" si="95"/>
        <v>20078051</v>
      </c>
      <c r="O225" s="183">
        <f t="shared" si="95"/>
        <v>20580002</v>
      </c>
      <c r="P225" s="183">
        <f t="shared" si="95"/>
        <v>21094502</v>
      </c>
      <c r="Q225" s="183">
        <f t="shared" si="95"/>
        <v>21621865</v>
      </c>
      <c r="R225" s="183">
        <f t="shared" si="95"/>
        <v>22162412</v>
      </c>
      <c r="S225" s="183">
        <f t="shared" si="95"/>
        <v>22716472</v>
      </c>
      <c r="T225" s="183">
        <f t="shared" si="95"/>
        <v>23284384</v>
      </c>
      <c r="U225" s="183">
        <f t="shared" si="95"/>
        <v>23866494</v>
      </c>
      <c r="V225" s="183">
        <f t="shared" si="95"/>
        <v>24463156</v>
      </c>
      <c r="W225" s="183">
        <f t="shared" si="95"/>
        <v>25074735</v>
      </c>
      <c r="X225" s="183">
        <f t="shared" si="95"/>
        <v>25701603</v>
      </c>
    </row>
    <row r="226" spans="1:24" ht="24" outlineLevel="2">
      <c r="A226" s="143"/>
      <c r="B226" s="143"/>
      <c r="C226" s="143"/>
      <c r="D226" s="143"/>
      <c r="E226" s="154" t="s">
        <v>320</v>
      </c>
      <c r="F226" s="203">
        <f>+F18-F19-F22-F64-F65</f>
        <v>22396847.140000001</v>
      </c>
      <c r="G226" s="204">
        <f>+G18-G19-G22-G64-G65</f>
        <v>21007070.870000001</v>
      </c>
      <c r="H226" s="204">
        <f>+H18-H19-H22-H64-H65</f>
        <v>22378343</v>
      </c>
      <c r="I226" s="205">
        <f>+I18-I19-I22-I64-I65</f>
        <v>22487198.219999999</v>
      </c>
      <c r="J226" s="190">
        <f>+J18-J19-J22-J64-J65</f>
        <v>21707948.489999998</v>
      </c>
      <c r="K226" s="190"/>
      <c r="L226" s="190"/>
      <c r="M226" s="191">
        <f t="shared" ref="M226:X226" si="96">+M18-M19-M22-M64-M65</f>
        <v>18784283</v>
      </c>
      <c r="N226" s="191">
        <f t="shared" si="96"/>
        <v>20367606</v>
      </c>
      <c r="O226" s="191">
        <f t="shared" si="96"/>
        <v>21196125</v>
      </c>
      <c r="P226" s="191">
        <f t="shared" si="96"/>
        <v>22184187</v>
      </c>
      <c r="Q226" s="191">
        <f t="shared" si="96"/>
        <v>23128873</v>
      </c>
      <c r="R226" s="191">
        <f t="shared" si="96"/>
        <v>24120511</v>
      </c>
      <c r="S226" s="191">
        <f t="shared" si="96"/>
        <v>25890814</v>
      </c>
      <c r="T226" s="191">
        <f t="shared" si="96"/>
        <v>26936722</v>
      </c>
      <c r="U226" s="191">
        <f t="shared" si="96"/>
        <v>28007947</v>
      </c>
      <c r="V226" s="191">
        <f t="shared" si="96"/>
        <v>29178713</v>
      </c>
      <c r="W226" s="191">
        <f t="shared" si="96"/>
        <v>30213955</v>
      </c>
      <c r="X226" s="191">
        <f t="shared" si="96"/>
        <v>30825158.93</v>
      </c>
    </row>
    <row r="227" spans="1:24" outlineLevel="2">
      <c r="E227" s="209"/>
      <c r="F227" s="210"/>
      <c r="G227" s="210"/>
      <c r="H227" s="210"/>
      <c r="I227" s="210"/>
      <c r="J227" s="211"/>
      <c r="K227" s="211"/>
      <c r="L227" s="211"/>
      <c r="M227" s="211"/>
      <c r="N227" s="211"/>
      <c r="O227" s="211"/>
      <c r="P227" s="211"/>
      <c r="Q227" s="211"/>
      <c r="R227" s="211"/>
      <c r="S227" s="211"/>
      <c r="T227" s="211"/>
      <c r="U227" s="211"/>
      <c r="V227" s="211"/>
      <c r="W227" s="211"/>
      <c r="X227" s="211"/>
    </row>
    <row r="228" spans="1:24" outlineLevel="1">
      <c r="E228" s="112" t="s">
        <v>323</v>
      </c>
      <c r="F228" s="113"/>
      <c r="G228" s="113"/>
      <c r="H228" s="113"/>
      <c r="I228" s="113"/>
    </row>
    <row r="229" spans="1:24" outlineLevel="2">
      <c r="A229" s="212"/>
      <c r="B229" s="212"/>
      <c r="C229" s="212"/>
      <c r="D229" s="212"/>
      <c r="E229" s="213" t="s">
        <v>7</v>
      </c>
      <c r="F229" s="214" t="s">
        <v>310</v>
      </c>
      <c r="G229" s="215">
        <f t="shared" ref="G229:X230" si="97">+IF(F6&lt;&gt;0,G6/F6,"-")</f>
        <v>1.0029989486740214</v>
      </c>
      <c r="H229" s="215">
        <f t="shared" si="97"/>
        <v>1.2977827822445589</v>
      </c>
      <c r="I229" s="216">
        <f t="shared" si="97"/>
        <v>1.0082045972840352</v>
      </c>
      <c r="J229" s="217">
        <f t="shared" si="97"/>
        <v>0.87871359081160005</v>
      </c>
      <c r="K229" s="217"/>
      <c r="L229" s="217"/>
      <c r="M229" s="218">
        <f>+IF(J6&lt;&gt;0,M6/J6,"-")</f>
        <v>0.97871446629831282</v>
      </c>
      <c r="N229" s="218">
        <f t="shared" si="97"/>
        <v>0.96702663670005606</v>
      </c>
      <c r="O229" s="218">
        <f t="shared" si="97"/>
        <v>1.038552350704623</v>
      </c>
      <c r="P229" s="218">
        <f t="shared" si="97"/>
        <v>1.0193609768859662</v>
      </c>
      <c r="Q229" s="218">
        <f t="shared" si="97"/>
        <v>1.0096084659483231</v>
      </c>
      <c r="R229" s="218">
        <f t="shared" si="97"/>
        <v>1.0303928485377234</v>
      </c>
      <c r="S229" s="218">
        <f t="shared" si="97"/>
        <v>1.0307303555518774</v>
      </c>
      <c r="T229" s="218">
        <f t="shared" si="97"/>
        <v>1.0310653060195623</v>
      </c>
      <c r="U229" s="218">
        <f t="shared" si="97"/>
        <v>1.0307735096802972</v>
      </c>
      <c r="V229" s="218">
        <f t="shared" si="97"/>
        <v>1.0312466292492735</v>
      </c>
      <c r="W229" s="218">
        <f t="shared" si="97"/>
        <v>1.0221053369085185</v>
      </c>
      <c r="X229" s="218">
        <f t="shared" si="97"/>
        <v>1.0221247477996986</v>
      </c>
    </row>
    <row r="230" spans="1:24" outlineLevel="2">
      <c r="E230" s="219" t="s">
        <v>9</v>
      </c>
      <c r="F230" s="220" t="s">
        <v>310</v>
      </c>
      <c r="G230" s="221">
        <f t="shared" si="97"/>
        <v>0.95403472523475041</v>
      </c>
      <c r="H230" s="221">
        <f t="shared" si="97"/>
        <v>1.1056112890113001</v>
      </c>
      <c r="I230" s="222">
        <f t="shared" si="97"/>
        <v>1.0258804985446475</v>
      </c>
      <c r="J230" s="223">
        <f t="shared" si="97"/>
        <v>1.0286228031636606</v>
      </c>
      <c r="K230" s="223"/>
      <c r="L230" s="223"/>
      <c r="M230" s="224">
        <f>+IF(J7&lt;&gt;0,M7/J7,"-")</f>
        <v>0.97568071989396477</v>
      </c>
      <c r="N230" s="224">
        <f t="shared" si="97"/>
        <v>1.0126068921492868</v>
      </c>
      <c r="O230" s="224">
        <f t="shared" si="97"/>
        <v>1.0286348769015905</v>
      </c>
      <c r="P230" s="224">
        <f t="shared" si="97"/>
        <v>1.0304146620635124</v>
      </c>
      <c r="Q230" s="224">
        <f t="shared" si="97"/>
        <v>1.0300803744803011</v>
      </c>
      <c r="R230" s="224">
        <f t="shared" si="97"/>
        <v>1.0303928485377234</v>
      </c>
      <c r="S230" s="224">
        <f t="shared" si="97"/>
        <v>1.0307303555518774</v>
      </c>
      <c r="T230" s="224">
        <f t="shared" si="97"/>
        <v>1.0310653060195623</v>
      </c>
      <c r="U230" s="224">
        <f t="shared" si="97"/>
        <v>1.0307735096802972</v>
      </c>
      <c r="V230" s="224">
        <f t="shared" si="97"/>
        <v>1.0312466292492735</v>
      </c>
      <c r="W230" s="224">
        <f t="shared" si="97"/>
        <v>1.0221053369085185</v>
      </c>
      <c r="X230" s="224">
        <f t="shared" si="97"/>
        <v>1.0221247477996986</v>
      </c>
    </row>
    <row r="231" spans="1:24" ht="24" outlineLevel="2">
      <c r="E231" s="225" t="s">
        <v>324</v>
      </c>
      <c r="F231" s="226" t="s">
        <v>310</v>
      </c>
      <c r="G231" s="227" t="str">
        <f>+IF((F73)&lt;&gt;0,(G73)/(F73),"-")</f>
        <v>-</v>
      </c>
      <c r="H231" s="227" t="str">
        <f>+IF((G73)&lt;&gt;0,(H73)/(G73),"-")</f>
        <v>-</v>
      </c>
      <c r="I231" s="228" t="str">
        <f>+IF((H73)&lt;&gt;0,(I73)/(H73),"-")</f>
        <v>-</v>
      </c>
      <c r="J231" s="223" t="str">
        <f>+IF((I73)&lt;&gt;0,(J73)/(I73),"-")</f>
        <v>-</v>
      </c>
      <c r="K231" s="223"/>
      <c r="L231" s="223"/>
      <c r="M231" s="224">
        <f>+IF((J73)&lt;&gt;0,(M73)/(J73),"-")</f>
        <v>0</v>
      </c>
      <c r="N231" s="224" t="str">
        <f t="shared" ref="N231:X231" si="98">+IF((M73)&lt;&gt;0,(N73)/(M73),"-")</f>
        <v>-</v>
      </c>
      <c r="O231" s="224" t="str">
        <f t="shared" si="98"/>
        <v>-</v>
      </c>
      <c r="P231" s="224" t="str">
        <f t="shared" si="98"/>
        <v>-</v>
      </c>
      <c r="Q231" s="224" t="str">
        <f t="shared" si="98"/>
        <v>-</v>
      </c>
      <c r="R231" s="224" t="str">
        <f t="shared" si="98"/>
        <v>-</v>
      </c>
      <c r="S231" s="224" t="str">
        <f t="shared" si="98"/>
        <v>-</v>
      </c>
      <c r="T231" s="224" t="str">
        <f t="shared" si="98"/>
        <v>-</v>
      </c>
      <c r="U231" s="224" t="str">
        <f t="shared" si="98"/>
        <v>-</v>
      </c>
      <c r="V231" s="224" t="str">
        <f t="shared" si="98"/>
        <v>-</v>
      </c>
      <c r="W231" s="224" t="str">
        <f t="shared" si="98"/>
        <v>-</v>
      </c>
      <c r="X231" s="224" t="str">
        <f t="shared" si="98"/>
        <v>-</v>
      </c>
    </row>
    <row r="232" spans="1:24" outlineLevel="2">
      <c r="E232" s="219" t="s">
        <v>23</v>
      </c>
      <c r="F232" s="220" t="s">
        <v>310</v>
      </c>
      <c r="G232" s="221">
        <f t="shared" ref="G232:X233" si="99">+IF(F14&lt;&gt;0,G14/F14,"-")</f>
        <v>2.6784344495361516</v>
      </c>
      <c r="H232" s="221">
        <f t="shared" si="99"/>
        <v>3.6399665539671151</v>
      </c>
      <c r="I232" s="222">
        <f t="shared" si="99"/>
        <v>0.94276831141347728</v>
      </c>
      <c r="J232" s="223">
        <f t="shared" si="99"/>
        <v>0.27482448613009525</v>
      </c>
      <c r="K232" s="223"/>
      <c r="L232" s="223"/>
      <c r="M232" s="224">
        <f>+IF(J14&lt;&gt;0,M14/J14,"-")</f>
        <v>1.0244558048760497</v>
      </c>
      <c r="N232" s="224">
        <f t="shared" si="99"/>
        <v>0.31250976593018531</v>
      </c>
      <c r="O232" s="224">
        <f t="shared" si="99"/>
        <v>1.5</v>
      </c>
      <c r="P232" s="224">
        <f t="shared" si="99"/>
        <v>0.66666666666666663</v>
      </c>
      <c r="Q232" s="224">
        <f t="shared" si="99"/>
        <v>0</v>
      </c>
      <c r="R232" s="224" t="str">
        <f t="shared" si="99"/>
        <v>-</v>
      </c>
      <c r="S232" s="224" t="str">
        <f t="shared" si="99"/>
        <v>-</v>
      </c>
      <c r="T232" s="224" t="str">
        <f t="shared" si="99"/>
        <v>-</v>
      </c>
      <c r="U232" s="224" t="str">
        <f t="shared" si="99"/>
        <v>-</v>
      </c>
      <c r="V232" s="224" t="str">
        <f t="shared" si="99"/>
        <v>-</v>
      </c>
      <c r="W232" s="224" t="str">
        <f t="shared" si="99"/>
        <v>-</v>
      </c>
      <c r="X232" s="224" t="str">
        <f t="shared" si="99"/>
        <v>-</v>
      </c>
    </row>
    <row r="233" spans="1:24" outlineLevel="2">
      <c r="E233" s="229" t="s">
        <v>25</v>
      </c>
      <c r="F233" s="220" t="s">
        <v>310</v>
      </c>
      <c r="G233" s="221">
        <f t="shared" si="99"/>
        <v>0.65491821038820508</v>
      </c>
      <c r="H233" s="221">
        <f t="shared" si="99"/>
        <v>7.5156909777850078</v>
      </c>
      <c r="I233" s="222">
        <f t="shared" si="99"/>
        <v>0.88119270999999999</v>
      </c>
      <c r="J233" s="223">
        <f t="shared" si="99"/>
        <v>0.39605411624433434</v>
      </c>
      <c r="K233" s="223"/>
      <c r="L233" s="223"/>
      <c r="M233" s="224">
        <f>+IF(J15&lt;&gt;0,M15/J15,"-")</f>
        <v>0.86088825214899711</v>
      </c>
      <c r="N233" s="224">
        <f t="shared" si="99"/>
        <v>1.6641704110500914</v>
      </c>
      <c r="O233" s="224">
        <f t="shared" si="99"/>
        <v>1.5</v>
      </c>
      <c r="P233" s="224">
        <f t="shared" si="99"/>
        <v>0.66666666666666663</v>
      </c>
      <c r="Q233" s="224">
        <f t="shared" si="99"/>
        <v>0</v>
      </c>
      <c r="R233" s="224" t="str">
        <f t="shared" si="99"/>
        <v>-</v>
      </c>
      <c r="S233" s="224" t="str">
        <f t="shared" si="99"/>
        <v>-</v>
      </c>
      <c r="T233" s="224" t="str">
        <f t="shared" si="99"/>
        <v>-</v>
      </c>
      <c r="U233" s="224" t="str">
        <f t="shared" si="99"/>
        <v>-</v>
      </c>
      <c r="V233" s="224" t="str">
        <f t="shared" si="99"/>
        <v>-</v>
      </c>
      <c r="W233" s="224" t="str">
        <f t="shared" si="99"/>
        <v>-</v>
      </c>
      <c r="X233" s="224" t="str">
        <f t="shared" si="99"/>
        <v>-</v>
      </c>
    </row>
    <row r="234" spans="1:24" ht="24" outlineLevel="2">
      <c r="E234" s="230" t="s">
        <v>324</v>
      </c>
      <c r="F234" s="231" t="s">
        <v>310</v>
      </c>
      <c r="G234" s="232" t="str">
        <f>+IF((F76)&lt;&gt;0,(G76)/(F76),"-")</f>
        <v>-</v>
      </c>
      <c r="H234" s="232" t="str">
        <f>+IF((G76)&lt;&gt;0,(H76)/(G76),"-")</f>
        <v>-</v>
      </c>
      <c r="I234" s="233" t="str">
        <f>+IF((H76)&lt;&gt;0,(I76)/(H76),"-")</f>
        <v>-</v>
      </c>
      <c r="J234" s="234" t="str">
        <f>+IF((I76)&lt;&gt;0,(J76)/(I76),"-")</f>
        <v>-</v>
      </c>
      <c r="K234" s="234"/>
      <c r="L234" s="234"/>
      <c r="M234" s="235">
        <f>+IF((J76)&lt;&gt;0,(M76)/(J76),"-")</f>
        <v>1.0732963536831532</v>
      </c>
      <c r="N234" s="235">
        <f t="shared" ref="N234:X234" si="100">+IF((M76)&lt;&gt;0,(N76)/(M76),"-")</f>
        <v>0</v>
      </c>
      <c r="O234" s="235" t="str">
        <f t="shared" si="100"/>
        <v>-</v>
      </c>
      <c r="P234" s="235" t="str">
        <f t="shared" si="100"/>
        <v>-</v>
      </c>
      <c r="Q234" s="235" t="str">
        <f t="shared" si="100"/>
        <v>-</v>
      </c>
      <c r="R234" s="235" t="str">
        <f t="shared" si="100"/>
        <v>-</v>
      </c>
      <c r="S234" s="235" t="str">
        <f t="shared" si="100"/>
        <v>-</v>
      </c>
      <c r="T234" s="235" t="str">
        <f t="shared" si="100"/>
        <v>-</v>
      </c>
      <c r="U234" s="235" t="str">
        <f t="shared" si="100"/>
        <v>-</v>
      </c>
      <c r="V234" s="235" t="str">
        <f t="shared" si="100"/>
        <v>-</v>
      </c>
      <c r="W234" s="235" t="str">
        <f t="shared" si="100"/>
        <v>-</v>
      </c>
      <c r="X234" s="235" t="str">
        <f t="shared" si="100"/>
        <v>-</v>
      </c>
    </row>
    <row r="235" spans="1:24" outlineLevel="2">
      <c r="A235" s="212"/>
      <c r="B235" s="212"/>
      <c r="C235" s="212"/>
      <c r="D235" s="212"/>
      <c r="E235" s="213" t="s">
        <v>28</v>
      </c>
      <c r="F235" s="214" t="s">
        <v>310</v>
      </c>
      <c r="G235" s="215">
        <f t="shared" ref="G235:X236" si="101">+IF(F17&lt;&gt;0,G17/F17,"-")</f>
        <v>1.0226280437180628</v>
      </c>
      <c r="H235" s="215">
        <f t="shared" si="101"/>
        <v>1.3666861068978209</v>
      </c>
      <c r="I235" s="216">
        <f t="shared" si="101"/>
        <v>0.94593489893188643</v>
      </c>
      <c r="J235" s="217">
        <f t="shared" si="101"/>
        <v>1.0188381644492139</v>
      </c>
      <c r="K235" s="217"/>
      <c r="L235" s="217"/>
      <c r="M235" s="218">
        <f>+IF(J17&lt;&gt;0,M17/J17,"-")</f>
        <v>0.81340891073904387</v>
      </c>
      <c r="N235" s="218">
        <f t="shared" si="101"/>
        <v>0.96797078677091897</v>
      </c>
      <c r="O235" s="218">
        <f t="shared" si="101"/>
        <v>1.039951052604692</v>
      </c>
      <c r="P235" s="218">
        <f t="shared" si="101"/>
        <v>1.0210847017220797</v>
      </c>
      <c r="Q235" s="218">
        <f t="shared" si="101"/>
        <v>1.009926888557249</v>
      </c>
      <c r="R235" s="218">
        <f t="shared" si="101"/>
        <v>1.0313901611507608</v>
      </c>
      <c r="S235" s="218">
        <f t="shared" si="101"/>
        <v>1.0461373267885932</v>
      </c>
      <c r="T235" s="218">
        <f t="shared" si="101"/>
        <v>1.031581590314516</v>
      </c>
      <c r="U235" s="218">
        <f t="shared" si="101"/>
        <v>1.0313691284967625</v>
      </c>
      <c r="V235" s="218">
        <f t="shared" si="101"/>
        <v>1.0324931847499279</v>
      </c>
      <c r="W235" s="218">
        <f t="shared" si="101"/>
        <v>1.0295147865619374</v>
      </c>
      <c r="X235" s="218">
        <f t="shared" si="101"/>
        <v>1.0223741052479243</v>
      </c>
    </row>
    <row r="236" spans="1:24" outlineLevel="2">
      <c r="E236" s="219" t="s">
        <v>30</v>
      </c>
      <c r="F236" s="220" t="s">
        <v>310</v>
      </c>
      <c r="G236" s="221">
        <f t="shared" si="101"/>
        <v>0.99726050179758086</v>
      </c>
      <c r="H236" s="221">
        <f t="shared" si="101"/>
        <v>1.0768570388180081</v>
      </c>
      <c r="I236" s="222">
        <f t="shared" si="101"/>
        <v>0.98517863668139349</v>
      </c>
      <c r="J236" s="223">
        <f t="shared" si="101"/>
        <v>1.0967881872963048</v>
      </c>
      <c r="K236" s="223"/>
      <c r="L236" s="223"/>
      <c r="M236" s="224">
        <f>+IF(J18&lt;&gt;0,M18/J18,"-")</f>
        <v>0.94534381742156082</v>
      </c>
      <c r="N236" s="224">
        <f t="shared" si="101"/>
        <v>1.0482417990654205</v>
      </c>
      <c r="O236" s="224">
        <f t="shared" si="101"/>
        <v>1.0296969230787405</v>
      </c>
      <c r="P236" s="224">
        <f t="shared" si="101"/>
        <v>1.032592504628105</v>
      </c>
      <c r="Q236" s="224">
        <f t="shared" si="101"/>
        <v>1.0310981292429269</v>
      </c>
      <c r="R236" s="224">
        <f t="shared" si="101"/>
        <v>1.0313901611507608</v>
      </c>
      <c r="S236" s="224">
        <f t="shared" si="101"/>
        <v>1.0461373267885932</v>
      </c>
      <c r="T236" s="224">
        <f t="shared" si="101"/>
        <v>1.031581590314516</v>
      </c>
      <c r="U236" s="224">
        <f t="shared" si="101"/>
        <v>1.0313691284967625</v>
      </c>
      <c r="V236" s="224">
        <f t="shared" si="101"/>
        <v>1.0324931847499279</v>
      </c>
      <c r="W236" s="224">
        <f t="shared" si="101"/>
        <v>1.0295147865619374</v>
      </c>
      <c r="X236" s="224">
        <f t="shared" si="101"/>
        <v>1.0223741052479243</v>
      </c>
    </row>
    <row r="237" spans="1:24" outlineLevel="2">
      <c r="E237" s="225" t="s">
        <v>325</v>
      </c>
      <c r="F237" s="220" t="s">
        <v>310</v>
      </c>
      <c r="G237" s="221">
        <f>+IF((F18-F22)&lt;&gt;0,(G18-G22)/(F18-F22),"-")</f>
        <v>0.99751408447403311</v>
      </c>
      <c r="H237" s="221">
        <f>+IF((G18-G22)&lt;&gt;0,(H18-H22)/(G18-G22),"-")</f>
        <v>1.0724775590338855</v>
      </c>
      <c r="I237" s="222">
        <f>+IF((H18-H22)&lt;&gt;0,(I18-I22)/(H18-H22),"-")</f>
        <v>0.98890105628663139</v>
      </c>
      <c r="J237" s="223">
        <f>+IF((I18-I22)&lt;&gt;0,(J18-J22)/(I18-I22),"-")</f>
        <v>1.0886633924606843</v>
      </c>
      <c r="K237" s="223"/>
      <c r="L237" s="223"/>
      <c r="M237" s="224">
        <f>+IF((J18-J22)&lt;&gt;0,(M18-M22)/(J18-J22),"-")</f>
        <v>0.94548680733714729</v>
      </c>
      <c r="N237" s="224">
        <f t="shared" ref="N237:X237" si="102">+IF((M18-M22)&lt;&gt;0,(N18-N22)/(M18-M22),"-")</f>
        <v>1.0514987508624998</v>
      </c>
      <c r="O237" s="224">
        <f t="shared" si="102"/>
        <v>1.0322257096929837</v>
      </c>
      <c r="P237" s="224">
        <f t="shared" si="102"/>
        <v>1.0350434654549825</v>
      </c>
      <c r="Q237" s="224">
        <f t="shared" si="102"/>
        <v>1.0332616100764558</v>
      </c>
      <c r="R237" s="224">
        <f t="shared" si="102"/>
        <v>1.0334739645803408</v>
      </c>
      <c r="S237" s="224">
        <f t="shared" si="102"/>
        <v>1.0481514237588045</v>
      </c>
      <c r="T237" s="224">
        <f t="shared" si="102"/>
        <v>1.0325431675558909</v>
      </c>
      <c r="U237" s="224">
        <f t="shared" si="102"/>
        <v>1.0322902029375165</v>
      </c>
      <c r="V237" s="224">
        <f t="shared" si="102"/>
        <v>1.0333538383229823</v>
      </c>
      <c r="W237" s="224">
        <f t="shared" si="102"/>
        <v>1.0302531190633344</v>
      </c>
      <c r="X237" s="224">
        <f t="shared" si="102"/>
        <v>1.0225963470656643</v>
      </c>
    </row>
    <row r="238" spans="1:24" ht="24" outlineLevel="2">
      <c r="E238" s="225" t="s">
        <v>324</v>
      </c>
      <c r="F238" s="220" t="s">
        <v>310</v>
      </c>
      <c r="G238" s="221" t="str">
        <f>+IF(F79&lt;&gt;0,G79/F79,"-")</f>
        <v>-</v>
      </c>
      <c r="H238" s="221" t="str">
        <f>+IF(G79&lt;&gt;0,H79/G79,"-")</f>
        <v>-</v>
      </c>
      <c r="I238" s="222" t="str">
        <f>+IF(H79&lt;&gt;0,I79/H79,"-")</f>
        <v>-</v>
      </c>
      <c r="J238" s="223" t="str">
        <f>+IF(I79&lt;&gt;0,J79/I79,"-")</f>
        <v>-</v>
      </c>
      <c r="K238" s="223"/>
      <c r="L238" s="223"/>
      <c r="M238" s="224">
        <f>+IF(J79&lt;&gt;0,M79/J79,"-")</f>
        <v>0</v>
      </c>
      <c r="N238" s="224" t="str">
        <f t="shared" ref="N238:X238" si="103">+IF(M79&lt;&gt;0,N79/M79,"-")</f>
        <v>-</v>
      </c>
      <c r="O238" s="224" t="str">
        <f t="shared" si="103"/>
        <v>-</v>
      </c>
      <c r="P238" s="224" t="str">
        <f t="shared" si="103"/>
        <v>-</v>
      </c>
      <c r="Q238" s="224" t="str">
        <f t="shared" si="103"/>
        <v>-</v>
      </c>
      <c r="R238" s="224" t="str">
        <f t="shared" si="103"/>
        <v>-</v>
      </c>
      <c r="S238" s="224" t="str">
        <f t="shared" si="103"/>
        <v>-</v>
      </c>
      <c r="T238" s="224" t="str">
        <f t="shared" si="103"/>
        <v>-</v>
      </c>
      <c r="U238" s="224" t="str">
        <f t="shared" si="103"/>
        <v>-</v>
      </c>
      <c r="V238" s="224" t="str">
        <f t="shared" si="103"/>
        <v>-</v>
      </c>
      <c r="W238" s="224" t="str">
        <f t="shared" si="103"/>
        <v>-</v>
      </c>
      <c r="X238" s="224" t="str">
        <f t="shared" si="103"/>
        <v>-</v>
      </c>
    </row>
    <row r="239" spans="1:24" outlineLevel="2">
      <c r="E239" s="225" t="s">
        <v>32</v>
      </c>
      <c r="F239" s="220" t="s">
        <v>310</v>
      </c>
      <c r="G239" s="221" t="str">
        <f t="shared" ref="G239:X240" si="104">+IF(F19&lt;&gt;0,G19/F19,"-")</f>
        <v>-</v>
      </c>
      <c r="H239" s="221" t="str">
        <f t="shared" si="104"/>
        <v>-</v>
      </c>
      <c r="I239" s="222" t="str">
        <f t="shared" si="104"/>
        <v>-</v>
      </c>
      <c r="J239" s="223" t="str">
        <f t="shared" si="104"/>
        <v>-</v>
      </c>
      <c r="K239" s="223"/>
      <c r="L239" s="223"/>
      <c r="M239" s="224" t="str">
        <f>+IF(J19&lt;&gt;0,M19/J19,"-")</f>
        <v>-</v>
      </c>
      <c r="N239" s="224" t="str">
        <f t="shared" si="104"/>
        <v>-</v>
      </c>
      <c r="O239" s="224" t="str">
        <f t="shared" si="104"/>
        <v>-</v>
      </c>
      <c r="P239" s="224" t="str">
        <f t="shared" si="104"/>
        <v>-</v>
      </c>
      <c r="Q239" s="224" t="str">
        <f t="shared" si="104"/>
        <v>-</v>
      </c>
      <c r="R239" s="224" t="str">
        <f t="shared" si="104"/>
        <v>-</v>
      </c>
      <c r="S239" s="224" t="str">
        <f t="shared" si="104"/>
        <v>-</v>
      </c>
      <c r="T239" s="224" t="str">
        <f t="shared" si="104"/>
        <v>-</v>
      </c>
      <c r="U239" s="224" t="str">
        <f t="shared" si="104"/>
        <v>-</v>
      </c>
      <c r="V239" s="224" t="str">
        <f t="shared" si="104"/>
        <v>-</v>
      </c>
      <c r="W239" s="224" t="str">
        <f t="shared" si="104"/>
        <v>-</v>
      </c>
      <c r="X239" s="224" t="str">
        <f t="shared" si="104"/>
        <v>-</v>
      </c>
    </row>
    <row r="240" spans="1:24" ht="24" outlineLevel="2">
      <c r="E240" s="236" t="s">
        <v>326</v>
      </c>
      <c r="F240" s="220" t="s">
        <v>310</v>
      </c>
      <c r="G240" s="221" t="str">
        <f t="shared" si="104"/>
        <v>-</v>
      </c>
      <c r="H240" s="221" t="str">
        <f t="shared" si="104"/>
        <v>-</v>
      </c>
      <c r="I240" s="222" t="str">
        <f t="shared" si="104"/>
        <v>-</v>
      </c>
      <c r="J240" s="223" t="str">
        <f t="shared" si="104"/>
        <v>-</v>
      </c>
      <c r="K240" s="223"/>
      <c r="L240" s="223"/>
      <c r="M240" s="224" t="str">
        <f>+IF(J20&lt;&gt;0,M20/J20,"-")</f>
        <v>-</v>
      </c>
      <c r="N240" s="224" t="str">
        <f t="shared" si="104"/>
        <v>-</v>
      </c>
      <c r="O240" s="224" t="str">
        <f t="shared" si="104"/>
        <v>-</v>
      </c>
      <c r="P240" s="224" t="str">
        <f t="shared" si="104"/>
        <v>-</v>
      </c>
      <c r="Q240" s="224" t="str">
        <f t="shared" si="104"/>
        <v>-</v>
      </c>
      <c r="R240" s="224" t="str">
        <f t="shared" si="104"/>
        <v>-</v>
      </c>
      <c r="S240" s="224" t="str">
        <f t="shared" si="104"/>
        <v>-</v>
      </c>
      <c r="T240" s="224" t="str">
        <f t="shared" si="104"/>
        <v>-</v>
      </c>
      <c r="U240" s="224" t="str">
        <f t="shared" si="104"/>
        <v>-</v>
      </c>
      <c r="V240" s="224" t="str">
        <f t="shared" si="104"/>
        <v>-</v>
      </c>
      <c r="W240" s="224" t="str">
        <f t="shared" si="104"/>
        <v>-</v>
      </c>
      <c r="X240" s="224" t="str">
        <f t="shared" si="104"/>
        <v>-</v>
      </c>
    </row>
    <row r="241" spans="5:24" outlineLevel="2">
      <c r="E241" s="225" t="s">
        <v>327</v>
      </c>
      <c r="F241" s="220" t="s">
        <v>310</v>
      </c>
      <c r="G241" s="221">
        <f t="shared" ref="G241:X243" si="105">+IF(F22&lt;&gt;0,G22/F22,"-")</f>
        <v>0.9740034433066771</v>
      </c>
      <c r="H241" s="221">
        <f t="shared" si="105"/>
        <v>1.4882115590806815</v>
      </c>
      <c r="I241" s="222">
        <f t="shared" si="105"/>
        <v>0.73321224590163925</v>
      </c>
      <c r="J241" s="223">
        <f t="shared" si="105"/>
        <v>1.8385301042368092</v>
      </c>
      <c r="K241" s="223"/>
      <c r="L241" s="223"/>
      <c r="M241" s="224">
        <f>+IF(J22&lt;&gt;0,M22/J22,"-")</f>
        <v>0.93761400948558915</v>
      </c>
      <c r="N241" s="224">
        <f t="shared" si="105"/>
        <v>0.87069779507133593</v>
      </c>
      <c r="O241" s="224">
        <f t="shared" si="105"/>
        <v>0.86322224671834691</v>
      </c>
      <c r="P241" s="224">
        <f t="shared" si="105"/>
        <v>0.83965155447567508</v>
      </c>
      <c r="Q241" s="224">
        <f t="shared" si="105"/>
        <v>0.82115552194143471</v>
      </c>
      <c r="R241" s="224">
        <f t="shared" si="105"/>
        <v>0.77694795118483884</v>
      </c>
      <c r="S241" s="224">
        <f t="shared" si="105"/>
        <v>0.71900730604198071</v>
      </c>
      <c r="T241" s="224">
        <f t="shared" si="105"/>
        <v>0.8039068100358423</v>
      </c>
      <c r="U241" s="224">
        <f t="shared" si="105"/>
        <v>0.75125953007267376</v>
      </c>
      <c r="V241" s="224">
        <f t="shared" si="105"/>
        <v>0.6728486646884273</v>
      </c>
      <c r="W241" s="224">
        <f t="shared" si="105"/>
        <v>0.55567805953693494</v>
      </c>
      <c r="X241" s="224">
        <f t="shared" si="105"/>
        <v>0.75793650793650791</v>
      </c>
    </row>
    <row r="242" spans="5:24" outlineLevel="2">
      <c r="E242" s="236" t="s">
        <v>328</v>
      </c>
      <c r="F242" s="220" t="s">
        <v>310</v>
      </c>
      <c r="G242" s="221">
        <f t="shared" si="105"/>
        <v>0.9740034433066771</v>
      </c>
      <c r="H242" s="221">
        <f t="shared" si="105"/>
        <v>1.4882115590806815</v>
      </c>
      <c r="I242" s="222">
        <f t="shared" si="105"/>
        <v>0.73321224590163925</v>
      </c>
      <c r="J242" s="223">
        <f t="shared" si="105"/>
        <v>1.8385301042368092</v>
      </c>
      <c r="K242" s="223"/>
      <c r="L242" s="223"/>
      <c r="M242" s="224">
        <f>+IF(J23&lt;&gt;0,M23/J23,"-")</f>
        <v>0.93761400948558915</v>
      </c>
      <c r="N242" s="224">
        <f t="shared" si="105"/>
        <v>0.87069779507133593</v>
      </c>
      <c r="O242" s="224">
        <f t="shared" si="105"/>
        <v>0.86322224671834691</v>
      </c>
      <c r="P242" s="224">
        <f t="shared" si="105"/>
        <v>0.83965155447567508</v>
      </c>
      <c r="Q242" s="224">
        <f t="shared" si="105"/>
        <v>0.82115552194143471</v>
      </c>
      <c r="R242" s="224">
        <f t="shared" si="105"/>
        <v>0.77694795118483884</v>
      </c>
      <c r="S242" s="224">
        <f t="shared" si="105"/>
        <v>0.71900730604198071</v>
      </c>
      <c r="T242" s="224">
        <f t="shared" si="105"/>
        <v>0.8039068100358423</v>
      </c>
      <c r="U242" s="224">
        <f t="shared" si="105"/>
        <v>0.75125953007267376</v>
      </c>
      <c r="V242" s="224">
        <f t="shared" si="105"/>
        <v>0.6728486646884273</v>
      </c>
      <c r="W242" s="224">
        <f t="shared" si="105"/>
        <v>0.55567805953693494</v>
      </c>
      <c r="X242" s="224">
        <f t="shared" si="105"/>
        <v>0.75793650793650791</v>
      </c>
    </row>
    <row r="243" spans="5:24" outlineLevel="2">
      <c r="E243" s="219" t="s">
        <v>329</v>
      </c>
      <c r="F243" s="220" t="s">
        <v>310</v>
      </c>
      <c r="G243" s="221">
        <f t="shared" si="105"/>
        <v>1.2565972863128942</v>
      </c>
      <c r="H243" s="221">
        <f t="shared" si="105"/>
        <v>3.4881459904214318</v>
      </c>
      <c r="I243" s="222">
        <f t="shared" si="105"/>
        <v>0.85725470258455549</v>
      </c>
      <c r="J243" s="223">
        <f t="shared" si="105"/>
        <v>0.81640687683956659</v>
      </c>
      <c r="K243" s="223"/>
      <c r="L243" s="223"/>
      <c r="M243" s="224">
        <f>+IF(J24&lt;&gt;0,M24/J24,"-")</f>
        <v>0.35311289571255133</v>
      </c>
      <c r="N243" s="224">
        <f t="shared" si="105"/>
        <v>0.21822773329690384</v>
      </c>
      <c r="O243" s="224">
        <f t="shared" si="105"/>
        <v>1.5</v>
      </c>
      <c r="P243" s="224">
        <f t="shared" si="105"/>
        <v>0.66666666666666663</v>
      </c>
      <c r="Q243" s="224">
        <f t="shared" si="105"/>
        <v>0</v>
      </c>
      <c r="R243" s="224" t="str">
        <f t="shared" si="105"/>
        <v>-</v>
      </c>
      <c r="S243" s="224" t="str">
        <f t="shared" si="105"/>
        <v>-</v>
      </c>
      <c r="T243" s="224" t="str">
        <f t="shared" si="105"/>
        <v>-</v>
      </c>
      <c r="U243" s="224" t="str">
        <f t="shared" si="105"/>
        <v>-</v>
      </c>
      <c r="V243" s="224" t="str">
        <f t="shared" si="105"/>
        <v>-</v>
      </c>
      <c r="W243" s="224" t="str">
        <f t="shared" si="105"/>
        <v>-</v>
      </c>
      <c r="X243" s="224" t="str">
        <f t="shared" si="105"/>
        <v>-</v>
      </c>
    </row>
    <row r="244" spans="5:24" ht="24" outlineLevel="2">
      <c r="E244" s="230" t="s">
        <v>324</v>
      </c>
      <c r="F244" s="237" t="s">
        <v>310</v>
      </c>
      <c r="G244" s="238" t="str">
        <f>+IF(F82&lt;&gt;0,G82/F82,"-")</f>
        <v>-</v>
      </c>
      <c r="H244" s="238" t="str">
        <f>+IF(G82&lt;&gt;0,H82/G82,"-")</f>
        <v>-</v>
      </c>
      <c r="I244" s="239" t="str">
        <f>+IF(H82&lt;&gt;0,I82/H82,"-")</f>
        <v>-</v>
      </c>
      <c r="J244" s="234" t="str">
        <f>+IF(I82&lt;&gt;0,J82/I82,"-")</f>
        <v>-</v>
      </c>
      <c r="K244" s="234"/>
      <c r="L244" s="234"/>
      <c r="M244" s="235">
        <f>+IF(J82&lt;&gt;0,M82/J82,"-")</f>
        <v>0.42580879268024679</v>
      </c>
      <c r="N244" s="235">
        <f t="shared" ref="N244:X244" si="106">+IF(M82&lt;&gt;0,N82/M82,"-")</f>
        <v>0</v>
      </c>
      <c r="O244" s="235" t="str">
        <f t="shared" si="106"/>
        <v>-</v>
      </c>
      <c r="P244" s="235" t="str">
        <f t="shared" si="106"/>
        <v>-</v>
      </c>
      <c r="Q244" s="235" t="str">
        <f t="shared" si="106"/>
        <v>-</v>
      </c>
      <c r="R244" s="235" t="str">
        <f t="shared" si="106"/>
        <v>-</v>
      </c>
      <c r="S244" s="235" t="str">
        <f t="shared" si="106"/>
        <v>-</v>
      </c>
      <c r="T244" s="235" t="str">
        <f t="shared" si="106"/>
        <v>-</v>
      </c>
      <c r="U244" s="235" t="str">
        <f t="shared" si="106"/>
        <v>-</v>
      </c>
      <c r="V244" s="235" t="str">
        <f t="shared" si="106"/>
        <v>-</v>
      </c>
      <c r="W244" s="235" t="str">
        <f t="shared" si="106"/>
        <v>-</v>
      </c>
      <c r="X244" s="235" t="str">
        <f t="shared" si="106"/>
        <v>-</v>
      </c>
    </row>
    <row r="245" spans="5:24" outlineLevel="2">
      <c r="E245" s="240" t="s">
        <v>330</v>
      </c>
      <c r="F245" s="241"/>
      <c r="G245" s="241"/>
      <c r="H245" s="241"/>
      <c r="I245" s="241"/>
      <c r="J245" s="242"/>
      <c r="K245" s="242"/>
      <c r="L245" s="242"/>
      <c r="M245" s="243"/>
      <c r="N245" s="243"/>
      <c r="O245" s="243"/>
      <c r="P245" s="243"/>
      <c r="Q245" s="243"/>
      <c r="R245" s="243"/>
      <c r="S245" s="243"/>
      <c r="T245" s="243"/>
      <c r="U245" s="243"/>
      <c r="V245" s="243"/>
      <c r="W245" s="243"/>
      <c r="X245" s="243"/>
    </row>
    <row r="246" spans="5:24" outlineLevel="2">
      <c r="E246" s="244" t="s">
        <v>331</v>
      </c>
      <c r="F246" s="245" t="str">
        <f t="shared" ref="F246:X247" si="107">+IF(E64&lt;&gt;0,F64/E64,"-")</f>
        <v>-</v>
      </c>
      <c r="G246" s="246">
        <f t="shared" si="107"/>
        <v>1.0798713137072011</v>
      </c>
      <c r="H246" s="246">
        <f t="shared" si="107"/>
        <v>1.0811250807319353</v>
      </c>
      <c r="I246" s="247">
        <f t="shared" si="107"/>
        <v>0.97001179841020491</v>
      </c>
      <c r="J246" s="248">
        <f t="shared" si="107"/>
        <v>1.0452092951042973</v>
      </c>
      <c r="K246" s="248"/>
      <c r="L246" s="248"/>
      <c r="M246" s="249">
        <f>+IF(J64&lt;&gt;0,M64/J64,"-")</f>
        <v>1.021604798316146</v>
      </c>
      <c r="N246" s="249">
        <f t="shared" si="107"/>
        <v>1.0250000229728478</v>
      </c>
      <c r="O246" s="249">
        <f t="shared" si="107"/>
        <v>1.0249999863034516</v>
      </c>
      <c r="P246" s="249">
        <f t="shared" si="107"/>
        <v>1.0249999975704569</v>
      </c>
      <c r="Q246" s="249">
        <f t="shared" si="107"/>
        <v>1.0250000213325727</v>
      </c>
      <c r="R246" s="249">
        <f t="shared" si="107"/>
        <v>1.0250000173435547</v>
      </c>
      <c r="S246" s="249">
        <f t="shared" si="107"/>
        <v>1.0249999864635673</v>
      </c>
      <c r="T246" s="249">
        <f t="shared" si="107"/>
        <v>1.025000008804184</v>
      </c>
      <c r="U246" s="249">
        <f t="shared" si="107"/>
        <v>1.0250000171788956</v>
      </c>
      <c r="V246" s="249">
        <f t="shared" si="107"/>
        <v>1.0249999853350895</v>
      </c>
      <c r="W246" s="249">
        <f t="shared" si="107"/>
        <v>1.02500000408778</v>
      </c>
      <c r="X246" s="249">
        <f t="shared" si="107"/>
        <v>1.0249999850447074</v>
      </c>
    </row>
    <row r="247" spans="5:24" outlineLevel="2">
      <c r="E247" s="219" t="s">
        <v>332</v>
      </c>
      <c r="F247" s="220" t="str">
        <f t="shared" si="107"/>
        <v>-</v>
      </c>
      <c r="G247" s="221" t="str">
        <f t="shared" si="107"/>
        <v>-</v>
      </c>
      <c r="H247" s="221" t="str">
        <f t="shared" si="107"/>
        <v>-</v>
      </c>
      <c r="I247" s="222" t="str">
        <f t="shared" si="107"/>
        <v>-</v>
      </c>
      <c r="J247" s="223" t="str">
        <f t="shared" si="107"/>
        <v>-</v>
      </c>
      <c r="K247" s="223"/>
      <c r="L247" s="223"/>
      <c r="M247" s="224">
        <f>+IF(J65&lt;&gt;0,M65/J65,"-")</f>
        <v>1.0241387375199393</v>
      </c>
      <c r="N247" s="224">
        <f t="shared" si="107"/>
        <v>1.0249998974394037</v>
      </c>
      <c r="O247" s="224">
        <f t="shared" si="107"/>
        <v>1.0250001067297367</v>
      </c>
      <c r="P247" s="224">
        <f t="shared" si="107"/>
        <v>1.0250000065079101</v>
      </c>
      <c r="Q247" s="224">
        <f t="shared" si="107"/>
        <v>1.0250000253967222</v>
      </c>
      <c r="R247" s="224">
        <f t="shared" si="107"/>
        <v>1.025000037165934</v>
      </c>
      <c r="S247" s="224">
        <f t="shared" si="107"/>
        <v>1.024999921437866</v>
      </c>
      <c r="T247" s="224">
        <f t="shared" si="107"/>
        <v>1.0250000353750726</v>
      </c>
      <c r="U247" s="224">
        <f t="shared" si="107"/>
        <v>1.024999994247956</v>
      </c>
      <c r="V247" s="224">
        <f t="shared" si="107"/>
        <v>1.0249998989884932</v>
      </c>
      <c r="W247" s="224">
        <f t="shared" si="107"/>
        <v>1.0250000492739106</v>
      </c>
      <c r="X247" s="224">
        <f t="shared" si="107"/>
        <v>1.0250000587547958</v>
      </c>
    </row>
    <row r="248" spans="5:24" outlineLevel="2">
      <c r="E248" s="219" t="s">
        <v>333</v>
      </c>
      <c r="F248" s="220" t="str">
        <f t="shared" ref="F248:X249" si="108">+IF(E67&lt;&gt;0,F67/E67,"-")</f>
        <v>-</v>
      </c>
      <c r="G248" s="221" t="str">
        <f t="shared" si="108"/>
        <v>-</v>
      </c>
      <c r="H248" s="221">
        <f t="shared" si="108"/>
        <v>0.75930021549279803</v>
      </c>
      <c r="I248" s="222">
        <f t="shared" si="108"/>
        <v>1</v>
      </c>
      <c r="J248" s="223">
        <f t="shared" si="108"/>
        <v>0</v>
      </c>
      <c r="K248" s="223"/>
      <c r="L248" s="223"/>
      <c r="M248" s="224" t="str">
        <f>+IF(J67&lt;&gt;0,M67/J67,"-")</f>
        <v>-</v>
      </c>
      <c r="N248" s="224" t="str">
        <f t="shared" si="108"/>
        <v>-</v>
      </c>
      <c r="O248" s="224" t="str">
        <f t="shared" si="108"/>
        <v>-</v>
      </c>
      <c r="P248" s="224" t="str">
        <f t="shared" si="108"/>
        <v>-</v>
      </c>
      <c r="Q248" s="224" t="str">
        <f t="shared" si="108"/>
        <v>-</v>
      </c>
      <c r="R248" s="224" t="str">
        <f t="shared" si="108"/>
        <v>-</v>
      </c>
      <c r="S248" s="224" t="str">
        <f t="shared" si="108"/>
        <v>-</v>
      </c>
      <c r="T248" s="224" t="str">
        <f t="shared" si="108"/>
        <v>-</v>
      </c>
      <c r="U248" s="224" t="str">
        <f t="shared" si="108"/>
        <v>-</v>
      </c>
      <c r="V248" s="224" t="str">
        <f t="shared" si="108"/>
        <v>-</v>
      </c>
      <c r="W248" s="224" t="str">
        <f t="shared" si="108"/>
        <v>-</v>
      </c>
      <c r="X248" s="224" t="str">
        <f t="shared" si="108"/>
        <v>-</v>
      </c>
    </row>
    <row r="249" spans="5:24" outlineLevel="2">
      <c r="E249" s="250" t="s">
        <v>334</v>
      </c>
      <c r="F249" s="237" t="str">
        <f t="shared" si="108"/>
        <v>-</v>
      </c>
      <c r="G249" s="238">
        <f t="shared" si="108"/>
        <v>4.1829574981196753</v>
      </c>
      <c r="H249" s="238">
        <f t="shared" si="108"/>
        <v>5.0859661662562976</v>
      </c>
      <c r="I249" s="239">
        <f t="shared" si="108"/>
        <v>0.89211392584491012</v>
      </c>
      <c r="J249" s="234">
        <f t="shared" si="108"/>
        <v>0.68681240070522065</v>
      </c>
      <c r="K249" s="234"/>
      <c r="L249" s="234"/>
      <c r="M249" s="235">
        <f>+IF(J68&lt;&gt;0,M68/J68,"-")</f>
        <v>0.42901798650228229</v>
      </c>
      <c r="N249" s="235">
        <f t="shared" si="108"/>
        <v>0</v>
      </c>
      <c r="O249" s="235" t="str">
        <f t="shared" si="108"/>
        <v>-</v>
      </c>
      <c r="P249" s="235" t="str">
        <f t="shared" si="108"/>
        <v>-</v>
      </c>
      <c r="Q249" s="235" t="str">
        <f t="shared" si="108"/>
        <v>-</v>
      </c>
      <c r="R249" s="235" t="str">
        <f t="shared" si="108"/>
        <v>-</v>
      </c>
      <c r="S249" s="235" t="str">
        <f t="shared" si="108"/>
        <v>-</v>
      </c>
      <c r="T249" s="235" t="str">
        <f t="shared" si="108"/>
        <v>-</v>
      </c>
      <c r="U249" s="235" t="str">
        <f t="shared" si="108"/>
        <v>-</v>
      </c>
      <c r="V249" s="235" t="str">
        <f t="shared" si="108"/>
        <v>-</v>
      </c>
      <c r="W249" s="235" t="str">
        <f t="shared" si="108"/>
        <v>-</v>
      </c>
      <c r="X249" s="235" t="str">
        <f t="shared" si="108"/>
        <v>-</v>
      </c>
    </row>
  </sheetData>
  <sheetProtection formatCells="0" formatColumns="0" formatRows="0" insertColumns="0" deleteColumns="0"/>
  <mergeCells count="150">
    <mergeCell ref="F2:G2"/>
    <mergeCell ref="B5:E5"/>
    <mergeCell ref="B6:E6"/>
    <mergeCell ref="C7:E7"/>
    <mergeCell ref="D8:E8"/>
    <mergeCell ref="D9:E9"/>
    <mergeCell ref="B17:E17"/>
    <mergeCell ref="C18:E18"/>
    <mergeCell ref="D19:E19"/>
    <mergeCell ref="D21:E21"/>
    <mergeCell ref="D22:E22"/>
    <mergeCell ref="C24:E24"/>
    <mergeCell ref="D10:E10"/>
    <mergeCell ref="D12:E12"/>
    <mergeCell ref="D13:E13"/>
    <mergeCell ref="C14:E14"/>
    <mergeCell ref="D15:E15"/>
    <mergeCell ref="D16:E16"/>
    <mergeCell ref="C31:E31"/>
    <mergeCell ref="D32:E32"/>
    <mergeCell ref="C33:E33"/>
    <mergeCell ref="D34:E34"/>
    <mergeCell ref="B35:E35"/>
    <mergeCell ref="C36:E36"/>
    <mergeCell ref="B25:E25"/>
    <mergeCell ref="B26:E26"/>
    <mergeCell ref="C27:E27"/>
    <mergeCell ref="D28:E28"/>
    <mergeCell ref="C29:E29"/>
    <mergeCell ref="D30:E30"/>
    <mergeCell ref="C44:E44"/>
    <mergeCell ref="B45:E45"/>
    <mergeCell ref="B46:E46"/>
    <mergeCell ref="C47:E47"/>
    <mergeCell ref="C48:E48"/>
    <mergeCell ref="B49:E49"/>
    <mergeCell ref="D37:E37"/>
    <mergeCell ref="C39:E39"/>
    <mergeCell ref="B40:E40"/>
    <mergeCell ref="C41:E41"/>
    <mergeCell ref="D42:E42"/>
    <mergeCell ref="C43:E43"/>
    <mergeCell ref="C57:E57"/>
    <mergeCell ref="D58:E58"/>
    <mergeCell ref="C59:E59"/>
    <mergeCell ref="D60:E60"/>
    <mergeCell ref="B61:E61"/>
    <mergeCell ref="C62:E62"/>
    <mergeCell ref="C50:E50"/>
    <mergeCell ref="C51:E51"/>
    <mergeCell ref="C52:E52"/>
    <mergeCell ref="C53:E53"/>
    <mergeCell ref="C54:E54"/>
    <mergeCell ref="C55:E55"/>
    <mergeCell ref="C69:E69"/>
    <mergeCell ref="C70:E70"/>
    <mergeCell ref="C71:E71"/>
    <mergeCell ref="B72:E72"/>
    <mergeCell ref="C73:E73"/>
    <mergeCell ref="D74:E74"/>
    <mergeCell ref="B63:E63"/>
    <mergeCell ref="C64:E64"/>
    <mergeCell ref="C65:E65"/>
    <mergeCell ref="C66:E66"/>
    <mergeCell ref="D67:E67"/>
    <mergeCell ref="D68:E68"/>
    <mergeCell ref="D83:E83"/>
    <mergeCell ref="D84:E84"/>
    <mergeCell ref="B85:E85"/>
    <mergeCell ref="C86:E86"/>
    <mergeCell ref="C87:E87"/>
    <mergeCell ref="C88:E88"/>
    <mergeCell ref="C76:E76"/>
    <mergeCell ref="D77:E77"/>
    <mergeCell ref="C79:E79"/>
    <mergeCell ref="D80:E80"/>
    <mergeCell ref="D81:E81"/>
    <mergeCell ref="C82:E82"/>
    <mergeCell ref="C95:E95"/>
    <mergeCell ref="C96:E96"/>
    <mergeCell ref="D97:E97"/>
    <mergeCell ref="D98:E98"/>
    <mergeCell ref="D99:E99"/>
    <mergeCell ref="C100:E100"/>
    <mergeCell ref="C89:E89"/>
    <mergeCell ref="C90:E90"/>
    <mergeCell ref="C91:E91"/>
    <mergeCell ref="C92:E92"/>
    <mergeCell ref="B93:E93"/>
    <mergeCell ref="C94:E94"/>
    <mergeCell ref="A117:D117"/>
    <mergeCell ref="A118:D118"/>
    <mergeCell ref="A119:D119"/>
    <mergeCell ref="A120:D120"/>
    <mergeCell ref="A121:D121"/>
    <mergeCell ref="A122:D122"/>
    <mergeCell ref="A111:D111"/>
    <mergeCell ref="A112:D112"/>
    <mergeCell ref="A113:D113"/>
    <mergeCell ref="A114:D114"/>
    <mergeCell ref="A115:D115"/>
    <mergeCell ref="A116:D116"/>
    <mergeCell ref="A129:D129"/>
    <mergeCell ref="A130:D130"/>
    <mergeCell ref="A131:D131"/>
    <mergeCell ref="A132:D132"/>
    <mergeCell ref="A133:D133"/>
    <mergeCell ref="A134:D134"/>
    <mergeCell ref="A123:D123"/>
    <mergeCell ref="A124:D124"/>
    <mergeCell ref="A125:D125"/>
    <mergeCell ref="A126:D126"/>
    <mergeCell ref="A127:D127"/>
    <mergeCell ref="A128:D128"/>
    <mergeCell ref="A141:D141"/>
    <mergeCell ref="A142:D142"/>
    <mergeCell ref="A143:D143"/>
    <mergeCell ref="A144:D144"/>
    <mergeCell ref="A145:D145"/>
    <mergeCell ref="A146:D146"/>
    <mergeCell ref="A135:D135"/>
    <mergeCell ref="A136:D136"/>
    <mergeCell ref="A137:D137"/>
    <mergeCell ref="A138:D138"/>
    <mergeCell ref="A139:D139"/>
    <mergeCell ref="A140:D140"/>
    <mergeCell ref="O2:S2"/>
    <mergeCell ref="O3:S3"/>
    <mergeCell ref="O4:S4"/>
    <mergeCell ref="A165:D165"/>
    <mergeCell ref="A166:D166"/>
    <mergeCell ref="A167:D167"/>
    <mergeCell ref="A159:D159"/>
    <mergeCell ref="A160:D160"/>
    <mergeCell ref="A161:D161"/>
    <mergeCell ref="A162:D162"/>
    <mergeCell ref="A163:D163"/>
    <mergeCell ref="A164:D164"/>
    <mergeCell ref="A153:D153"/>
    <mergeCell ref="A154:D154"/>
    <mergeCell ref="A155:D155"/>
    <mergeCell ref="A156:D156"/>
    <mergeCell ref="A157:D157"/>
    <mergeCell ref="A158:D158"/>
    <mergeCell ref="A147:D147"/>
    <mergeCell ref="A148:D148"/>
    <mergeCell ref="A149:D149"/>
    <mergeCell ref="A150:D150"/>
    <mergeCell ref="A151:D151"/>
    <mergeCell ref="A152:D152"/>
  </mergeCells>
  <conditionalFormatting sqref="J181:X184">
    <cfRule type="cellIs" dxfId="12" priority="8" stopIfTrue="1" operator="lessThan">
      <formula>$E$178</formula>
    </cfRule>
    <cfRule type="cellIs" dxfId="11" priority="9" stopIfTrue="1" operator="lessThan">
      <formula>$E$179</formula>
    </cfRule>
    <cfRule type="cellIs" dxfId="10" priority="10" stopIfTrue="1" operator="lessThan">
      <formula>$E$180</formula>
    </cfRule>
  </conditionalFormatting>
  <conditionalFormatting sqref="J229:X244 J246:X249">
    <cfRule type="cellIs" priority="5" stopIfTrue="1" operator="equal">
      <formula>"-"</formula>
    </cfRule>
    <cfRule type="cellIs" dxfId="9" priority="11" stopIfTrue="1" operator="between">
      <formula>0.00000001</formula>
      <formula>1</formula>
    </cfRule>
    <cfRule type="cellIs" dxfId="8" priority="12" stopIfTrue="1" operator="greaterThan">
      <formula>1</formula>
    </cfRule>
  </conditionalFormatting>
  <conditionalFormatting sqref="J59:X60">
    <cfRule type="expression" dxfId="7" priority="7" stopIfTrue="1">
      <formula>LEFT(J59,3)="Nie"</formula>
    </cfRule>
  </conditionalFormatting>
  <conditionalFormatting sqref="J189:X200">
    <cfRule type="cellIs" dxfId="6" priority="6" stopIfTrue="1" operator="notBetween">
      <formula>-$E$188</formula>
      <formula>$E$188</formula>
    </cfRule>
    <cfRule type="cellIs" dxfId="5" priority="13" stopIfTrue="1" operator="notBetween">
      <formula>-$E$187</formula>
      <formula>$E$187</formula>
    </cfRule>
    <cfRule type="cellIs" dxfId="4" priority="14" stopIfTrue="1" operator="notBetween">
      <formula>-$E$186</formula>
      <formula>$E$186</formula>
    </cfRule>
  </conditionalFormatting>
  <conditionalFormatting sqref="J119:X119">
    <cfRule type="cellIs" dxfId="3" priority="4" stopIfTrue="1" operator="between">
      <formula>0</formula>
      <formula>1000000000000</formula>
    </cfRule>
  </conditionalFormatting>
  <conditionalFormatting sqref="J120:X122">
    <cfRule type="cellIs" dxfId="2" priority="3" stopIfTrue="1" operator="between">
      <formula>-1000000000000</formula>
      <formula>1000000000000</formula>
    </cfRule>
  </conditionalFormatting>
  <conditionalFormatting sqref="J117:X118">
    <cfRule type="cellIs" dxfId="1" priority="2" stopIfTrue="1" operator="between">
      <formula>-1000000000000</formula>
      <formula>1000000000000</formula>
    </cfRule>
  </conditionalFormatting>
  <conditionalFormatting sqref="J123:X167">
    <cfRule type="cellIs" dxfId="0" priority="1" stopIfTrue="1" operator="equal">
      <formula>"BŁĄD"</formula>
    </cfRule>
  </conditionalFormatting>
  <pageMargins left="0.51181102362204722" right="0.51181102362204722" top="0.47244094488188981" bottom="0.47244094488188981" header="0.51181102362204722" footer="0.31496062992125984"/>
  <pageSetup paperSize="9" scale="65" orientation="landscape" blackAndWhite="1" r:id="rId1"/>
  <headerFooter>
    <oddFooter>Strona &amp;P z &amp;N</oddFooter>
  </headerFooter>
  <rowBreaks count="2" manualBreakCount="2">
    <brk id="43" max="21" man="1"/>
    <brk id="71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4"/>
  <sheetViews>
    <sheetView tabSelected="1" workbookViewId="0">
      <selection activeCell="H9" sqref="H9"/>
    </sheetView>
  </sheetViews>
  <sheetFormatPr defaultRowHeight="14.25"/>
  <cols>
    <col min="2" max="2" width="23.5" customWidth="1"/>
    <col min="3" max="3" width="9" customWidth="1"/>
    <col min="4" max="4" width="5" customWidth="1"/>
    <col min="5" max="5" width="4.875" customWidth="1"/>
    <col min="6" max="6" width="11.125" customWidth="1"/>
    <col min="7" max="7" width="11.25" customWidth="1"/>
    <col min="8" max="8" width="10.75" customWidth="1"/>
    <col min="9" max="9" width="5.375" customWidth="1"/>
  </cols>
  <sheetData>
    <row r="2" spans="1:13">
      <c r="A2" s="255"/>
      <c r="B2" s="256"/>
      <c r="C2" s="257"/>
      <c r="D2" s="257"/>
      <c r="E2" s="257"/>
      <c r="F2" s="257"/>
      <c r="G2" s="291"/>
      <c r="H2" s="291"/>
      <c r="I2" s="336" t="s">
        <v>384</v>
      </c>
      <c r="J2" s="336"/>
      <c r="K2" s="336"/>
      <c r="L2" s="336"/>
      <c r="M2" s="336"/>
    </row>
    <row r="3" spans="1:13">
      <c r="A3" s="258"/>
      <c r="B3" s="258"/>
      <c r="C3" s="257"/>
      <c r="D3" s="257"/>
      <c r="E3" s="257"/>
      <c r="F3" s="257"/>
      <c r="G3" s="258"/>
      <c r="H3" s="258"/>
      <c r="I3" s="337" t="s">
        <v>385</v>
      </c>
      <c r="J3" s="337"/>
      <c r="K3" s="337"/>
      <c r="L3" s="337"/>
      <c r="M3" s="337"/>
    </row>
    <row r="4" spans="1:13" ht="15.75">
      <c r="A4" s="259" t="s">
        <v>340</v>
      </c>
      <c r="B4" s="259"/>
      <c r="C4" s="259"/>
      <c r="D4" s="259"/>
      <c r="E4" s="259"/>
      <c r="F4" s="259"/>
      <c r="G4" s="257"/>
      <c r="H4" s="257"/>
      <c r="I4" s="257"/>
      <c r="J4" s="257"/>
      <c r="K4" s="257"/>
      <c r="L4" s="257"/>
      <c r="M4" s="257"/>
    </row>
    <row r="5" spans="1:13">
      <c r="A5" s="257"/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</row>
    <row r="6" spans="1:13" ht="38.25" customHeight="1">
      <c r="A6" s="338" t="s">
        <v>341</v>
      </c>
      <c r="B6" s="338" t="s">
        <v>342</v>
      </c>
      <c r="C6" s="342" t="s">
        <v>386</v>
      </c>
      <c r="D6" s="330" t="s">
        <v>343</v>
      </c>
      <c r="E6" s="332"/>
      <c r="F6" s="340" t="s">
        <v>344</v>
      </c>
      <c r="G6" s="333" t="s">
        <v>345</v>
      </c>
      <c r="H6" s="334"/>
      <c r="I6" s="334"/>
      <c r="J6" s="334"/>
      <c r="K6" s="334"/>
      <c r="L6" s="335"/>
      <c r="M6" s="325" t="s">
        <v>346</v>
      </c>
    </row>
    <row r="7" spans="1:13" ht="59.25" customHeight="1">
      <c r="A7" s="339"/>
      <c r="B7" s="339"/>
      <c r="C7" s="343"/>
      <c r="D7" s="260" t="s">
        <v>347</v>
      </c>
      <c r="E7" s="260" t="s">
        <v>348</v>
      </c>
      <c r="F7" s="341"/>
      <c r="G7" s="260">
        <v>2013</v>
      </c>
      <c r="H7" s="267" t="s">
        <v>382</v>
      </c>
      <c r="I7" s="273" t="s">
        <v>387</v>
      </c>
      <c r="J7" s="269">
        <v>2014</v>
      </c>
      <c r="K7" s="260">
        <v>2015</v>
      </c>
      <c r="L7" s="260">
        <v>2016</v>
      </c>
      <c r="M7" s="326"/>
    </row>
    <row r="8" spans="1:13">
      <c r="A8" s="268" t="s">
        <v>349</v>
      </c>
      <c r="B8" s="268" t="s">
        <v>350</v>
      </c>
      <c r="C8" s="268" t="s">
        <v>351</v>
      </c>
      <c r="D8" s="268" t="s">
        <v>352</v>
      </c>
      <c r="E8" s="268" t="s">
        <v>353</v>
      </c>
      <c r="F8" s="268" t="s">
        <v>354</v>
      </c>
      <c r="G8" s="268" t="s">
        <v>355</v>
      </c>
      <c r="H8" s="268">
        <v>8</v>
      </c>
      <c r="I8" s="274">
        <v>9</v>
      </c>
      <c r="J8" s="270">
        <v>10</v>
      </c>
      <c r="K8" s="268">
        <v>11</v>
      </c>
      <c r="L8" s="268">
        <v>12</v>
      </c>
      <c r="M8" s="268">
        <v>13</v>
      </c>
    </row>
    <row r="9" spans="1:13">
      <c r="A9" s="262"/>
      <c r="B9" s="310" t="s">
        <v>356</v>
      </c>
      <c r="C9" s="311"/>
      <c r="D9" s="311"/>
      <c r="E9" s="312"/>
      <c r="F9" s="263">
        <f>F10+F11</f>
        <v>34640992</v>
      </c>
      <c r="G9" s="263">
        <f t="shared" ref="G9:M9" si="0">G10+G11</f>
        <v>10681065</v>
      </c>
      <c r="H9" s="263">
        <f t="shared" si="0"/>
        <v>4341932.99</v>
      </c>
      <c r="I9" s="275">
        <f>H9/G9</f>
        <v>0.40650749620941362</v>
      </c>
      <c r="J9" s="271">
        <f t="shared" si="0"/>
        <v>4582369</v>
      </c>
      <c r="K9" s="263">
        <f t="shared" si="0"/>
        <v>0</v>
      </c>
      <c r="L9" s="263">
        <f t="shared" si="0"/>
        <v>0</v>
      </c>
      <c r="M9" s="263">
        <f t="shared" si="0"/>
        <v>5403523.04</v>
      </c>
    </row>
    <row r="10" spans="1:13">
      <c r="A10" s="261" t="s">
        <v>357</v>
      </c>
      <c r="B10" s="327" t="s">
        <v>358</v>
      </c>
      <c r="C10" s="328"/>
      <c r="D10" s="328"/>
      <c r="E10" s="329"/>
      <c r="F10" s="264">
        <f>F13</f>
        <v>0</v>
      </c>
      <c r="G10" s="264">
        <f t="shared" ref="G10:M11" si="1">G13</f>
        <v>0</v>
      </c>
      <c r="H10" s="264">
        <f t="shared" si="1"/>
        <v>0</v>
      </c>
      <c r="I10" s="276">
        <v>0</v>
      </c>
      <c r="J10" s="272">
        <f t="shared" si="1"/>
        <v>0</v>
      </c>
      <c r="K10" s="264">
        <f t="shared" si="1"/>
        <v>0</v>
      </c>
      <c r="L10" s="264">
        <f t="shared" si="1"/>
        <v>0</v>
      </c>
      <c r="M10" s="264">
        <f t="shared" si="1"/>
        <v>0</v>
      </c>
    </row>
    <row r="11" spans="1:13">
      <c r="A11" s="261" t="s">
        <v>359</v>
      </c>
      <c r="B11" s="327" t="s">
        <v>360</v>
      </c>
      <c r="C11" s="328"/>
      <c r="D11" s="328"/>
      <c r="E11" s="329"/>
      <c r="F11" s="264">
        <f>F14</f>
        <v>34640992</v>
      </c>
      <c r="G11" s="264">
        <f t="shared" si="1"/>
        <v>10681065</v>
      </c>
      <c r="H11" s="264">
        <f t="shared" si="1"/>
        <v>4341932.99</v>
      </c>
      <c r="I11" s="276">
        <f>H11/G11</f>
        <v>0.40650749620941362</v>
      </c>
      <c r="J11" s="272">
        <f t="shared" si="1"/>
        <v>4582369</v>
      </c>
      <c r="K11" s="264">
        <f t="shared" si="1"/>
        <v>0</v>
      </c>
      <c r="L11" s="264">
        <f t="shared" si="1"/>
        <v>0</v>
      </c>
      <c r="M11" s="264">
        <f t="shared" si="1"/>
        <v>5403523.04</v>
      </c>
    </row>
    <row r="12" spans="1:13" ht="60" customHeight="1">
      <c r="A12" s="261" t="s">
        <v>361</v>
      </c>
      <c r="B12" s="330" t="s">
        <v>362</v>
      </c>
      <c r="C12" s="331"/>
      <c r="D12" s="331"/>
      <c r="E12" s="332"/>
      <c r="F12" s="263">
        <f>F13+F14</f>
        <v>34640992</v>
      </c>
      <c r="G12" s="263">
        <f t="shared" ref="G12:M12" si="2">G13+G14</f>
        <v>10681065</v>
      </c>
      <c r="H12" s="263">
        <f t="shared" si="2"/>
        <v>4341932.99</v>
      </c>
      <c r="I12" s="275">
        <f>H12/G12</f>
        <v>0.40650749620941362</v>
      </c>
      <c r="J12" s="271">
        <f t="shared" si="2"/>
        <v>4582369</v>
      </c>
      <c r="K12" s="263">
        <f t="shared" si="2"/>
        <v>0</v>
      </c>
      <c r="L12" s="263">
        <f t="shared" si="2"/>
        <v>0</v>
      </c>
      <c r="M12" s="263">
        <f t="shared" si="2"/>
        <v>5403523.04</v>
      </c>
    </row>
    <row r="13" spans="1:13" ht="20.25" customHeight="1">
      <c r="A13" s="261" t="s">
        <v>363</v>
      </c>
      <c r="B13" s="327" t="s">
        <v>358</v>
      </c>
      <c r="C13" s="328"/>
      <c r="D13" s="328"/>
      <c r="E13" s="329"/>
      <c r="F13" s="264">
        <v>0</v>
      </c>
      <c r="G13" s="264">
        <v>0</v>
      </c>
      <c r="H13" s="264">
        <v>0</v>
      </c>
      <c r="I13" s="276">
        <v>0</v>
      </c>
      <c r="J13" s="272">
        <v>0</v>
      </c>
      <c r="K13" s="264">
        <v>0</v>
      </c>
      <c r="L13" s="264">
        <v>0</v>
      </c>
      <c r="M13" s="264">
        <v>0</v>
      </c>
    </row>
    <row r="14" spans="1:13" ht="19.5" customHeight="1">
      <c r="A14" s="261" t="s">
        <v>364</v>
      </c>
      <c r="B14" s="327" t="s">
        <v>360</v>
      </c>
      <c r="C14" s="328"/>
      <c r="D14" s="328"/>
      <c r="E14" s="329"/>
      <c r="F14" s="264">
        <f>SUM(F15:F22)</f>
        <v>34640992</v>
      </c>
      <c r="G14" s="264">
        <f t="shared" ref="G14:M14" si="3">SUM(G15:G22)</f>
        <v>10681065</v>
      </c>
      <c r="H14" s="264">
        <f t="shared" si="3"/>
        <v>4341932.99</v>
      </c>
      <c r="I14" s="276">
        <f>H14/G14</f>
        <v>0.40650749620941362</v>
      </c>
      <c r="J14" s="272">
        <f t="shared" si="3"/>
        <v>4582369</v>
      </c>
      <c r="K14" s="264">
        <f t="shared" si="3"/>
        <v>0</v>
      </c>
      <c r="L14" s="264">
        <f t="shared" si="3"/>
        <v>0</v>
      </c>
      <c r="M14" s="264">
        <f t="shared" si="3"/>
        <v>5403523.04</v>
      </c>
    </row>
    <row r="15" spans="1:13" ht="72" customHeight="1">
      <c r="A15" s="319" t="s">
        <v>365</v>
      </c>
      <c r="B15" s="265" t="s">
        <v>366</v>
      </c>
      <c r="C15" s="321" t="s">
        <v>367</v>
      </c>
      <c r="D15" s="323">
        <v>2009</v>
      </c>
      <c r="E15" s="323">
        <v>2013</v>
      </c>
      <c r="F15" s="313">
        <v>29925987</v>
      </c>
      <c r="G15" s="313">
        <v>10601565</v>
      </c>
      <c r="H15" s="313">
        <v>4292396.12</v>
      </c>
      <c r="I15" s="315">
        <f>H15/G15</f>
        <v>0.40488325261411878</v>
      </c>
      <c r="J15" s="317">
        <v>0</v>
      </c>
      <c r="K15" s="313">
        <v>0</v>
      </c>
      <c r="L15" s="313">
        <v>0</v>
      </c>
      <c r="M15" s="313">
        <v>791190.91</v>
      </c>
    </row>
    <row r="16" spans="1:13" ht="119.25" customHeight="1">
      <c r="A16" s="320"/>
      <c r="B16" s="266" t="s">
        <v>368</v>
      </c>
      <c r="C16" s="322"/>
      <c r="D16" s="324"/>
      <c r="E16" s="324"/>
      <c r="F16" s="314"/>
      <c r="G16" s="314"/>
      <c r="H16" s="314"/>
      <c r="I16" s="316"/>
      <c r="J16" s="318"/>
      <c r="K16" s="314"/>
      <c r="L16" s="314"/>
      <c r="M16" s="314"/>
    </row>
    <row r="17" spans="1:13" ht="28.5" customHeight="1">
      <c r="A17" s="319" t="s">
        <v>369</v>
      </c>
      <c r="B17" s="266" t="s">
        <v>370</v>
      </c>
      <c r="C17" s="321" t="s">
        <v>367</v>
      </c>
      <c r="D17" s="323">
        <v>2009</v>
      </c>
      <c r="E17" s="323">
        <v>2014</v>
      </c>
      <c r="F17" s="313">
        <v>2296255</v>
      </c>
      <c r="G17" s="313">
        <v>0</v>
      </c>
      <c r="H17" s="313">
        <v>0</v>
      </c>
      <c r="I17" s="315">
        <v>0</v>
      </c>
      <c r="J17" s="317">
        <v>2256269</v>
      </c>
      <c r="K17" s="313">
        <v>0</v>
      </c>
      <c r="L17" s="313">
        <v>0</v>
      </c>
      <c r="M17" s="313">
        <v>2256269</v>
      </c>
    </row>
    <row r="18" spans="1:13" ht="96" customHeight="1">
      <c r="A18" s="320"/>
      <c r="B18" s="266" t="s">
        <v>371</v>
      </c>
      <c r="C18" s="322"/>
      <c r="D18" s="324"/>
      <c r="E18" s="324"/>
      <c r="F18" s="314"/>
      <c r="G18" s="314"/>
      <c r="H18" s="314"/>
      <c r="I18" s="316"/>
      <c r="J18" s="318"/>
      <c r="K18" s="314"/>
      <c r="L18" s="314"/>
      <c r="M18" s="314"/>
    </row>
    <row r="19" spans="1:13" ht="25.5" customHeight="1">
      <c r="A19" s="319" t="s">
        <v>372</v>
      </c>
      <c r="B19" s="266" t="s">
        <v>373</v>
      </c>
      <c r="C19" s="321" t="s">
        <v>367</v>
      </c>
      <c r="D19" s="323">
        <v>2010</v>
      </c>
      <c r="E19" s="323">
        <v>2014</v>
      </c>
      <c r="F19" s="313">
        <f>1233850+7500</f>
        <v>1241350</v>
      </c>
      <c r="G19" s="313">
        <v>7500</v>
      </c>
      <c r="H19" s="313">
        <v>7458.75</v>
      </c>
      <c r="I19" s="315">
        <f>H19/G19</f>
        <v>0.99450000000000005</v>
      </c>
      <c r="J19" s="317">
        <v>1220700</v>
      </c>
      <c r="K19" s="313">
        <v>0</v>
      </c>
      <c r="L19" s="313">
        <v>0</v>
      </c>
      <c r="M19" s="313">
        <v>1220741.25</v>
      </c>
    </row>
    <row r="20" spans="1:13" ht="88.5" customHeight="1">
      <c r="A20" s="320"/>
      <c r="B20" s="266" t="s">
        <v>374</v>
      </c>
      <c r="C20" s="322"/>
      <c r="D20" s="324"/>
      <c r="E20" s="324"/>
      <c r="F20" s="314"/>
      <c r="G20" s="314"/>
      <c r="H20" s="314"/>
      <c r="I20" s="316"/>
      <c r="J20" s="318"/>
      <c r="K20" s="314"/>
      <c r="L20" s="314"/>
      <c r="M20" s="314"/>
    </row>
    <row r="21" spans="1:13" ht="44.25" customHeight="1">
      <c r="A21" s="319" t="s">
        <v>375</v>
      </c>
      <c r="B21" s="266" t="s">
        <v>376</v>
      </c>
      <c r="C21" s="321" t="s">
        <v>367</v>
      </c>
      <c r="D21" s="323">
        <v>2013</v>
      </c>
      <c r="E21" s="323">
        <v>2014</v>
      </c>
      <c r="F21" s="313">
        <v>1177400</v>
      </c>
      <c r="G21" s="313">
        <v>72000</v>
      </c>
      <c r="H21" s="313">
        <v>42078.12</v>
      </c>
      <c r="I21" s="315">
        <f>H21/G21</f>
        <v>0.58441833333333337</v>
      </c>
      <c r="J21" s="317">
        <v>1105400</v>
      </c>
      <c r="K21" s="313">
        <v>0</v>
      </c>
      <c r="L21" s="313">
        <v>0</v>
      </c>
      <c r="M21" s="313">
        <v>1135321.8799999999</v>
      </c>
    </row>
    <row r="22" spans="1:13" ht="87.75" customHeight="1">
      <c r="A22" s="320"/>
      <c r="B22" s="266" t="s">
        <v>377</v>
      </c>
      <c r="C22" s="322"/>
      <c r="D22" s="324"/>
      <c r="E22" s="324"/>
      <c r="F22" s="314"/>
      <c r="G22" s="314"/>
      <c r="H22" s="314"/>
      <c r="I22" s="316"/>
      <c r="J22" s="318"/>
      <c r="K22" s="314"/>
      <c r="L22" s="314"/>
      <c r="M22" s="314"/>
    </row>
    <row r="23" spans="1:13" ht="27" customHeight="1">
      <c r="A23" s="261" t="s">
        <v>378</v>
      </c>
      <c r="B23" s="310" t="s">
        <v>379</v>
      </c>
      <c r="C23" s="311"/>
      <c r="D23" s="311"/>
      <c r="E23" s="312"/>
      <c r="F23" s="263">
        <v>0</v>
      </c>
      <c r="G23" s="263">
        <v>0</v>
      </c>
      <c r="H23" s="263">
        <v>0</v>
      </c>
      <c r="I23" s="275">
        <v>0</v>
      </c>
      <c r="J23" s="271">
        <v>0</v>
      </c>
      <c r="K23" s="263">
        <v>0</v>
      </c>
      <c r="L23" s="263">
        <v>0</v>
      </c>
      <c r="M23" s="263">
        <v>0</v>
      </c>
    </row>
    <row r="24" spans="1:13" ht="27.75" customHeight="1">
      <c r="A24" s="261" t="s">
        <v>380</v>
      </c>
      <c r="B24" s="310" t="s">
        <v>381</v>
      </c>
      <c r="C24" s="311"/>
      <c r="D24" s="311"/>
      <c r="E24" s="312"/>
      <c r="F24" s="263">
        <v>0</v>
      </c>
      <c r="G24" s="263">
        <v>0</v>
      </c>
      <c r="H24" s="263">
        <v>0</v>
      </c>
      <c r="I24" s="275">
        <v>0</v>
      </c>
      <c r="J24" s="271">
        <v>0</v>
      </c>
      <c r="K24" s="263">
        <v>0</v>
      </c>
      <c r="L24" s="263">
        <v>0</v>
      </c>
      <c r="M24" s="263">
        <v>0</v>
      </c>
    </row>
  </sheetData>
  <mergeCells count="65">
    <mergeCell ref="A6:A7"/>
    <mergeCell ref="B6:B7"/>
    <mergeCell ref="C6:C7"/>
    <mergeCell ref="D6:E6"/>
    <mergeCell ref="F6:F7"/>
    <mergeCell ref="B13:E13"/>
    <mergeCell ref="G6:L6"/>
    <mergeCell ref="B14:E14"/>
    <mergeCell ref="M15:M16"/>
    <mergeCell ref="I2:M2"/>
    <mergeCell ref="I3:M3"/>
    <mergeCell ref="M6:M7"/>
    <mergeCell ref="B9:E9"/>
    <mergeCell ref="B10:E10"/>
    <mergeCell ref="B11:E11"/>
    <mergeCell ref="B12:E12"/>
    <mergeCell ref="A15:A16"/>
    <mergeCell ref="C15:C16"/>
    <mergeCell ref="D15:D16"/>
    <mergeCell ref="E15:E16"/>
    <mergeCell ref="A17:A18"/>
    <mergeCell ref="C17:C18"/>
    <mergeCell ref="D17:D18"/>
    <mergeCell ref="E17:E18"/>
    <mergeCell ref="J15:J16"/>
    <mergeCell ref="K15:K16"/>
    <mergeCell ref="L15:L16"/>
    <mergeCell ref="G17:G18"/>
    <mergeCell ref="J17:J18"/>
    <mergeCell ref="K17:K18"/>
    <mergeCell ref="L17:L18"/>
    <mergeCell ref="A19:A20"/>
    <mergeCell ref="C19:C20"/>
    <mergeCell ref="D19:D20"/>
    <mergeCell ref="E19:E20"/>
    <mergeCell ref="F19:F20"/>
    <mergeCell ref="A21:A22"/>
    <mergeCell ref="C21:C22"/>
    <mergeCell ref="D21:D22"/>
    <mergeCell ref="E21:E22"/>
    <mergeCell ref="F21:F22"/>
    <mergeCell ref="J21:J22"/>
    <mergeCell ref="K21:K22"/>
    <mergeCell ref="L21:L22"/>
    <mergeCell ref="M17:M18"/>
    <mergeCell ref="M19:M20"/>
    <mergeCell ref="M21:M22"/>
    <mergeCell ref="J19:J20"/>
    <mergeCell ref="K19:K20"/>
    <mergeCell ref="L19:L20"/>
    <mergeCell ref="H19:H20"/>
    <mergeCell ref="I19:I20"/>
    <mergeCell ref="B24:E24"/>
    <mergeCell ref="H15:H16"/>
    <mergeCell ref="I15:I16"/>
    <mergeCell ref="H17:H18"/>
    <mergeCell ref="I17:I18"/>
    <mergeCell ref="H21:H22"/>
    <mergeCell ref="I21:I22"/>
    <mergeCell ref="G21:G22"/>
    <mergeCell ref="B23:E23"/>
    <mergeCell ref="G19:G20"/>
    <mergeCell ref="F17:F18"/>
    <mergeCell ref="G15:G16"/>
    <mergeCell ref="F15:F16"/>
  </mergeCells>
  <pageMargins left="0.70866141732283472" right="0" top="0.74803149606299213" bottom="0.35433070866141736" header="0.31496062992125984" footer="0.11811023622047245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3</vt:i4>
      </vt:variant>
    </vt:vector>
  </HeadingPairs>
  <TitlesOfParts>
    <vt:vector size="5" baseType="lpstr">
      <vt:lpstr>Zał.1_WPF_bazowy</vt:lpstr>
      <vt:lpstr>Zał. Nr 2 do WPF przedsięwzięci</vt:lpstr>
      <vt:lpstr>Zał.1_WPF_bazowy!Obszar_wydruku</vt:lpstr>
      <vt:lpstr>'Zał. Nr 2 do WPF przedsięwzięci'!Tytuły_wydruku</vt:lpstr>
      <vt:lpstr>Zał.1_WPF_bazowy!Tytuły_wydruku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2013-08-05T11:58:20Z</cp:lastPrinted>
  <dcterms:created xsi:type="dcterms:W3CDTF">2013-08-05T07:56:12Z</dcterms:created>
  <dcterms:modified xsi:type="dcterms:W3CDTF">2013-08-07T09:22:17Z</dcterms:modified>
</cp:coreProperties>
</file>