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4675" windowHeight="11295" firstSheet="9" activeTab="15"/>
  </bookViews>
  <sheets>
    <sheet name="Zał. nr 1" sheetId="13" r:id="rId1"/>
    <sheet name="Zał. nr 2" sheetId="14" r:id="rId2"/>
    <sheet name="Zał. nr 3 " sheetId="3" r:id="rId3"/>
    <sheet name="Zał. nr 4." sheetId="4" r:id="rId4"/>
    <sheet name="Zał. nr 5," sheetId="1" r:id="rId5"/>
    <sheet name="cd.zał. nr 5" sheetId="12" r:id="rId6"/>
    <sheet name="Zał. nr 6." sheetId="8" r:id="rId7"/>
    <sheet name="Zał. nr 7" sheetId="2" r:id="rId8"/>
    <sheet name="Zał. nr 8" sheetId="5" r:id="rId9"/>
    <sheet name="zał.nr 9." sheetId="6" r:id="rId10"/>
    <sheet name="Zał. nr 10" sheetId="11" r:id="rId11"/>
    <sheet name="Zał. nr 11" sheetId="7" r:id="rId12"/>
    <sheet name="Zal. nr 12 przedsz." sheetId="9" r:id="rId13"/>
    <sheet name="Tabela nr 1." sheetId="10" r:id="rId14"/>
    <sheet name="zał. nr 13 odpady komunalne" sheetId="15" r:id="rId15"/>
    <sheet name="Zał. nr 14 wynagr." sheetId="16" r:id="rId16"/>
  </sheets>
  <definedNames>
    <definedName name="_xlnm._FilterDatabase" localSheetId="12" hidden="1">'Zal. nr 12 przedsz.'!$A$5:$F$172</definedName>
    <definedName name="Excel_BuiltIn_Print_Titles_2" localSheetId="13">#REF!</definedName>
    <definedName name="Excel_BuiltIn_Print_Titles_2" localSheetId="12">#REF!</definedName>
    <definedName name="Excel_BuiltIn_Print_Titles_2" localSheetId="11">#REF!</definedName>
    <definedName name="Excel_BuiltIn_Print_Titles_2" localSheetId="14">#REF!</definedName>
    <definedName name="Excel_BuiltIn_Print_Titles_2" localSheetId="15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6">#REF!</definedName>
    <definedName name="Excel_BuiltIn_Print_Titles_2" localSheetId="7">#REF!</definedName>
    <definedName name="Excel_BuiltIn_Print_Titles_2" localSheetId="8">#REF!</definedName>
    <definedName name="Excel_BuiltIn_Print_Titles_2" localSheetId="9">#REF!</definedName>
    <definedName name="Excel_BuiltIn_Print_Titles_2">#REF!</definedName>
    <definedName name="Excel_BuiltIn_Print_Titles_2_1" localSheetId="13">#REF!</definedName>
    <definedName name="Excel_BuiltIn_Print_Titles_2_1" localSheetId="12">#REF!</definedName>
    <definedName name="Excel_BuiltIn_Print_Titles_2_1" localSheetId="11">#REF!</definedName>
    <definedName name="Excel_BuiltIn_Print_Titles_2_1" localSheetId="14">#REF!</definedName>
    <definedName name="Excel_BuiltIn_Print_Titles_2_1" localSheetId="15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6">#REF!</definedName>
    <definedName name="Excel_BuiltIn_Print_Titles_2_1" localSheetId="7">#REF!</definedName>
    <definedName name="Excel_BuiltIn_Print_Titles_2_1" localSheetId="8">#REF!</definedName>
    <definedName name="Excel_BuiltIn_Print_Titles_2_1" localSheetId="9">#REF!</definedName>
    <definedName name="Excel_BuiltIn_Print_Titles_2_1">#REF!</definedName>
    <definedName name="Excel_BuiltIn_Print_Titles_2_1_1" localSheetId="13">#REF!</definedName>
    <definedName name="Excel_BuiltIn_Print_Titles_2_1_1" localSheetId="12">#REF!</definedName>
    <definedName name="Excel_BuiltIn_Print_Titles_2_1_1" localSheetId="11">#REF!</definedName>
    <definedName name="Excel_BuiltIn_Print_Titles_2_1_1" localSheetId="14">#REF!</definedName>
    <definedName name="Excel_BuiltIn_Print_Titles_2_1_1" localSheetId="15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6">#REF!</definedName>
    <definedName name="Excel_BuiltIn_Print_Titles_2_1_1" localSheetId="7">#REF!</definedName>
    <definedName name="Excel_BuiltIn_Print_Titles_2_1_1" localSheetId="8">#REF!</definedName>
    <definedName name="Excel_BuiltIn_Print_Titles_2_1_1" localSheetId="9">#REF!</definedName>
    <definedName name="Excel_BuiltIn_Print_Titles_2_1_1">#REF!</definedName>
    <definedName name="Excel_BuiltIn_Print_Titles_3_1" localSheetId="13">#REF!</definedName>
    <definedName name="Excel_BuiltIn_Print_Titles_3_1" localSheetId="12">#REF!</definedName>
    <definedName name="Excel_BuiltIn_Print_Titles_3_1" localSheetId="11">#REF!</definedName>
    <definedName name="Excel_BuiltIn_Print_Titles_3_1" localSheetId="14">#REF!</definedName>
    <definedName name="Excel_BuiltIn_Print_Titles_3_1" localSheetId="15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6">#REF!</definedName>
    <definedName name="Excel_BuiltIn_Print_Titles_3_1" localSheetId="7">#REF!</definedName>
    <definedName name="Excel_BuiltIn_Print_Titles_3_1" localSheetId="8">#REF!</definedName>
    <definedName name="Excel_BuiltIn_Print_Titles_3_1" localSheetId="9">#REF!</definedName>
    <definedName name="Excel_BuiltIn_Print_Titles_3_1">#REF!</definedName>
    <definedName name="Excel_BuiltIn_Print_Titles_3_1_1" localSheetId="13">#REF!</definedName>
    <definedName name="Excel_BuiltIn_Print_Titles_3_1_1" localSheetId="12">#REF!</definedName>
    <definedName name="Excel_BuiltIn_Print_Titles_3_1_1" localSheetId="11">#REF!</definedName>
    <definedName name="Excel_BuiltIn_Print_Titles_3_1_1" localSheetId="14">#REF!</definedName>
    <definedName name="Excel_BuiltIn_Print_Titles_3_1_1" localSheetId="15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6">#REF!</definedName>
    <definedName name="Excel_BuiltIn_Print_Titles_3_1_1" localSheetId="7">#REF!</definedName>
    <definedName name="Excel_BuiltIn_Print_Titles_3_1_1" localSheetId="8">#REF!</definedName>
    <definedName name="Excel_BuiltIn_Print_Titles_3_1_1" localSheetId="9">#REF!</definedName>
    <definedName name="Excel_BuiltIn_Print_Titles_3_1_1">#REF!</definedName>
    <definedName name="Excel_BuiltIn_Print_Titles_5" localSheetId="13">#REF!</definedName>
    <definedName name="Excel_BuiltIn_Print_Titles_5" localSheetId="12">#REF!</definedName>
    <definedName name="Excel_BuiltIn_Print_Titles_5" localSheetId="11">#REF!</definedName>
    <definedName name="Excel_BuiltIn_Print_Titles_5" localSheetId="14">#REF!</definedName>
    <definedName name="Excel_BuiltIn_Print_Titles_5" localSheetId="15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6">#REF!</definedName>
    <definedName name="Excel_BuiltIn_Print_Titles_5" localSheetId="7">#REF!</definedName>
    <definedName name="Excel_BuiltIn_Print_Titles_5" localSheetId="8">#REF!</definedName>
    <definedName name="Excel_BuiltIn_Print_Titles_5" localSheetId="9">#REF!</definedName>
    <definedName name="Excel_BuiltIn_Print_Titles_5">#REF!</definedName>
    <definedName name="Excel_BuiltIn_Print_Titles_5_1" localSheetId="13">#REF!</definedName>
    <definedName name="Excel_BuiltIn_Print_Titles_5_1" localSheetId="12">#REF!</definedName>
    <definedName name="Excel_BuiltIn_Print_Titles_5_1" localSheetId="11">#REF!</definedName>
    <definedName name="Excel_BuiltIn_Print_Titles_5_1" localSheetId="14">#REF!</definedName>
    <definedName name="Excel_BuiltIn_Print_Titles_5_1" localSheetId="15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6">#REF!</definedName>
    <definedName name="Excel_BuiltIn_Print_Titles_5_1" localSheetId="7">#REF!</definedName>
    <definedName name="Excel_BuiltIn_Print_Titles_5_1" localSheetId="8">#REF!</definedName>
    <definedName name="Excel_BuiltIn_Print_Titles_5_1" localSheetId="9">#REF!</definedName>
    <definedName name="Excel_BuiltIn_Print_Titles_5_1">#REF!</definedName>
    <definedName name="Excel_BuiltIn_Print_Titles_6" localSheetId="13">#REF!</definedName>
    <definedName name="Excel_BuiltIn_Print_Titles_6" localSheetId="12">#REF!</definedName>
    <definedName name="Excel_BuiltIn_Print_Titles_6" localSheetId="11">#REF!</definedName>
    <definedName name="Excel_BuiltIn_Print_Titles_6" localSheetId="14">#REF!</definedName>
    <definedName name="Excel_BuiltIn_Print_Titles_6" localSheetId="15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6">#REF!</definedName>
    <definedName name="Excel_BuiltIn_Print_Titles_6" localSheetId="7">#REF!</definedName>
    <definedName name="Excel_BuiltIn_Print_Titles_6" localSheetId="8">#REF!</definedName>
    <definedName name="Excel_BuiltIn_Print_Titles_6" localSheetId="9">#REF!</definedName>
    <definedName name="Excel_BuiltIn_Print_Titles_6">#REF!</definedName>
    <definedName name="Excel_BuiltIn_Print_Titles_6_1" localSheetId="13">#REF!</definedName>
    <definedName name="Excel_BuiltIn_Print_Titles_6_1" localSheetId="12">#REF!</definedName>
    <definedName name="Excel_BuiltIn_Print_Titles_6_1" localSheetId="11">#REF!</definedName>
    <definedName name="Excel_BuiltIn_Print_Titles_6_1" localSheetId="14">#REF!</definedName>
    <definedName name="Excel_BuiltIn_Print_Titles_6_1" localSheetId="15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6">#REF!</definedName>
    <definedName name="Excel_BuiltIn_Print_Titles_6_1" localSheetId="7">#REF!</definedName>
    <definedName name="Excel_BuiltIn_Print_Titles_6_1" localSheetId="8">#REF!</definedName>
    <definedName name="Excel_BuiltIn_Print_Titles_6_1" localSheetId="9">#REF!</definedName>
    <definedName name="Excel_BuiltIn_Print_Titles_6_1">#REF!</definedName>
    <definedName name="Excel_BuiltIn_Print_Titles_8" localSheetId="13">#REF!</definedName>
    <definedName name="Excel_BuiltIn_Print_Titles_8" localSheetId="12">#REF!</definedName>
    <definedName name="Excel_BuiltIn_Print_Titles_8" localSheetId="11">#REF!</definedName>
    <definedName name="Excel_BuiltIn_Print_Titles_8" localSheetId="14">#REF!</definedName>
    <definedName name="Excel_BuiltIn_Print_Titles_8" localSheetId="15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6">#REF!</definedName>
    <definedName name="Excel_BuiltIn_Print_Titles_8" localSheetId="7">#REF!</definedName>
    <definedName name="Excel_BuiltIn_Print_Titles_8" localSheetId="8">#REF!</definedName>
    <definedName name="Excel_BuiltIn_Print_Titles_8" localSheetId="9">#REF!</definedName>
    <definedName name="Excel_BuiltIn_Print_Titles_8">#REF!</definedName>
    <definedName name="Excel_BuiltIn_Print_Titles_8_1" localSheetId="13">#REF!</definedName>
    <definedName name="Excel_BuiltIn_Print_Titles_8_1" localSheetId="12">#REF!</definedName>
    <definedName name="Excel_BuiltIn_Print_Titles_8_1" localSheetId="11">#REF!</definedName>
    <definedName name="Excel_BuiltIn_Print_Titles_8_1" localSheetId="14">#REF!</definedName>
    <definedName name="Excel_BuiltIn_Print_Titles_8_1" localSheetId="15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6">#REF!</definedName>
    <definedName name="Excel_BuiltIn_Print_Titles_8_1" localSheetId="7">#REF!</definedName>
    <definedName name="Excel_BuiltIn_Print_Titles_8_1" localSheetId="8">#REF!</definedName>
    <definedName name="Excel_BuiltIn_Print_Titles_8_1" localSheetId="9">#REF!</definedName>
    <definedName name="Excel_BuiltIn_Print_Titles_8_1">#REF!</definedName>
    <definedName name="_xlnm.Print_Titles" localSheetId="13">'Tabela nr 1.'!$3:$3</definedName>
    <definedName name="_xlnm.Print_Titles" localSheetId="12">'Zal. nr 12 przedsz.'!$5:$5</definedName>
    <definedName name="_xlnm.Print_Titles" localSheetId="0">'Zał. nr 1'!$6:$7</definedName>
    <definedName name="_xlnm.Print_Titles" localSheetId="14">'zał. nr 13 odpady komunalne'!$16:$16</definedName>
    <definedName name="_xlnm.Print_Titles" localSheetId="15">'Zał. nr 14 wynagr.'!$7:$8</definedName>
    <definedName name="_xlnm.Print_Titles" localSheetId="1">'Zał. nr 2'!$7:$8</definedName>
    <definedName name="_xlnm.Print_Titles" localSheetId="3">'Zał. nr 4.'!$4:$6</definedName>
    <definedName name="_xlnm.Print_Titles" localSheetId="4">'Zał. nr 5,'!$5:$6</definedName>
    <definedName name="_xlnm.Print_Titles" localSheetId="7">'Zał. nr 7'!$5:$6</definedName>
    <definedName name="_xlnm.Print_Titles" localSheetId="8">'Zał. nr 8'!$7:$7</definedName>
    <definedName name="_xlnm.Print_Titles" localSheetId="9">'zał.nr 9.'!$6:$9</definedName>
    <definedName name="zal.3" localSheetId="13">#REF!</definedName>
    <definedName name="zal.3" localSheetId="12">#REF!</definedName>
    <definedName name="zal.3" localSheetId="11">#REF!</definedName>
    <definedName name="zal.3" localSheetId="14">#REF!</definedName>
    <definedName name="zal.3" localSheetId="15">#REF!</definedName>
    <definedName name="zal.3" localSheetId="2">#REF!</definedName>
    <definedName name="zal.3" localSheetId="3">#REF!</definedName>
    <definedName name="zal.3" localSheetId="4">#REF!</definedName>
    <definedName name="zal.3" localSheetId="6">#REF!</definedName>
    <definedName name="zal.3" localSheetId="7">#REF!</definedName>
    <definedName name="zal.3" localSheetId="8">#REF!</definedName>
    <definedName name="zal.3" localSheetId="9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H221" i="16" l="1"/>
  <c r="K593" i="14" l="1"/>
  <c r="K250" i="13" l="1"/>
  <c r="L250" i="13"/>
  <c r="J250" i="13"/>
  <c r="F258" i="13"/>
  <c r="G258" i="13"/>
  <c r="H258" i="13"/>
  <c r="J258" i="13"/>
  <c r="K258" i="13"/>
  <c r="L258" i="13"/>
  <c r="E258" i="13"/>
  <c r="K255" i="13"/>
  <c r="L255" i="13"/>
  <c r="J255" i="13"/>
  <c r="H255" i="13"/>
  <c r="G255" i="13"/>
  <c r="F255" i="13"/>
  <c r="E255" i="13"/>
  <c r="K216" i="13"/>
  <c r="L216" i="13"/>
  <c r="J216" i="13"/>
  <c r="J217" i="13"/>
  <c r="I255" i="13" l="1"/>
  <c r="E246" i="13"/>
  <c r="I65" i="4" l="1"/>
  <c r="I59" i="4" l="1"/>
  <c r="I60" i="4"/>
  <c r="I61" i="4"/>
  <c r="I58" i="4"/>
  <c r="I54" i="4"/>
  <c r="I55" i="4"/>
  <c r="I53" i="4"/>
  <c r="I42" i="4"/>
  <c r="I43" i="4"/>
  <c r="I44" i="4"/>
  <c r="I45" i="4"/>
  <c r="I47" i="4"/>
  <c r="I48" i="4"/>
  <c r="I49" i="4"/>
  <c r="I50" i="4"/>
  <c r="I51" i="4"/>
  <c r="I41" i="4"/>
  <c r="I37" i="4"/>
  <c r="I39" i="4"/>
  <c r="I36" i="4"/>
  <c r="I32" i="4"/>
  <c r="I33" i="4"/>
  <c r="I34" i="4"/>
  <c r="I31" i="4"/>
  <c r="I27" i="4"/>
  <c r="E30" i="6"/>
  <c r="F30" i="6"/>
  <c r="F34" i="6" s="1"/>
  <c r="F37" i="6" s="1"/>
  <c r="C19" i="6"/>
  <c r="E17" i="6"/>
  <c r="F17" i="6"/>
  <c r="F23" i="6" s="1"/>
  <c r="D34" i="6"/>
  <c r="D37" i="6" s="1"/>
  <c r="C32" i="6"/>
  <c r="G34" i="6"/>
  <c r="E34" i="6"/>
  <c r="C34" i="6"/>
  <c r="C37" i="6" s="1"/>
  <c r="G23" i="6"/>
  <c r="G37" i="6" s="1"/>
  <c r="D23" i="6"/>
  <c r="C23" i="6"/>
  <c r="K229" i="16"/>
  <c r="F229" i="16"/>
  <c r="F228" i="16"/>
  <c r="E23" i="6" l="1"/>
  <c r="E37" i="6" s="1"/>
  <c r="J12" i="16"/>
  <c r="J13" i="16"/>
  <c r="J14" i="16"/>
  <c r="J15" i="16"/>
  <c r="J16" i="16"/>
  <c r="J17" i="16"/>
  <c r="J18" i="16"/>
  <c r="J20" i="16"/>
  <c r="J21" i="16"/>
  <c r="J25" i="16"/>
  <c r="J26" i="16"/>
  <c r="J27" i="16"/>
  <c r="J28" i="16"/>
  <c r="J29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6" i="16"/>
  <c r="J107" i="16"/>
  <c r="J108" i="16"/>
  <c r="J109" i="16"/>
  <c r="J110" i="16"/>
  <c r="J111" i="16"/>
  <c r="J112" i="16"/>
  <c r="J113" i="16"/>
  <c r="J114" i="16"/>
  <c r="J115" i="16"/>
  <c r="J116" i="16"/>
  <c r="J117" i="16"/>
  <c r="J118" i="16"/>
  <c r="J119" i="16"/>
  <c r="J120" i="16"/>
  <c r="J121" i="16"/>
  <c r="J122" i="16"/>
  <c r="J123" i="16"/>
  <c r="J124" i="16"/>
  <c r="J125" i="16"/>
  <c r="J127" i="16"/>
  <c r="J128" i="16"/>
  <c r="J129" i="16"/>
  <c r="J130" i="16"/>
  <c r="J131" i="16"/>
  <c r="J132" i="16"/>
  <c r="J133" i="16"/>
  <c r="J134" i="16"/>
  <c r="J135" i="16"/>
  <c r="J136" i="16"/>
  <c r="J137" i="16"/>
  <c r="J142" i="16"/>
  <c r="J143" i="16"/>
  <c r="J144" i="16"/>
  <c r="J145" i="16"/>
  <c r="J146" i="16"/>
  <c r="J147" i="16"/>
  <c r="J148" i="16"/>
  <c r="J149" i="16"/>
  <c r="J150" i="16"/>
  <c r="J151" i="16"/>
  <c r="J152" i="16"/>
  <c r="J153" i="16"/>
  <c r="J154" i="16"/>
  <c r="J155" i="16"/>
  <c r="J156" i="16"/>
  <c r="J157" i="16"/>
  <c r="J158" i="16"/>
  <c r="J159" i="16"/>
  <c r="J160" i="16"/>
  <c r="J161" i="16"/>
  <c r="J162" i="16"/>
  <c r="J163" i="16"/>
  <c r="J164" i="16"/>
  <c r="J165" i="16"/>
  <c r="J166" i="16"/>
  <c r="J167" i="16"/>
  <c r="J168" i="16"/>
  <c r="J169" i="16"/>
  <c r="J170" i="16"/>
  <c r="J171" i="16"/>
  <c r="J172" i="16"/>
  <c r="J173" i="16"/>
  <c r="J174" i="16"/>
  <c r="J175" i="16"/>
  <c r="J176" i="16"/>
  <c r="J177" i="16"/>
  <c r="J178" i="16"/>
  <c r="J179" i="16"/>
  <c r="J180" i="16"/>
  <c r="J181" i="16"/>
  <c r="J182" i="16"/>
  <c r="J183" i="16"/>
  <c r="J184" i="16"/>
  <c r="J185" i="16"/>
  <c r="J186" i="16"/>
  <c r="J187" i="16"/>
  <c r="J188" i="16"/>
  <c r="J189" i="16"/>
  <c r="J190" i="16"/>
  <c r="J191" i="16"/>
  <c r="J192" i="16"/>
  <c r="J193" i="16"/>
  <c r="J194" i="16"/>
  <c r="J195" i="16"/>
  <c r="J196" i="16"/>
  <c r="J197" i="16"/>
  <c r="J198" i="16"/>
  <c r="J199" i="16"/>
  <c r="J202" i="16"/>
  <c r="J203" i="16"/>
  <c r="J204" i="16"/>
  <c r="J205" i="16"/>
  <c r="J206" i="16"/>
  <c r="J207" i="16"/>
  <c r="J208" i="16"/>
  <c r="J209" i="16"/>
  <c r="J210" i="16"/>
  <c r="J211" i="16"/>
  <c r="J212" i="16"/>
  <c r="J213" i="16"/>
  <c r="J214" i="16"/>
  <c r="J215" i="16"/>
  <c r="J216" i="16"/>
  <c r="J221" i="16"/>
  <c r="J225" i="16"/>
  <c r="J227" i="16"/>
  <c r="J228" i="16"/>
  <c r="J229" i="16"/>
  <c r="J10" i="16"/>
  <c r="J11" i="16"/>
  <c r="J9" i="16"/>
  <c r="G227" i="16"/>
  <c r="H227" i="16"/>
  <c r="I227" i="16"/>
  <c r="K227" i="16"/>
  <c r="L227" i="16"/>
  <c r="E227" i="16"/>
  <c r="E225" i="16" l="1"/>
  <c r="G219" i="16"/>
  <c r="H219" i="16"/>
  <c r="I219" i="16"/>
  <c r="K219" i="16"/>
  <c r="L219" i="16"/>
  <c r="E219" i="16"/>
  <c r="G213" i="16"/>
  <c r="H213" i="16"/>
  <c r="I213" i="16"/>
  <c r="K213" i="16"/>
  <c r="L213" i="16"/>
  <c r="G191" i="16"/>
  <c r="H191" i="16"/>
  <c r="I191" i="16"/>
  <c r="K191" i="16"/>
  <c r="L191" i="16"/>
  <c r="G187" i="16"/>
  <c r="H187" i="16"/>
  <c r="I187" i="16"/>
  <c r="K187" i="16"/>
  <c r="L187" i="16"/>
  <c r="G10" i="16"/>
  <c r="G9" i="16" s="1"/>
  <c r="H10" i="16"/>
  <c r="H9" i="16" s="1"/>
  <c r="I10" i="16"/>
  <c r="I9" i="16" s="1"/>
  <c r="K10" i="16"/>
  <c r="K9" i="16" s="1"/>
  <c r="L10" i="16"/>
  <c r="L9" i="16" s="1"/>
  <c r="E10" i="16"/>
  <c r="E9" i="16" s="1"/>
  <c r="G16" i="16"/>
  <c r="H16" i="16"/>
  <c r="I16" i="16"/>
  <c r="I15" i="16" s="1"/>
  <c r="K16" i="16"/>
  <c r="K15" i="16" s="1"/>
  <c r="L16" i="16"/>
  <c r="E16" i="16"/>
  <c r="G20" i="16"/>
  <c r="H20" i="16"/>
  <c r="I20" i="16"/>
  <c r="K20" i="16"/>
  <c r="L20" i="16"/>
  <c r="E20" i="16"/>
  <c r="G22" i="16"/>
  <c r="H22" i="16"/>
  <c r="I22" i="16"/>
  <c r="K22" i="16"/>
  <c r="K19" i="16" s="1"/>
  <c r="L22" i="16"/>
  <c r="E22" i="16"/>
  <c r="G25" i="16"/>
  <c r="H25" i="16"/>
  <c r="I25" i="16"/>
  <c r="K25" i="16"/>
  <c r="L25" i="16"/>
  <c r="E25" i="16"/>
  <c r="G30" i="16"/>
  <c r="H30" i="16"/>
  <c r="J30" i="16" s="1"/>
  <c r="I30" i="16"/>
  <c r="K30" i="16"/>
  <c r="L30" i="16"/>
  <c r="E30" i="16"/>
  <c r="G36" i="16"/>
  <c r="H36" i="16"/>
  <c r="I36" i="16"/>
  <c r="K36" i="16"/>
  <c r="L36" i="16"/>
  <c r="E36" i="16"/>
  <c r="G39" i="16"/>
  <c r="H39" i="16"/>
  <c r="I39" i="16"/>
  <c r="K39" i="16"/>
  <c r="L39" i="16"/>
  <c r="E39" i="16"/>
  <c r="G45" i="16"/>
  <c r="H45" i="16"/>
  <c r="I45" i="16"/>
  <c r="K45" i="16"/>
  <c r="L45" i="16"/>
  <c r="E45" i="16"/>
  <c r="G52" i="16"/>
  <c r="H52" i="16"/>
  <c r="I52" i="16"/>
  <c r="K52" i="16"/>
  <c r="L52" i="16"/>
  <c r="E52" i="16"/>
  <c r="G57" i="16"/>
  <c r="H57" i="16"/>
  <c r="I57" i="16"/>
  <c r="K57" i="16"/>
  <c r="L57" i="16"/>
  <c r="E57" i="16"/>
  <c r="G61" i="16"/>
  <c r="H61" i="16"/>
  <c r="I61" i="16"/>
  <c r="K61" i="16"/>
  <c r="L61" i="16"/>
  <c r="E61" i="16"/>
  <c r="G66" i="16"/>
  <c r="H66" i="16"/>
  <c r="I66" i="16"/>
  <c r="K66" i="16"/>
  <c r="L66" i="16"/>
  <c r="E66" i="16"/>
  <c r="G72" i="16"/>
  <c r="H72" i="16"/>
  <c r="I72" i="16"/>
  <c r="K72" i="16"/>
  <c r="L72" i="16"/>
  <c r="E72" i="16"/>
  <c r="G77" i="16"/>
  <c r="H77" i="16"/>
  <c r="I77" i="16"/>
  <c r="K77" i="16"/>
  <c r="L77" i="16"/>
  <c r="E77" i="16"/>
  <c r="G83" i="16"/>
  <c r="H83" i="16"/>
  <c r="I83" i="16"/>
  <c r="K83" i="16"/>
  <c r="L83" i="16"/>
  <c r="E83" i="16"/>
  <c r="G89" i="16"/>
  <c r="H89" i="16"/>
  <c r="I89" i="16"/>
  <c r="K89" i="16"/>
  <c r="L89" i="16"/>
  <c r="E89" i="16"/>
  <c r="G95" i="16"/>
  <c r="H95" i="16"/>
  <c r="I95" i="16"/>
  <c r="K95" i="16"/>
  <c r="L95" i="16"/>
  <c r="E95" i="16"/>
  <c r="G100" i="16"/>
  <c r="H100" i="16"/>
  <c r="I100" i="16"/>
  <c r="K100" i="16"/>
  <c r="L100" i="16"/>
  <c r="E100" i="16"/>
  <c r="G105" i="16"/>
  <c r="H105" i="16"/>
  <c r="I105" i="16"/>
  <c r="K105" i="16"/>
  <c r="L105" i="16"/>
  <c r="E105" i="16"/>
  <c r="G109" i="16"/>
  <c r="H109" i="16"/>
  <c r="I109" i="16"/>
  <c r="K109" i="16"/>
  <c r="L109" i="16"/>
  <c r="E109" i="16"/>
  <c r="G120" i="16"/>
  <c r="H120" i="16"/>
  <c r="I120" i="16"/>
  <c r="K120" i="16"/>
  <c r="L120" i="16"/>
  <c r="E120" i="16"/>
  <c r="G122" i="16"/>
  <c r="H122" i="16"/>
  <c r="I122" i="16"/>
  <c r="K122" i="16"/>
  <c r="L122" i="16"/>
  <c r="E122" i="16"/>
  <c r="G127" i="16"/>
  <c r="H127" i="16"/>
  <c r="I127" i="16"/>
  <c r="K127" i="16"/>
  <c r="L127" i="16"/>
  <c r="E127" i="16"/>
  <c r="G132" i="16"/>
  <c r="H132" i="16"/>
  <c r="I132" i="16"/>
  <c r="K132" i="16"/>
  <c r="L132" i="16"/>
  <c r="E132" i="16"/>
  <c r="G138" i="16"/>
  <c r="H138" i="16"/>
  <c r="I138" i="16"/>
  <c r="K138" i="16"/>
  <c r="L138" i="16"/>
  <c r="E138" i="16"/>
  <c r="G143" i="16"/>
  <c r="H143" i="16"/>
  <c r="H142" i="16" s="1"/>
  <c r="I143" i="16"/>
  <c r="K143" i="16"/>
  <c r="L143" i="16"/>
  <c r="L142" i="16" s="1"/>
  <c r="E143" i="16"/>
  <c r="E142" i="16" s="1"/>
  <c r="G152" i="16"/>
  <c r="G151" i="16" s="1"/>
  <c r="H152" i="16"/>
  <c r="H151" i="16" s="1"/>
  <c r="I152" i="16"/>
  <c r="I151" i="16" s="1"/>
  <c r="K152" i="16"/>
  <c r="K151" i="16" s="1"/>
  <c r="L152" i="16"/>
  <c r="L151" i="16" s="1"/>
  <c r="E152" i="16"/>
  <c r="E151" i="16" s="1"/>
  <c r="G158" i="16"/>
  <c r="H158" i="16"/>
  <c r="I158" i="16"/>
  <c r="K158" i="16"/>
  <c r="L158" i="16"/>
  <c r="E158" i="16"/>
  <c r="G164" i="16"/>
  <c r="H164" i="16"/>
  <c r="I164" i="16"/>
  <c r="K164" i="16"/>
  <c r="L164" i="16"/>
  <c r="E164" i="16"/>
  <c r="G169" i="16"/>
  <c r="H169" i="16"/>
  <c r="I169" i="16"/>
  <c r="K169" i="16"/>
  <c r="L169" i="16"/>
  <c r="E169" i="16"/>
  <c r="G173" i="16"/>
  <c r="H173" i="16"/>
  <c r="I173" i="16"/>
  <c r="K173" i="16"/>
  <c r="L173" i="16"/>
  <c r="E173" i="16"/>
  <c r="G179" i="16"/>
  <c r="H179" i="16"/>
  <c r="I179" i="16"/>
  <c r="K179" i="16"/>
  <c r="L179" i="16"/>
  <c r="E179" i="16"/>
  <c r="G185" i="16"/>
  <c r="H185" i="16"/>
  <c r="I185" i="16"/>
  <c r="K185" i="16"/>
  <c r="L185" i="16"/>
  <c r="E185" i="16"/>
  <c r="E187" i="16"/>
  <c r="E191" i="16"/>
  <c r="G196" i="16"/>
  <c r="H196" i="16"/>
  <c r="I196" i="16"/>
  <c r="K196" i="16"/>
  <c r="L196" i="16"/>
  <c r="E196" i="16"/>
  <c r="G199" i="16"/>
  <c r="H199" i="16"/>
  <c r="I199" i="16"/>
  <c r="K199" i="16"/>
  <c r="L199" i="16"/>
  <c r="E199" i="16"/>
  <c r="G203" i="16"/>
  <c r="H203" i="16"/>
  <c r="I203" i="16"/>
  <c r="K203" i="16"/>
  <c r="L203" i="16"/>
  <c r="E203" i="16"/>
  <c r="G206" i="16"/>
  <c r="H206" i="16"/>
  <c r="I206" i="16"/>
  <c r="K206" i="16"/>
  <c r="L206" i="16"/>
  <c r="E206" i="16"/>
  <c r="G209" i="16"/>
  <c r="H209" i="16"/>
  <c r="I209" i="16"/>
  <c r="K209" i="16"/>
  <c r="L209" i="16"/>
  <c r="E209" i="16"/>
  <c r="E213" i="16"/>
  <c r="L225" i="16"/>
  <c r="K225" i="16"/>
  <c r="I225" i="16"/>
  <c r="H225" i="16"/>
  <c r="G225" i="16"/>
  <c r="F216" i="16"/>
  <c r="F215" i="16"/>
  <c r="F214" i="16"/>
  <c r="F212" i="16"/>
  <c r="F211" i="16"/>
  <c r="F210" i="16"/>
  <c r="F207" i="16"/>
  <c r="F206" i="16" s="1"/>
  <c r="F205" i="16"/>
  <c r="F204" i="16"/>
  <c r="F202" i="16"/>
  <c r="F201" i="16"/>
  <c r="F200" i="16"/>
  <c r="F198" i="16"/>
  <c r="F197" i="16"/>
  <c r="F194" i="16"/>
  <c r="F193" i="16"/>
  <c r="F192" i="16"/>
  <c r="F190" i="16"/>
  <c r="F189" i="16"/>
  <c r="F188" i="16"/>
  <c r="F186" i="16"/>
  <c r="F185" i="16" s="1"/>
  <c r="F184" i="16"/>
  <c r="F183" i="16"/>
  <c r="F182" i="16"/>
  <c r="F181" i="16"/>
  <c r="F180" i="16"/>
  <c r="F177" i="16"/>
  <c r="F176" i="16"/>
  <c r="F175" i="16"/>
  <c r="F174" i="16"/>
  <c r="F172" i="16"/>
  <c r="F171" i="16"/>
  <c r="F170" i="16"/>
  <c r="F168" i="16"/>
  <c r="F167" i="16"/>
  <c r="F166" i="16"/>
  <c r="F165" i="16"/>
  <c r="F163" i="16"/>
  <c r="F162" i="16"/>
  <c r="F161" i="16"/>
  <c r="F160" i="16"/>
  <c r="F159" i="16"/>
  <c r="F156" i="16"/>
  <c r="F155" i="16"/>
  <c r="F154" i="16"/>
  <c r="F153" i="16"/>
  <c r="F150" i="16"/>
  <c r="F149" i="16"/>
  <c r="F148" i="16"/>
  <c r="F147" i="16"/>
  <c r="F146" i="16"/>
  <c r="F145" i="16"/>
  <c r="F144" i="16"/>
  <c r="K142" i="16"/>
  <c r="I142" i="16"/>
  <c r="F141" i="16"/>
  <c r="F140" i="16"/>
  <c r="F139" i="16"/>
  <c r="F137" i="16"/>
  <c r="F136" i="16"/>
  <c r="F135" i="16"/>
  <c r="F134" i="16"/>
  <c r="F133" i="16"/>
  <c r="F131" i="16"/>
  <c r="F130" i="16"/>
  <c r="F129" i="16"/>
  <c r="F128" i="16"/>
  <c r="F125" i="16"/>
  <c r="F124" i="16"/>
  <c r="F123" i="16"/>
  <c r="F121" i="16"/>
  <c r="F120" i="16" s="1"/>
  <c r="F118" i="16"/>
  <c r="F117" i="16"/>
  <c r="F116" i="16"/>
  <c r="F115" i="16"/>
  <c r="F114" i="16"/>
  <c r="F113" i="16"/>
  <c r="F112" i="16"/>
  <c r="F111" i="16"/>
  <c r="F110" i="16"/>
  <c r="F227" i="16" s="1"/>
  <c r="F108" i="16"/>
  <c r="F107" i="16"/>
  <c r="F106" i="16"/>
  <c r="F104" i="16"/>
  <c r="F103" i="16"/>
  <c r="F102" i="16"/>
  <c r="F101" i="16"/>
  <c r="F99" i="16"/>
  <c r="F98" i="16"/>
  <c r="F97" i="16"/>
  <c r="F96" i="16"/>
  <c r="F94" i="16"/>
  <c r="F93" i="16"/>
  <c r="F92" i="16"/>
  <c r="F91" i="16"/>
  <c r="F90" i="16"/>
  <c r="F88" i="16"/>
  <c r="F87" i="16"/>
  <c r="F86" i="16"/>
  <c r="F85" i="16"/>
  <c r="F84" i="16"/>
  <c r="F82" i="16"/>
  <c r="F81" i="16"/>
  <c r="F80" i="16"/>
  <c r="F79" i="16"/>
  <c r="F78" i="16"/>
  <c r="F76" i="16"/>
  <c r="F75" i="16"/>
  <c r="F74" i="16"/>
  <c r="F73" i="16"/>
  <c r="F71" i="16"/>
  <c r="F70" i="16"/>
  <c r="F69" i="16"/>
  <c r="F68" i="16"/>
  <c r="F67" i="16"/>
  <c r="F64" i="16"/>
  <c r="F63" i="16"/>
  <c r="F62" i="16"/>
  <c r="F60" i="16"/>
  <c r="F59" i="16"/>
  <c r="F58" i="16"/>
  <c r="F55" i="16"/>
  <c r="F54" i="16"/>
  <c r="F53" i="16"/>
  <c r="F51" i="16"/>
  <c r="F50" i="16"/>
  <c r="F49" i="16"/>
  <c r="L48" i="16"/>
  <c r="L47" i="16" s="1"/>
  <c r="K48" i="16"/>
  <c r="I48" i="16"/>
  <c r="H48" i="16"/>
  <c r="H47" i="16" s="1"/>
  <c r="G48" i="16"/>
  <c r="G47" i="16" s="1"/>
  <c r="E48" i="16"/>
  <c r="E47" i="16" s="1"/>
  <c r="F46" i="16"/>
  <c r="F45" i="16" s="1"/>
  <c r="F44" i="16"/>
  <c r="F43" i="16"/>
  <c r="F42" i="16"/>
  <c r="F41" i="16"/>
  <c r="F40" i="16"/>
  <c r="F38" i="16"/>
  <c r="F37" i="16"/>
  <c r="F35" i="16"/>
  <c r="F34" i="16"/>
  <c r="F33" i="16"/>
  <c r="F32" i="16"/>
  <c r="F31" i="16"/>
  <c r="F29" i="16"/>
  <c r="F28" i="16"/>
  <c r="F27" i="16"/>
  <c r="F26" i="16"/>
  <c r="F23" i="16"/>
  <c r="F22" i="16" s="1"/>
  <c r="F21" i="16"/>
  <c r="F20" i="16" s="1"/>
  <c r="F18" i="16"/>
  <c r="F17" i="16"/>
  <c r="F16" i="16" s="1"/>
  <c r="L15" i="16"/>
  <c r="G15" i="16"/>
  <c r="E15" i="16"/>
  <c r="F14" i="16"/>
  <c r="F13" i="16"/>
  <c r="F12" i="16"/>
  <c r="F11" i="16"/>
  <c r="K559" i="14"/>
  <c r="M46" i="15"/>
  <c r="H223" i="16" l="1"/>
  <c r="J223" i="16" s="1"/>
  <c r="J219" i="16"/>
  <c r="G178" i="16"/>
  <c r="G223" i="16"/>
  <c r="I47" i="16"/>
  <c r="K223" i="16"/>
  <c r="E221" i="16"/>
  <c r="H224" i="16"/>
  <c r="K47" i="16"/>
  <c r="I223" i="16"/>
  <c r="I224" i="16"/>
  <c r="L224" i="16"/>
  <c r="E178" i="16"/>
  <c r="E223" i="16"/>
  <c r="E224" i="16"/>
  <c r="L223" i="16"/>
  <c r="K224" i="16"/>
  <c r="G224" i="16"/>
  <c r="L178" i="16"/>
  <c r="F191" i="16"/>
  <c r="F219" i="16"/>
  <c r="F213" i="16"/>
  <c r="K178" i="16"/>
  <c r="I178" i="16"/>
  <c r="L119" i="16"/>
  <c r="H178" i="16"/>
  <c r="K119" i="16"/>
  <c r="E119" i="16"/>
  <c r="H119" i="16"/>
  <c r="F187" i="16"/>
  <c r="L126" i="16"/>
  <c r="G126" i="16"/>
  <c r="G119" i="16"/>
  <c r="I119" i="16"/>
  <c r="I56" i="16"/>
  <c r="F196" i="16"/>
  <c r="F36" i="16"/>
  <c r="K56" i="16"/>
  <c r="F209" i="16"/>
  <c r="F57" i="16"/>
  <c r="F83" i="16"/>
  <c r="F52" i="16"/>
  <c r="K195" i="16"/>
  <c r="I157" i="16"/>
  <c r="K126" i="16"/>
  <c r="L65" i="16"/>
  <c r="L221" i="16" s="1"/>
  <c r="L24" i="16"/>
  <c r="F109" i="16"/>
  <c r="F158" i="16"/>
  <c r="F179" i="16"/>
  <c r="K157" i="16"/>
  <c r="E65" i="16"/>
  <c r="H24" i="16"/>
  <c r="J24" i="16" s="1"/>
  <c r="F39" i="16"/>
  <c r="F66" i="16"/>
  <c r="F95" i="16"/>
  <c r="F100" i="16"/>
  <c r="F105" i="16"/>
  <c r="F127" i="16"/>
  <c r="F132" i="16"/>
  <c r="F143" i="16"/>
  <c r="F142" i="16" s="1"/>
  <c r="F164" i="16"/>
  <c r="F169" i="16"/>
  <c r="F203" i="16"/>
  <c r="L195" i="16"/>
  <c r="G195" i="16"/>
  <c r="L157" i="16"/>
  <c r="G157" i="16"/>
  <c r="G222" i="16" s="1"/>
  <c r="E126" i="16"/>
  <c r="H126" i="16"/>
  <c r="J126" i="16" s="1"/>
  <c r="I65" i="16"/>
  <c r="I221" i="16" s="1"/>
  <c r="L56" i="16"/>
  <c r="G56" i="16"/>
  <c r="I24" i="16"/>
  <c r="I195" i="16"/>
  <c r="G65" i="16"/>
  <c r="G221" i="16" s="1"/>
  <c r="G24" i="16"/>
  <c r="F10" i="16"/>
  <c r="F9" i="16" s="1"/>
  <c r="F89" i="16"/>
  <c r="F152" i="16"/>
  <c r="F151" i="16" s="1"/>
  <c r="F173" i="16"/>
  <c r="H65" i="16"/>
  <c r="E24" i="16"/>
  <c r="F25" i="16"/>
  <c r="F30" i="16"/>
  <c r="F61" i="16"/>
  <c r="F72" i="16"/>
  <c r="F77" i="16"/>
  <c r="F122" i="16"/>
  <c r="F119" i="16" s="1"/>
  <c r="F138" i="16"/>
  <c r="F199" i="16"/>
  <c r="E195" i="16"/>
  <c r="H195" i="16"/>
  <c r="E157" i="16"/>
  <c r="H157" i="16"/>
  <c r="I126" i="16"/>
  <c r="K65" i="16"/>
  <c r="K221" i="16" s="1"/>
  <c r="E56" i="16"/>
  <c r="H56" i="16"/>
  <c r="K24" i="16"/>
  <c r="E19" i="16"/>
  <c r="G208" i="16"/>
  <c r="L208" i="16"/>
  <c r="H208" i="16"/>
  <c r="E208" i="16"/>
  <c r="I19" i="16"/>
  <c r="K208" i="16"/>
  <c r="L19" i="16"/>
  <c r="I208" i="16"/>
  <c r="H19" i="16"/>
  <c r="G19" i="16"/>
  <c r="F48" i="16"/>
  <c r="F15" i="16"/>
  <c r="H15" i="16"/>
  <c r="G142" i="16"/>
  <c r="F225" i="16"/>
  <c r="G244" i="13"/>
  <c r="H244" i="13"/>
  <c r="J244" i="13"/>
  <c r="K244" i="13"/>
  <c r="L244" i="13"/>
  <c r="E244" i="13"/>
  <c r="G249" i="13"/>
  <c r="H249" i="13"/>
  <c r="J249" i="13"/>
  <c r="K249" i="13"/>
  <c r="L249" i="13"/>
  <c r="E249" i="13"/>
  <c r="K225" i="13"/>
  <c r="L225" i="13"/>
  <c r="J225" i="13"/>
  <c r="G225" i="13"/>
  <c r="H225" i="13"/>
  <c r="E225" i="13"/>
  <c r="H216" i="13"/>
  <c r="G216" i="13"/>
  <c r="F216" i="13"/>
  <c r="K136" i="13"/>
  <c r="L136" i="13"/>
  <c r="J136" i="13"/>
  <c r="F136" i="13"/>
  <c r="G136" i="13"/>
  <c r="H136" i="13"/>
  <c r="E136" i="13"/>
  <c r="K120" i="13"/>
  <c r="L120" i="13"/>
  <c r="J120" i="13"/>
  <c r="G120" i="13"/>
  <c r="H120" i="13"/>
  <c r="E120" i="13"/>
  <c r="K91" i="13"/>
  <c r="L91" i="13"/>
  <c r="J91" i="13"/>
  <c r="G91" i="13"/>
  <c r="H91" i="13"/>
  <c r="E91" i="13"/>
  <c r="I13" i="13"/>
  <c r="I15" i="13"/>
  <c r="I21" i="13"/>
  <c r="I24" i="13"/>
  <c r="I26" i="13"/>
  <c r="I30" i="13"/>
  <c r="I33" i="13"/>
  <c r="I34" i="13"/>
  <c r="I36" i="13"/>
  <c r="I37" i="13"/>
  <c r="I38" i="13"/>
  <c r="I39" i="13"/>
  <c r="I43" i="13"/>
  <c r="I46" i="13"/>
  <c r="I49" i="13"/>
  <c r="I52" i="13"/>
  <c r="I55" i="13"/>
  <c r="I60" i="13"/>
  <c r="I62" i="13"/>
  <c r="I65" i="13"/>
  <c r="I66" i="13"/>
  <c r="I69" i="13"/>
  <c r="I72" i="13"/>
  <c r="I73" i="13"/>
  <c r="I74" i="13"/>
  <c r="I75" i="13"/>
  <c r="I76" i="13"/>
  <c r="I78" i="13"/>
  <c r="I79" i="13"/>
  <c r="I81" i="13"/>
  <c r="I82" i="13"/>
  <c r="I83" i="13"/>
  <c r="I84" i="13"/>
  <c r="I85" i="13"/>
  <c r="I86" i="13"/>
  <c r="I87" i="13"/>
  <c r="I88" i="13"/>
  <c r="I89" i="13"/>
  <c r="I90" i="13"/>
  <c r="I92" i="13"/>
  <c r="I93" i="13"/>
  <c r="I98" i="13"/>
  <c r="I99" i="13"/>
  <c r="I102" i="13"/>
  <c r="I104" i="13"/>
  <c r="I109" i="13"/>
  <c r="I110" i="13"/>
  <c r="I112" i="13"/>
  <c r="I113" i="13"/>
  <c r="I114" i="13"/>
  <c r="I115" i="13"/>
  <c r="I116" i="13"/>
  <c r="I118" i="13"/>
  <c r="I122" i="13"/>
  <c r="I124" i="13"/>
  <c r="I125" i="13"/>
  <c r="I128" i="13"/>
  <c r="I130" i="13"/>
  <c r="I131" i="13"/>
  <c r="I132" i="13"/>
  <c r="I133" i="13"/>
  <c r="I134" i="13"/>
  <c r="I135" i="13"/>
  <c r="I141" i="13"/>
  <c r="I142" i="13"/>
  <c r="I144" i="13"/>
  <c r="I147" i="13"/>
  <c r="I148" i="13"/>
  <c r="I149" i="13"/>
  <c r="I150" i="13"/>
  <c r="I157" i="13"/>
  <c r="I159" i="13"/>
  <c r="I161" i="13"/>
  <c r="I162" i="13"/>
  <c r="I163" i="13"/>
  <c r="I166" i="13"/>
  <c r="I168" i="13"/>
  <c r="I170" i="13"/>
  <c r="I171" i="13"/>
  <c r="I174" i="13"/>
  <c r="I176" i="13"/>
  <c r="I177" i="13"/>
  <c r="I179" i="13"/>
  <c r="I181" i="13"/>
  <c r="I184" i="13"/>
  <c r="I185" i="13"/>
  <c r="I188" i="13"/>
  <c r="I189" i="13"/>
  <c r="I193" i="13"/>
  <c r="I194" i="13"/>
  <c r="I195" i="13"/>
  <c r="I199" i="13"/>
  <c r="I200" i="13"/>
  <c r="I201" i="13"/>
  <c r="I202" i="13"/>
  <c r="I205" i="13"/>
  <c r="I207" i="13"/>
  <c r="I208" i="13"/>
  <c r="I209" i="13"/>
  <c r="I212" i="13"/>
  <c r="I213" i="13"/>
  <c r="I220" i="13"/>
  <c r="I222" i="13"/>
  <c r="I227" i="13"/>
  <c r="I231" i="13"/>
  <c r="I232" i="13"/>
  <c r="I235" i="13"/>
  <c r="I10" i="13"/>
  <c r="I249" i="13" l="1"/>
  <c r="I244" i="13"/>
  <c r="J224" i="16"/>
  <c r="J19" i="16"/>
  <c r="F221" i="16"/>
  <c r="K222" i="16"/>
  <c r="E222" i="16"/>
  <c r="F56" i="16"/>
  <c r="F223" i="16"/>
  <c r="F224" i="16"/>
  <c r="F47" i="16"/>
  <c r="I222" i="16"/>
  <c r="H222" i="16"/>
  <c r="J222" i="16" s="1"/>
  <c r="L222" i="16"/>
  <c r="F195" i="16"/>
  <c r="I217" i="16"/>
  <c r="E217" i="16"/>
  <c r="F178" i="16"/>
  <c r="F65" i="16"/>
  <c r="F24" i="16"/>
  <c r="H217" i="16"/>
  <c r="F126" i="16"/>
  <c r="K217" i="16"/>
  <c r="L217" i="16"/>
  <c r="G217" i="16"/>
  <c r="F157" i="16"/>
  <c r="F208" i="16"/>
  <c r="F19" i="16"/>
  <c r="I91" i="13"/>
  <c r="I165" i="14"/>
  <c r="I34" i="14"/>
  <c r="J673" i="14"/>
  <c r="J674" i="14"/>
  <c r="J675" i="14"/>
  <c r="J672" i="14"/>
  <c r="J670" i="14"/>
  <c r="J669" i="14"/>
  <c r="J667" i="14"/>
  <c r="J668" i="14"/>
  <c r="J666" i="14"/>
  <c r="J662" i="14"/>
  <c r="J663" i="14"/>
  <c r="J664" i="14"/>
  <c r="J661" i="14"/>
  <c r="F669" i="14"/>
  <c r="G669" i="14"/>
  <c r="H669" i="14"/>
  <c r="I669" i="14"/>
  <c r="K669" i="14"/>
  <c r="L669" i="14"/>
  <c r="E669" i="14"/>
  <c r="E667" i="14"/>
  <c r="G667" i="14"/>
  <c r="H667" i="14"/>
  <c r="I667" i="14"/>
  <c r="K667" i="14"/>
  <c r="L667" i="14"/>
  <c r="G668" i="14"/>
  <c r="H668" i="14"/>
  <c r="I668" i="14"/>
  <c r="K668" i="14"/>
  <c r="L668" i="14"/>
  <c r="E668" i="14"/>
  <c r="G659" i="14"/>
  <c r="H659" i="14"/>
  <c r="J659" i="14" s="1"/>
  <c r="I659" i="14"/>
  <c r="K659" i="14"/>
  <c r="L659" i="14"/>
  <c r="E659" i="14"/>
  <c r="L660" i="14"/>
  <c r="G660" i="14"/>
  <c r="H660" i="14"/>
  <c r="I660" i="14"/>
  <c r="K660" i="14"/>
  <c r="E660" i="14"/>
  <c r="G661" i="14"/>
  <c r="H661" i="14"/>
  <c r="I661" i="14"/>
  <c r="K661" i="14"/>
  <c r="L661" i="14"/>
  <c r="E661" i="14"/>
  <c r="G662" i="14"/>
  <c r="H662" i="14"/>
  <c r="I662" i="14"/>
  <c r="K662" i="14"/>
  <c r="L662" i="14"/>
  <c r="E662" i="14"/>
  <c r="G663" i="14"/>
  <c r="H663" i="14"/>
  <c r="I663" i="14"/>
  <c r="K663" i="14"/>
  <c r="L663" i="14"/>
  <c r="E663" i="14"/>
  <c r="G666" i="14"/>
  <c r="H666" i="14"/>
  <c r="I666" i="14"/>
  <c r="K666" i="14"/>
  <c r="L666" i="14"/>
  <c r="E666" i="14"/>
  <c r="G664" i="14"/>
  <c r="H664" i="14"/>
  <c r="I664" i="14"/>
  <c r="K664" i="14"/>
  <c r="L664" i="14"/>
  <c r="E664" i="14"/>
  <c r="G675" i="14"/>
  <c r="H675" i="14"/>
  <c r="I675" i="14"/>
  <c r="K675" i="14"/>
  <c r="L675" i="14"/>
  <c r="E675" i="14"/>
  <c r="G674" i="14"/>
  <c r="H674" i="14"/>
  <c r="I674" i="14"/>
  <c r="K674" i="14"/>
  <c r="L674" i="14"/>
  <c r="E674" i="14"/>
  <c r="E673" i="14"/>
  <c r="G673" i="14"/>
  <c r="H673" i="14"/>
  <c r="I673" i="14"/>
  <c r="K673" i="14"/>
  <c r="L673" i="14"/>
  <c r="G672" i="14"/>
  <c r="H672" i="14"/>
  <c r="I672" i="14"/>
  <c r="K672" i="14"/>
  <c r="L672" i="14"/>
  <c r="E672" i="14"/>
  <c r="G248" i="13"/>
  <c r="H248" i="13"/>
  <c r="J248" i="13"/>
  <c r="K248" i="13"/>
  <c r="L248" i="13"/>
  <c r="E248" i="13"/>
  <c r="G246" i="13"/>
  <c r="H246" i="13"/>
  <c r="J246" i="13"/>
  <c r="K246" i="13"/>
  <c r="L246" i="13"/>
  <c r="G245" i="13"/>
  <c r="H245" i="13"/>
  <c r="I245" i="13" s="1"/>
  <c r="J245" i="13"/>
  <c r="K245" i="13"/>
  <c r="L245" i="13"/>
  <c r="E245" i="13"/>
  <c r="G243" i="13"/>
  <c r="H243" i="13"/>
  <c r="J243" i="13"/>
  <c r="K243" i="13"/>
  <c r="L243" i="13"/>
  <c r="E243" i="13"/>
  <c r="G242" i="13"/>
  <c r="H242" i="13"/>
  <c r="J242" i="13"/>
  <c r="K242" i="13"/>
  <c r="L242" i="13"/>
  <c r="E242" i="13"/>
  <c r="G257" i="13"/>
  <c r="H257" i="13"/>
  <c r="I257" i="13" s="1"/>
  <c r="J257" i="13"/>
  <c r="K257" i="13"/>
  <c r="L257" i="13"/>
  <c r="E257" i="13"/>
  <c r="G252" i="13"/>
  <c r="H252" i="13"/>
  <c r="I252" i="13" s="1"/>
  <c r="J252" i="13"/>
  <c r="K252" i="13"/>
  <c r="L252" i="13"/>
  <c r="E252" i="13"/>
  <c r="G254" i="13"/>
  <c r="H254" i="13"/>
  <c r="I254" i="13" s="1"/>
  <c r="J254" i="13"/>
  <c r="K254" i="13"/>
  <c r="L254" i="13"/>
  <c r="E254" i="13"/>
  <c r="G253" i="13"/>
  <c r="G250" i="13" s="1"/>
  <c r="H253" i="13"/>
  <c r="I253" i="13" s="1"/>
  <c r="J253" i="13"/>
  <c r="K253" i="13"/>
  <c r="L253" i="13"/>
  <c r="E253" i="13"/>
  <c r="H657" i="14" l="1"/>
  <c r="I248" i="13"/>
  <c r="E250" i="13"/>
  <c r="I246" i="13"/>
  <c r="I243" i="13"/>
  <c r="I242" i="13"/>
  <c r="F222" i="16"/>
  <c r="J217" i="16"/>
  <c r="E657" i="14"/>
  <c r="J660" i="14"/>
  <c r="F217" i="16"/>
  <c r="H250" i="13"/>
  <c r="I250" i="13" s="1"/>
  <c r="L657" i="14"/>
  <c r="E670" i="14"/>
  <c r="K670" i="14"/>
  <c r="G657" i="14"/>
  <c r="J657" i="14" s="1"/>
  <c r="K657" i="14"/>
  <c r="I657" i="14"/>
  <c r="I670" i="14"/>
  <c r="H670" i="14"/>
  <c r="L670" i="14"/>
  <c r="G670" i="14"/>
  <c r="L545" i="14"/>
  <c r="K545" i="14"/>
  <c r="K633" i="14" l="1"/>
  <c r="J623" i="14"/>
  <c r="I614" i="14"/>
  <c r="H53" i="14"/>
  <c r="J11" i="14" l="1"/>
  <c r="J13" i="14"/>
  <c r="J15" i="14"/>
  <c r="J16" i="14"/>
  <c r="J17" i="14"/>
  <c r="J18" i="14"/>
  <c r="J19" i="14"/>
  <c r="J20" i="14"/>
  <c r="J21" i="14"/>
  <c r="J24" i="14"/>
  <c r="J25" i="14"/>
  <c r="J26" i="14"/>
  <c r="J27" i="14"/>
  <c r="J28" i="14"/>
  <c r="J31" i="14"/>
  <c r="J33" i="14"/>
  <c r="J35" i="14"/>
  <c r="J37" i="14"/>
  <c r="J39" i="14"/>
  <c r="J40" i="14"/>
  <c r="J41" i="14"/>
  <c r="J42" i="14"/>
  <c r="J43" i="14"/>
  <c r="J46" i="14"/>
  <c r="J47" i="14"/>
  <c r="J48" i="14"/>
  <c r="J52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9" i="14"/>
  <c r="J70" i="14"/>
  <c r="J73" i="14"/>
  <c r="J77" i="14"/>
  <c r="J78" i="14"/>
  <c r="J79" i="14"/>
  <c r="J80" i="14"/>
  <c r="J81" i="14"/>
  <c r="J82" i="14"/>
  <c r="J83" i="14"/>
  <c r="J85" i="14"/>
  <c r="J86" i="14"/>
  <c r="J87" i="14"/>
  <c r="J88" i="14"/>
  <c r="J89" i="14"/>
  <c r="J90" i="14"/>
  <c r="J91" i="14"/>
  <c r="J93" i="14"/>
  <c r="J94" i="14"/>
  <c r="J95" i="14"/>
  <c r="J96" i="14"/>
  <c r="J97" i="14"/>
  <c r="J98" i="14"/>
  <c r="J99" i="14"/>
  <c r="J100" i="14"/>
  <c r="J101" i="14"/>
  <c r="J102" i="14"/>
  <c r="J103" i="14"/>
  <c r="J104" i="14"/>
  <c r="J105" i="14"/>
  <c r="J107" i="14"/>
  <c r="J108" i="14"/>
  <c r="J110" i="14"/>
  <c r="J111" i="14"/>
  <c r="J112" i="14"/>
  <c r="J113" i="14"/>
  <c r="J114" i="14"/>
  <c r="J117" i="14"/>
  <c r="J118" i="14"/>
  <c r="J120" i="14"/>
  <c r="J121" i="14"/>
  <c r="J122" i="14"/>
  <c r="J123" i="14"/>
  <c r="J124" i="14"/>
  <c r="J126" i="14"/>
  <c r="J127" i="14"/>
  <c r="J128" i="14"/>
  <c r="J129" i="14"/>
  <c r="J130" i="14"/>
  <c r="J131" i="14"/>
  <c r="J132" i="14"/>
  <c r="J133" i="14"/>
  <c r="J134" i="14"/>
  <c r="J135" i="14"/>
  <c r="J136" i="14"/>
  <c r="J137" i="14"/>
  <c r="J138" i="14"/>
  <c r="J139" i="14"/>
  <c r="J140" i="14"/>
  <c r="J141" i="14"/>
  <c r="J142" i="14"/>
  <c r="J144" i="14"/>
  <c r="J145" i="14"/>
  <c r="J146" i="14"/>
  <c r="J149" i="14"/>
  <c r="J150" i="14"/>
  <c r="J151" i="14"/>
  <c r="J153" i="14"/>
  <c r="J154" i="14"/>
  <c r="J155" i="14"/>
  <c r="J156" i="14"/>
  <c r="J157" i="14"/>
  <c r="J158" i="14"/>
  <c r="J159" i="14"/>
  <c r="J160" i="14"/>
  <c r="J163" i="14"/>
  <c r="J166" i="14"/>
  <c r="J167" i="14"/>
  <c r="J168" i="14"/>
  <c r="J169" i="14"/>
  <c r="J170" i="14"/>
  <c r="J171" i="14"/>
  <c r="J172" i="14"/>
  <c r="J173" i="14"/>
  <c r="J174" i="14"/>
  <c r="J175" i="14"/>
  <c r="J176" i="14"/>
  <c r="J177" i="14"/>
  <c r="J178" i="14"/>
  <c r="J180" i="14"/>
  <c r="J182" i="14"/>
  <c r="J183" i="14"/>
  <c r="J184" i="14"/>
  <c r="J185" i="14"/>
  <c r="J187" i="14"/>
  <c r="J188" i="14"/>
  <c r="J189" i="14"/>
  <c r="J190" i="14"/>
  <c r="J191" i="14"/>
  <c r="J193" i="14"/>
  <c r="J194" i="14"/>
  <c r="J195" i="14"/>
  <c r="J196" i="14"/>
  <c r="J197" i="14"/>
  <c r="J200" i="14"/>
  <c r="J203" i="14"/>
  <c r="J208" i="14"/>
  <c r="J211" i="14"/>
  <c r="J212" i="14"/>
  <c r="J213" i="14"/>
  <c r="J214" i="14"/>
  <c r="J215" i="14"/>
  <c r="J216" i="14"/>
  <c r="J217" i="14"/>
  <c r="J218" i="14"/>
  <c r="J219" i="14"/>
  <c r="J220" i="14"/>
  <c r="J221" i="14"/>
  <c r="J222" i="14"/>
  <c r="J223" i="14"/>
  <c r="J224" i="14"/>
  <c r="J225" i="14"/>
  <c r="J226" i="14"/>
  <c r="J227" i="14"/>
  <c r="J228" i="14"/>
  <c r="J229" i="14"/>
  <c r="J230" i="14"/>
  <c r="J231" i="14"/>
  <c r="J233" i="14"/>
  <c r="J234" i="14"/>
  <c r="J235" i="14"/>
  <c r="J236" i="14"/>
  <c r="J237" i="14"/>
  <c r="J238" i="14"/>
  <c r="J239" i="14"/>
  <c r="J240" i="14"/>
  <c r="J241" i="14"/>
  <c r="J242" i="14"/>
  <c r="J243" i="14"/>
  <c r="J244" i="14"/>
  <c r="J245" i="14"/>
  <c r="J247" i="14"/>
  <c r="J248" i="14"/>
  <c r="J249" i="14"/>
  <c r="J250" i="14"/>
  <c r="J251" i="14"/>
  <c r="J252" i="14"/>
  <c r="J253" i="14"/>
  <c r="J254" i="14"/>
  <c r="J255" i="14"/>
  <c r="J256" i="14"/>
  <c r="J257" i="14"/>
  <c r="J258" i="14"/>
  <c r="J259" i="14"/>
  <c r="J260" i="14"/>
  <c r="J261" i="14"/>
  <c r="J262" i="14"/>
  <c r="J263" i="14"/>
  <c r="J264" i="14"/>
  <c r="J265" i="14"/>
  <c r="J266" i="14"/>
  <c r="J267" i="14"/>
  <c r="J270" i="14"/>
  <c r="J271" i="14"/>
  <c r="J272" i="14"/>
  <c r="J273" i="14"/>
  <c r="J274" i="14"/>
  <c r="J275" i="14"/>
  <c r="J276" i="14"/>
  <c r="J277" i="14"/>
  <c r="J278" i="14"/>
  <c r="J279" i="14"/>
  <c r="J280" i="14"/>
  <c r="J281" i="14"/>
  <c r="J282" i="14"/>
  <c r="J283" i="14"/>
  <c r="J284" i="14"/>
  <c r="J285" i="14"/>
  <c r="J286" i="14"/>
  <c r="J287" i="14"/>
  <c r="J289" i="14"/>
  <c r="J291" i="14"/>
  <c r="J292" i="14"/>
  <c r="J294" i="14"/>
  <c r="J295" i="14"/>
  <c r="J296" i="14"/>
  <c r="J297" i="14"/>
  <c r="J298" i="14"/>
  <c r="J299" i="14"/>
  <c r="J300" i="14"/>
  <c r="J301" i="14"/>
  <c r="J303" i="14"/>
  <c r="J304" i="14"/>
  <c r="J305" i="14"/>
  <c r="J306" i="14"/>
  <c r="J308" i="14"/>
  <c r="J309" i="14"/>
  <c r="J310" i="14"/>
  <c r="J311" i="14"/>
  <c r="J312" i="14"/>
  <c r="J313" i="14"/>
  <c r="J314" i="14"/>
  <c r="J315" i="14"/>
  <c r="J317" i="14"/>
  <c r="J319" i="14"/>
  <c r="J321" i="14"/>
  <c r="J322" i="14"/>
  <c r="J323" i="14"/>
  <c r="J324" i="14"/>
  <c r="J325" i="14"/>
  <c r="J326" i="14"/>
  <c r="J327" i="14"/>
  <c r="J329" i="14"/>
  <c r="J332" i="14"/>
  <c r="J335" i="14"/>
  <c r="J336" i="14"/>
  <c r="J337" i="14"/>
  <c r="J339" i="14"/>
  <c r="J340" i="14"/>
  <c r="J341" i="14"/>
  <c r="J343" i="14"/>
  <c r="J344" i="14"/>
  <c r="J345" i="14"/>
  <c r="J346" i="14"/>
  <c r="J347" i="14"/>
  <c r="J348" i="14"/>
  <c r="J349" i="14"/>
  <c r="J350" i="14"/>
  <c r="J351" i="14"/>
  <c r="J352" i="14"/>
  <c r="J353" i="14"/>
  <c r="J354" i="14"/>
  <c r="J355" i="14"/>
  <c r="J356" i="14"/>
  <c r="J357" i="14"/>
  <c r="J358" i="14"/>
  <c r="J359" i="14"/>
  <c r="J360" i="14"/>
  <c r="J361" i="14"/>
  <c r="J362" i="14"/>
  <c r="J363" i="14"/>
  <c r="J364" i="14"/>
  <c r="J365" i="14"/>
  <c r="J366" i="14"/>
  <c r="J369" i="14"/>
  <c r="J371" i="14"/>
  <c r="J372" i="14"/>
  <c r="J373" i="14"/>
  <c r="J375" i="14"/>
  <c r="J376" i="14"/>
  <c r="J377" i="14"/>
  <c r="J378" i="14"/>
  <c r="J379" i="14"/>
  <c r="J380" i="14"/>
  <c r="J381" i="14"/>
  <c r="J382" i="14"/>
  <c r="J383" i="14"/>
  <c r="J384" i="14"/>
  <c r="J385" i="14"/>
  <c r="J386" i="14"/>
  <c r="J388" i="14"/>
  <c r="J389" i="14"/>
  <c r="J390" i="14"/>
  <c r="J391" i="14"/>
  <c r="J394" i="14"/>
  <c r="J396" i="14"/>
  <c r="J397" i="14"/>
  <c r="J398" i="14"/>
  <c r="J399" i="14"/>
  <c r="J400" i="14"/>
  <c r="J401" i="14"/>
  <c r="J402" i="14"/>
  <c r="J403" i="14"/>
  <c r="J404" i="14"/>
  <c r="J405" i="14"/>
  <c r="J406" i="14"/>
  <c r="J407" i="14"/>
  <c r="J409" i="14"/>
  <c r="J410" i="14"/>
  <c r="J412" i="14"/>
  <c r="J413" i="14"/>
  <c r="J415" i="14"/>
  <c r="J417" i="14"/>
  <c r="J418" i="14"/>
  <c r="J420" i="14"/>
  <c r="J421" i="14"/>
  <c r="J423" i="14"/>
  <c r="J424" i="14"/>
  <c r="J425" i="14"/>
  <c r="J426" i="14"/>
  <c r="J427" i="14"/>
  <c r="J428" i="14"/>
  <c r="J429" i="14"/>
  <c r="J430" i="14"/>
  <c r="J431" i="14"/>
  <c r="J432" i="14"/>
  <c r="J433" i="14"/>
  <c r="J434" i="14"/>
  <c r="J435" i="14"/>
  <c r="J436" i="14"/>
  <c r="J437" i="14"/>
  <c r="J438" i="14"/>
  <c r="J439" i="14"/>
  <c r="J440" i="14"/>
  <c r="J445" i="14"/>
  <c r="J447" i="14"/>
  <c r="J449" i="14"/>
  <c r="J451" i="14"/>
  <c r="J452" i="14"/>
  <c r="J455" i="14"/>
  <c r="J456" i="14"/>
  <c r="J457" i="14"/>
  <c r="J458" i="14"/>
  <c r="J459" i="14"/>
  <c r="J460" i="14"/>
  <c r="J461" i="14"/>
  <c r="J462" i="14"/>
  <c r="J463" i="14"/>
  <c r="J464" i="14"/>
  <c r="J465" i="14"/>
  <c r="J466" i="14"/>
  <c r="J467" i="14"/>
  <c r="J469" i="14"/>
  <c r="J470" i="14"/>
  <c r="J471" i="14"/>
  <c r="J472" i="14"/>
  <c r="J476" i="14"/>
  <c r="J477" i="14"/>
  <c r="J478" i="14"/>
  <c r="J479" i="14"/>
  <c r="J480" i="14"/>
  <c r="J481" i="14"/>
  <c r="J482" i="14"/>
  <c r="J483" i="14"/>
  <c r="J484" i="14"/>
  <c r="J485" i="14"/>
  <c r="J486" i="14"/>
  <c r="J488" i="14"/>
  <c r="J489" i="14"/>
  <c r="J491" i="14"/>
  <c r="J495" i="14"/>
  <c r="J496" i="14"/>
  <c r="J497" i="14"/>
  <c r="J498" i="14"/>
  <c r="J499" i="14"/>
  <c r="J500" i="14"/>
  <c r="J501" i="14"/>
  <c r="J502" i="14"/>
  <c r="J503" i="14"/>
  <c r="J504" i="14"/>
  <c r="J506" i="14"/>
  <c r="J507" i="14"/>
  <c r="J508" i="14"/>
  <c r="J509" i="14"/>
  <c r="J511" i="14"/>
  <c r="J512" i="14"/>
  <c r="J513" i="14"/>
  <c r="J514" i="14"/>
  <c r="J515" i="14"/>
  <c r="J516" i="14"/>
  <c r="J517" i="14"/>
  <c r="J518" i="14"/>
  <c r="J519" i="14"/>
  <c r="J520" i="14"/>
  <c r="J521" i="14"/>
  <c r="J522" i="14"/>
  <c r="J523" i="14"/>
  <c r="J525" i="14"/>
  <c r="J526" i="14"/>
  <c r="J527" i="14"/>
  <c r="J529" i="14"/>
  <c r="J530" i="14"/>
  <c r="J531" i="14"/>
  <c r="J532" i="14"/>
  <c r="J533" i="14"/>
  <c r="J534" i="14"/>
  <c r="J535" i="14"/>
  <c r="J536" i="14"/>
  <c r="J537" i="14"/>
  <c r="J538" i="14"/>
  <c r="J539" i="14"/>
  <c r="J541" i="14"/>
  <c r="J543" i="14"/>
  <c r="J546" i="14"/>
  <c r="J547" i="14"/>
  <c r="J549" i="14"/>
  <c r="J550" i="14"/>
  <c r="J552" i="14"/>
  <c r="J553" i="14"/>
  <c r="J554" i="14"/>
  <c r="J555" i="14"/>
  <c r="J556" i="14"/>
  <c r="J557" i="14"/>
  <c r="J558" i="14"/>
  <c r="J559" i="14"/>
  <c r="J561" i="14"/>
  <c r="J562" i="14"/>
  <c r="J563" i="14"/>
  <c r="J565" i="14"/>
  <c r="J566" i="14"/>
  <c r="J568" i="14"/>
  <c r="J569" i="14"/>
  <c r="J570" i="14"/>
  <c r="J571" i="14"/>
  <c r="J573" i="14"/>
  <c r="J575" i="14"/>
  <c r="J576" i="14"/>
  <c r="J577" i="14"/>
  <c r="J578" i="14"/>
  <c r="J579" i="14"/>
  <c r="J580" i="14"/>
  <c r="J581" i="14"/>
  <c r="J583" i="14"/>
  <c r="J584" i="14"/>
  <c r="J585" i="14"/>
  <c r="J587" i="14"/>
  <c r="J589" i="14"/>
  <c r="J590" i="14"/>
  <c r="J591" i="14"/>
  <c r="J592" i="14"/>
  <c r="J593" i="14"/>
  <c r="J594" i="14"/>
  <c r="J597" i="14"/>
  <c r="J598" i="14"/>
  <c r="J599" i="14"/>
  <c r="J600" i="14"/>
  <c r="J601" i="14"/>
  <c r="J603" i="14"/>
  <c r="J606" i="14"/>
  <c r="J607" i="14"/>
  <c r="J608" i="14"/>
  <c r="J609" i="14"/>
  <c r="J610" i="14"/>
  <c r="J611" i="14"/>
  <c r="J612" i="14"/>
  <c r="J613" i="14"/>
  <c r="J615" i="14"/>
  <c r="J616" i="14"/>
  <c r="J618" i="14"/>
  <c r="J619" i="14"/>
  <c r="J620" i="14"/>
  <c r="J621" i="14"/>
  <c r="J625" i="14"/>
  <c r="J626" i="14"/>
  <c r="J627" i="14"/>
  <c r="J629" i="14"/>
  <c r="J630" i="14"/>
  <c r="J631" i="14"/>
  <c r="J634" i="14"/>
  <c r="J635" i="14"/>
  <c r="J636" i="14"/>
  <c r="J637" i="14"/>
  <c r="J638" i="14"/>
  <c r="J639" i="14"/>
  <c r="J640" i="14"/>
  <c r="J641" i="14"/>
  <c r="J642" i="14"/>
  <c r="J643" i="14"/>
  <c r="J644" i="14"/>
  <c r="J645" i="14"/>
  <c r="J647" i="14"/>
  <c r="J648" i="14"/>
  <c r="J649" i="14"/>
  <c r="J650" i="14"/>
  <c r="J651" i="14"/>
  <c r="J652" i="14"/>
  <c r="J653" i="14"/>
  <c r="F648" i="14"/>
  <c r="F649" i="14"/>
  <c r="F650" i="14"/>
  <c r="F651" i="14"/>
  <c r="F652" i="14"/>
  <c r="F653" i="14"/>
  <c r="F647" i="14"/>
  <c r="F635" i="14"/>
  <c r="F636" i="14"/>
  <c r="F637" i="14"/>
  <c r="F638" i="14"/>
  <c r="F639" i="14"/>
  <c r="F640" i="14"/>
  <c r="F641" i="14"/>
  <c r="F642" i="14"/>
  <c r="F643" i="14"/>
  <c r="F644" i="14"/>
  <c r="F645" i="14"/>
  <c r="F634" i="14"/>
  <c r="F630" i="14"/>
  <c r="F631" i="14"/>
  <c r="F629" i="14"/>
  <c r="F626" i="14"/>
  <c r="F627" i="14"/>
  <c r="F625" i="14"/>
  <c r="F623" i="14"/>
  <c r="F619" i="14"/>
  <c r="F620" i="14"/>
  <c r="F621" i="14"/>
  <c r="F618" i="14"/>
  <c r="F616" i="14"/>
  <c r="F615" i="14"/>
  <c r="F604" i="14"/>
  <c r="F605" i="14"/>
  <c r="F606" i="14"/>
  <c r="F607" i="14"/>
  <c r="F608" i="14"/>
  <c r="F609" i="14"/>
  <c r="F610" i="14"/>
  <c r="F611" i="14"/>
  <c r="F612" i="14"/>
  <c r="F613" i="14"/>
  <c r="F603" i="14"/>
  <c r="F598" i="14"/>
  <c r="F599" i="14"/>
  <c r="F600" i="14"/>
  <c r="F601" i="14"/>
  <c r="F597" i="14"/>
  <c r="F590" i="14"/>
  <c r="F591" i="14"/>
  <c r="F592" i="14"/>
  <c r="F593" i="14"/>
  <c r="F594" i="14"/>
  <c r="F589" i="14"/>
  <c r="F587" i="14"/>
  <c r="F584" i="14"/>
  <c r="F585" i="14"/>
  <c r="F583" i="14"/>
  <c r="F576" i="14"/>
  <c r="F577" i="14"/>
  <c r="F578" i="14"/>
  <c r="F579" i="14"/>
  <c r="F580" i="14"/>
  <c r="F581" i="14"/>
  <c r="F575" i="14"/>
  <c r="F573" i="14"/>
  <c r="F569" i="14"/>
  <c r="F570" i="14"/>
  <c r="F571" i="14"/>
  <c r="F568" i="14"/>
  <c r="F566" i="14"/>
  <c r="F565" i="14"/>
  <c r="F553" i="14"/>
  <c r="F554" i="14"/>
  <c r="F555" i="14"/>
  <c r="F556" i="14"/>
  <c r="F557" i="14"/>
  <c r="F558" i="14"/>
  <c r="F559" i="14"/>
  <c r="F560" i="14"/>
  <c r="F561" i="14"/>
  <c r="F562" i="14"/>
  <c r="F563" i="14"/>
  <c r="F552" i="14"/>
  <c r="F547" i="14"/>
  <c r="F549" i="14"/>
  <c r="F550" i="14"/>
  <c r="F546" i="14"/>
  <c r="F543" i="14"/>
  <c r="F541" i="14"/>
  <c r="F530" i="14"/>
  <c r="F531" i="14"/>
  <c r="F532" i="14"/>
  <c r="F533" i="14"/>
  <c r="F534" i="14"/>
  <c r="F535" i="14"/>
  <c r="F536" i="14"/>
  <c r="F537" i="14"/>
  <c r="F538" i="14"/>
  <c r="F539" i="14"/>
  <c r="F529" i="14"/>
  <c r="F526" i="14"/>
  <c r="F527" i="14"/>
  <c r="F525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11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495" i="14"/>
  <c r="F492" i="14"/>
  <c r="F491" i="14"/>
  <c r="F489" i="14"/>
  <c r="F488" i="14"/>
  <c r="F477" i="14"/>
  <c r="F478" i="14"/>
  <c r="F479" i="14"/>
  <c r="F480" i="14"/>
  <c r="F481" i="14"/>
  <c r="F482" i="14"/>
  <c r="F483" i="14"/>
  <c r="F484" i="14"/>
  <c r="F485" i="14"/>
  <c r="F486" i="14"/>
  <c r="F476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55" i="14"/>
  <c r="F452" i="14"/>
  <c r="F451" i="14"/>
  <c r="F449" i="14"/>
  <c r="F447" i="14"/>
  <c r="F443" i="14"/>
  <c r="F444" i="14"/>
  <c r="F445" i="14"/>
  <c r="F442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23" i="14"/>
  <c r="F421" i="14"/>
  <c r="F420" i="14"/>
  <c r="F418" i="14"/>
  <c r="F417" i="14"/>
  <c r="F415" i="14"/>
  <c r="F413" i="14"/>
  <c r="F412" i="14"/>
  <c r="F410" i="14"/>
  <c r="F409" i="14"/>
  <c r="F397" i="14"/>
  <c r="F398" i="14"/>
  <c r="F399" i="14"/>
  <c r="F400" i="14"/>
  <c r="F401" i="14"/>
  <c r="F402" i="14"/>
  <c r="F403" i="14"/>
  <c r="F404" i="14"/>
  <c r="F405" i="14"/>
  <c r="F406" i="14"/>
  <c r="F407" i="14"/>
  <c r="F396" i="14"/>
  <c r="F394" i="14"/>
  <c r="F389" i="14"/>
  <c r="F390" i="14"/>
  <c r="F391" i="14"/>
  <c r="F388" i="14"/>
  <c r="F376" i="14"/>
  <c r="F377" i="14"/>
  <c r="F378" i="14"/>
  <c r="F379" i="14"/>
  <c r="F380" i="14"/>
  <c r="F381" i="14"/>
  <c r="F382" i="14"/>
  <c r="F383" i="14"/>
  <c r="F384" i="14"/>
  <c r="F385" i="14"/>
  <c r="F386" i="14"/>
  <c r="F375" i="14"/>
  <c r="F372" i="14"/>
  <c r="F373" i="14"/>
  <c r="F371" i="14"/>
  <c r="F369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43" i="14"/>
  <c r="F340" i="14"/>
  <c r="F341" i="14"/>
  <c r="F339" i="14"/>
  <c r="F335" i="14"/>
  <c r="F336" i="14"/>
  <c r="F337" i="14"/>
  <c r="F334" i="14"/>
  <c r="F322" i="14"/>
  <c r="F323" i="14"/>
  <c r="F324" i="14"/>
  <c r="F325" i="14"/>
  <c r="F326" i="14"/>
  <c r="F327" i="14"/>
  <c r="F328" i="14"/>
  <c r="F329" i="14"/>
  <c r="F330" i="14"/>
  <c r="F331" i="14"/>
  <c r="F332" i="14"/>
  <c r="F321" i="14"/>
  <c r="F309" i="14"/>
  <c r="F310" i="14"/>
  <c r="F311" i="14"/>
  <c r="F312" i="14"/>
  <c r="F313" i="14"/>
  <c r="F314" i="14"/>
  <c r="F315" i="14"/>
  <c r="F316" i="14"/>
  <c r="F317" i="14"/>
  <c r="F318" i="14"/>
  <c r="F319" i="14"/>
  <c r="F308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294" i="14"/>
  <c r="F292" i="14"/>
  <c r="F291" i="14"/>
  <c r="F289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70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47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33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11" i="14"/>
  <c r="F208" i="14"/>
  <c r="F206" i="14"/>
  <c r="F205" i="14"/>
  <c r="F203" i="14"/>
  <c r="F200" i="14"/>
  <c r="F663" i="14" s="1"/>
  <c r="F194" i="14"/>
  <c r="F195" i="14"/>
  <c r="F196" i="14"/>
  <c r="F197" i="14"/>
  <c r="F193" i="14"/>
  <c r="F191" i="14"/>
  <c r="F190" i="14"/>
  <c r="F189" i="14"/>
  <c r="F188" i="14"/>
  <c r="F187" i="14"/>
  <c r="F183" i="14"/>
  <c r="F184" i="14"/>
  <c r="F185" i="14"/>
  <c r="F182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66" i="14"/>
  <c r="F164" i="14"/>
  <c r="F163" i="14"/>
  <c r="F154" i="14"/>
  <c r="F155" i="14"/>
  <c r="F156" i="14"/>
  <c r="F157" i="14"/>
  <c r="F158" i="14"/>
  <c r="F159" i="14"/>
  <c r="F160" i="14"/>
  <c r="F153" i="14"/>
  <c r="F150" i="14"/>
  <c r="F151" i="14"/>
  <c r="F149" i="14"/>
  <c r="F145" i="14"/>
  <c r="F146" i="14"/>
  <c r="F144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26" i="14"/>
  <c r="F121" i="14"/>
  <c r="F122" i="14"/>
  <c r="F123" i="14"/>
  <c r="F124" i="14"/>
  <c r="F120" i="14"/>
  <c r="F118" i="14"/>
  <c r="F117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93" i="14"/>
  <c r="F86" i="14"/>
  <c r="F87" i="14"/>
  <c r="F88" i="14"/>
  <c r="F89" i="14"/>
  <c r="F90" i="14"/>
  <c r="F91" i="14"/>
  <c r="F85" i="14"/>
  <c r="F77" i="14"/>
  <c r="F78" i="14"/>
  <c r="F79" i="14"/>
  <c r="F80" i="14"/>
  <c r="F81" i="14"/>
  <c r="F82" i="14"/>
  <c r="F83" i="14"/>
  <c r="F76" i="14"/>
  <c r="F73" i="14"/>
  <c r="F72" i="14"/>
  <c r="F70" i="14"/>
  <c r="F69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54" i="14"/>
  <c r="F52" i="14"/>
  <c r="F47" i="14"/>
  <c r="F48" i="14"/>
  <c r="F49" i="14"/>
  <c r="F46" i="14"/>
  <c r="F40" i="14"/>
  <c r="F41" i="14"/>
  <c r="F42" i="14"/>
  <c r="F43" i="14"/>
  <c r="F39" i="14"/>
  <c r="F37" i="14"/>
  <c r="F35" i="14"/>
  <c r="F32" i="14"/>
  <c r="F33" i="14"/>
  <c r="F31" i="14"/>
  <c r="F25" i="14"/>
  <c r="F26" i="14"/>
  <c r="F27" i="14"/>
  <c r="F28" i="14"/>
  <c r="F24" i="14"/>
  <c r="F16" i="14"/>
  <c r="F17" i="14"/>
  <c r="F18" i="14"/>
  <c r="F19" i="14"/>
  <c r="F20" i="14"/>
  <c r="F21" i="14"/>
  <c r="F15" i="14"/>
  <c r="F13" i="14"/>
  <c r="F11" i="14"/>
  <c r="F667" i="14" l="1"/>
  <c r="F668" i="14"/>
  <c r="F660" i="14"/>
  <c r="F664" i="14"/>
  <c r="F662" i="14"/>
  <c r="F661" i="14"/>
  <c r="F666" i="14"/>
  <c r="F659" i="14"/>
  <c r="F672" i="14"/>
  <c r="F675" i="14"/>
  <c r="F673" i="14"/>
  <c r="F674" i="14"/>
  <c r="F236" i="13"/>
  <c r="F235" i="13"/>
  <c r="F232" i="13"/>
  <c r="F257" i="13" s="1"/>
  <c r="F233" i="13"/>
  <c r="F231" i="13"/>
  <c r="F228" i="13"/>
  <c r="F227" i="13"/>
  <c r="F225" i="13" s="1"/>
  <c r="F223" i="13"/>
  <c r="F222" i="13"/>
  <c r="F220" i="13"/>
  <c r="F219" i="13" s="1"/>
  <c r="F213" i="13"/>
  <c r="F214" i="13"/>
  <c r="F215" i="13"/>
  <c r="F212" i="13"/>
  <c r="F208" i="13"/>
  <c r="F209" i="13"/>
  <c r="F207" i="13"/>
  <c r="F205" i="13"/>
  <c r="F204" i="13" s="1"/>
  <c r="F199" i="13"/>
  <c r="F200" i="13"/>
  <c r="F201" i="13"/>
  <c r="F202" i="13"/>
  <c r="F203" i="13"/>
  <c r="F198" i="13"/>
  <c r="F193" i="13"/>
  <c r="F194" i="13"/>
  <c r="F195" i="13"/>
  <c r="F196" i="13"/>
  <c r="F192" i="13"/>
  <c r="F189" i="13"/>
  <c r="F188" i="13"/>
  <c r="F185" i="13"/>
  <c r="F184" i="13"/>
  <c r="F181" i="13"/>
  <c r="F180" i="13" s="1"/>
  <c r="F177" i="13"/>
  <c r="F178" i="13"/>
  <c r="F179" i="13"/>
  <c r="F176" i="13"/>
  <c r="F174" i="13"/>
  <c r="F173" i="13" s="1"/>
  <c r="F171" i="13"/>
  <c r="F172" i="13"/>
  <c r="F170" i="13"/>
  <c r="F168" i="13"/>
  <c r="F166" i="13"/>
  <c r="F165" i="13" s="1"/>
  <c r="F162" i="13"/>
  <c r="F163" i="13"/>
  <c r="F164" i="13"/>
  <c r="F161" i="13"/>
  <c r="F158" i="13"/>
  <c r="F159" i="13"/>
  <c r="F157" i="13"/>
  <c r="F154" i="13"/>
  <c r="F153" i="13" s="1"/>
  <c r="F152" i="13" s="1"/>
  <c r="F147" i="13"/>
  <c r="F148" i="13"/>
  <c r="F149" i="13"/>
  <c r="F150" i="13"/>
  <c r="F151" i="13"/>
  <c r="F146" i="13"/>
  <c r="F144" i="13"/>
  <c r="F142" i="13"/>
  <c r="F141" i="13"/>
  <c r="F139" i="13"/>
  <c r="F131" i="13"/>
  <c r="F132" i="13"/>
  <c r="F133" i="13"/>
  <c r="F134" i="13"/>
  <c r="F135" i="13"/>
  <c r="F130" i="13"/>
  <c r="F128" i="13"/>
  <c r="F127" i="13"/>
  <c r="F123" i="13"/>
  <c r="F124" i="13"/>
  <c r="F125" i="13"/>
  <c r="F122" i="13"/>
  <c r="F118" i="13"/>
  <c r="F107" i="13"/>
  <c r="F108" i="13"/>
  <c r="F109" i="13"/>
  <c r="F110" i="13"/>
  <c r="F111" i="13"/>
  <c r="F112" i="13"/>
  <c r="F113" i="13"/>
  <c r="F114" i="13"/>
  <c r="F115" i="13"/>
  <c r="F116" i="13"/>
  <c r="F254" i="13" s="1"/>
  <c r="F106" i="13"/>
  <c r="F104" i="13"/>
  <c r="F102" i="13"/>
  <c r="F99" i="13"/>
  <c r="F243" i="13" s="1"/>
  <c r="F98" i="13"/>
  <c r="F242" i="13" s="1"/>
  <c r="F93" i="13"/>
  <c r="F95" i="13"/>
  <c r="F92" i="13"/>
  <c r="F82" i="13"/>
  <c r="F83" i="13"/>
  <c r="F84" i="13"/>
  <c r="F85" i="13"/>
  <c r="F86" i="13"/>
  <c r="F87" i="13"/>
  <c r="F88" i="13"/>
  <c r="F89" i="13"/>
  <c r="F90" i="13"/>
  <c r="F81" i="13"/>
  <c r="F73" i="13"/>
  <c r="F74" i="13"/>
  <c r="F75" i="13"/>
  <c r="F76" i="13"/>
  <c r="F77" i="13"/>
  <c r="F78" i="13"/>
  <c r="F79" i="13"/>
  <c r="F72" i="13"/>
  <c r="F70" i="13"/>
  <c r="F69" i="13"/>
  <c r="F66" i="13"/>
  <c r="F65" i="13"/>
  <c r="F62" i="13"/>
  <c r="F60" i="13"/>
  <c r="F57" i="13"/>
  <c r="F55" i="13"/>
  <c r="F54" i="13"/>
  <c r="F52" i="13"/>
  <c r="F50" i="13"/>
  <c r="F51" i="13"/>
  <c r="F49" i="13"/>
  <c r="F47" i="13"/>
  <c r="F46" i="13"/>
  <c r="F34" i="13"/>
  <c r="F35" i="13"/>
  <c r="F36" i="13"/>
  <c r="F37" i="13"/>
  <c r="F38" i="13"/>
  <c r="F253" i="13" s="1"/>
  <c r="F39" i="13"/>
  <c r="F40" i="13"/>
  <c r="F41" i="13"/>
  <c r="F42" i="13"/>
  <c r="F43" i="13"/>
  <c r="F33" i="13"/>
  <c r="F27" i="13"/>
  <c r="F28" i="13"/>
  <c r="F29" i="13"/>
  <c r="F30" i="13"/>
  <c r="F26" i="13"/>
  <c r="F24" i="13"/>
  <c r="F21" i="13"/>
  <c r="F18" i="13"/>
  <c r="F14" i="13"/>
  <c r="F15" i="13"/>
  <c r="F13" i="13"/>
  <c r="F11" i="13"/>
  <c r="F10" i="13"/>
  <c r="G234" i="13"/>
  <c r="H234" i="13"/>
  <c r="J234" i="13"/>
  <c r="K234" i="13"/>
  <c r="L234" i="13"/>
  <c r="E234" i="13"/>
  <c r="G230" i="13"/>
  <c r="H230" i="13"/>
  <c r="J230" i="13"/>
  <c r="K230" i="13"/>
  <c r="L230" i="13"/>
  <c r="E230" i="13"/>
  <c r="G224" i="13"/>
  <c r="J224" i="13"/>
  <c r="K224" i="13"/>
  <c r="L224" i="13"/>
  <c r="E224" i="13"/>
  <c r="G221" i="13"/>
  <c r="H221" i="13"/>
  <c r="J221" i="13"/>
  <c r="K221" i="13"/>
  <c r="L221" i="13"/>
  <c r="E221" i="13"/>
  <c r="G219" i="13"/>
  <c r="H219" i="13"/>
  <c r="J219" i="13"/>
  <c r="K219" i="13"/>
  <c r="L219" i="13"/>
  <c r="E219" i="13"/>
  <c r="G211" i="13"/>
  <c r="G210" i="13" s="1"/>
  <c r="H211" i="13"/>
  <c r="J211" i="13"/>
  <c r="K211" i="13"/>
  <c r="L211" i="13"/>
  <c r="E211" i="13"/>
  <c r="E210" i="13" s="1"/>
  <c r="G206" i="13"/>
  <c r="H206" i="13"/>
  <c r="J206" i="13"/>
  <c r="K206" i="13"/>
  <c r="L206" i="13"/>
  <c r="E206" i="13"/>
  <c r="G204" i="13"/>
  <c r="H204" i="13"/>
  <c r="J204" i="13"/>
  <c r="K204" i="13"/>
  <c r="L204" i="13"/>
  <c r="E204" i="13"/>
  <c r="G197" i="13"/>
  <c r="H197" i="13"/>
  <c r="J197" i="13"/>
  <c r="K197" i="13"/>
  <c r="L197" i="13"/>
  <c r="E197" i="13"/>
  <c r="L191" i="13"/>
  <c r="G191" i="13"/>
  <c r="H191" i="13"/>
  <c r="J191" i="13"/>
  <c r="K191" i="13"/>
  <c r="E191" i="13"/>
  <c r="G187" i="13"/>
  <c r="G186" i="13" s="1"/>
  <c r="H187" i="13"/>
  <c r="J187" i="13"/>
  <c r="J186" i="13" s="1"/>
  <c r="K187" i="13"/>
  <c r="K186" i="13" s="1"/>
  <c r="L187" i="13"/>
  <c r="L186" i="13" s="1"/>
  <c r="E187" i="13"/>
  <c r="E186" i="13" s="1"/>
  <c r="G183" i="13"/>
  <c r="H183" i="13"/>
  <c r="J183" i="13"/>
  <c r="J182" i="13" s="1"/>
  <c r="K183" i="13"/>
  <c r="K182" i="13" s="1"/>
  <c r="L183" i="13"/>
  <c r="L182" i="13" s="1"/>
  <c r="E183" i="13"/>
  <c r="E182" i="13" s="1"/>
  <c r="G180" i="13"/>
  <c r="H180" i="13"/>
  <c r="J180" i="13"/>
  <c r="K180" i="13"/>
  <c r="L180" i="13"/>
  <c r="E180" i="13"/>
  <c r="G175" i="13"/>
  <c r="H175" i="13"/>
  <c r="J175" i="13"/>
  <c r="K175" i="13"/>
  <c r="L175" i="13"/>
  <c r="E175" i="13"/>
  <c r="G173" i="13"/>
  <c r="H173" i="13"/>
  <c r="J173" i="13"/>
  <c r="K173" i="13"/>
  <c r="L173" i="13"/>
  <c r="E173" i="13"/>
  <c r="G169" i="13"/>
  <c r="H169" i="13"/>
  <c r="J169" i="13"/>
  <c r="K169" i="13"/>
  <c r="L169" i="13"/>
  <c r="E169" i="13"/>
  <c r="F167" i="13"/>
  <c r="G167" i="13"/>
  <c r="H167" i="13"/>
  <c r="I167" i="13" s="1"/>
  <c r="J167" i="13"/>
  <c r="K167" i="13"/>
  <c r="L167" i="13"/>
  <c r="E167" i="13"/>
  <c r="G165" i="13"/>
  <c r="H165" i="13"/>
  <c r="J165" i="13"/>
  <c r="K165" i="13"/>
  <c r="L165" i="13"/>
  <c r="E165" i="13"/>
  <c r="G160" i="13"/>
  <c r="H160" i="13"/>
  <c r="I160" i="13" s="1"/>
  <c r="J160" i="13"/>
  <c r="K160" i="13"/>
  <c r="L160" i="13"/>
  <c r="E160" i="13"/>
  <c r="G156" i="13"/>
  <c r="H156" i="13"/>
  <c r="J156" i="13"/>
  <c r="K156" i="13"/>
  <c r="L156" i="13"/>
  <c r="E156" i="13"/>
  <c r="G153" i="13"/>
  <c r="G152" i="13" s="1"/>
  <c r="H153" i="13"/>
  <c r="J153" i="13"/>
  <c r="J152" i="13" s="1"/>
  <c r="K153" i="13"/>
  <c r="K152" i="13" s="1"/>
  <c r="L153" i="13"/>
  <c r="L152" i="13" s="1"/>
  <c r="E153" i="13"/>
  <c r="E152" i="13" s="1"/>
  <c r="H210" i="13" l="1"/>
  <c r="I156" i="13"/>
  <c r="I165" i="13"/>
  <c r="I191" i="13"/>
  <c r="L210" i="13"/>
  <c r="F244" i="13"/>
  <c r="F249" i="13"/>
  <c r="L229" i="13"/>
  <c r="K210" i="13"/>
  <c r="J210" i="13"/>
  <c r="F91" i="13"/>
  <c r="I173" i="13"/>
  <c r="I180" i="13"/>
  <c r="I187" i="13"/>
  <c r="I197" i="13"/>
  <c r="I206" i="13"/>
  <c r="I219" i="13"/>
  <c r="I225" i="13"/>
  <c r="I234" i="13"/>
  <c r="F252" i="13"/>
  <c r="F248" i="13"/>
  <c r="F245" i="13"/>
  <c r="F120" i="13"/>
  <c r="I169" i="13"/>
  <c r="I175" i="13"/>
  <c r="I183" i="13"/>
  <c r="I204" i="13"/>
  <c r="I211" i="13"/>
  <c r="I221" i="13"/>
  <c r="I230" i="13"/>
  <c r="F246" i="13"/>
  <c r="F657" i="14"/>
  <c r="F670" i="14"/>
  <c r="J229" i="13"/>
  <c r="E229" i="13"/>
  <c r="K229" i="13"/>
  <c r="J190" i="13"/>
  <c r="H152" i="13"/>
  <c r="L190" i="13"/>
  <c r="K155" i="13"/>
  <c r="K190" i="13"/>
  <c r="L155" i="13"/>
  <c r="G155" i="13"/>
  <c r="J155" i="13"/>
  <c r="H186" i="13"/>
  <c r="I186" i="13" s="1"/>
  <c r="F156" i="13"/>
  <c r="F169" i="13"/>
  <c r="F224" i="13"/>
  <c r="F206" i="13"/>
  <c r="F191" i="13"/>
  <c r="H155" i="13"/>
  <c r="G182" i="13"/>
  <c r="H190" i="13"/>
  <c r="F221" i="13"/>
  <c r="H182" i="13"/>
  <c r="I182" i="13" s="1"/>
  <c r="G190" i="13"/>
  <c r="H224" i="13"/>
  <c r="I224" i="13" s="1"/>
  <c r="G229" i="13"/>
  <c r="H229" i="13"/>
  <c r="I229" i="13" s="1"/>
  <c r="F175" i="13"/>
  <c r="F234" i="13"/>
  <c r="F230" i="13"/>
  <c r="F211" i="13"/>
  <c r="F210" i="13" s="1"/>
  <c r="F197" i="13"/>
  <c r="F187" i="13"/>
  <c r="F186" i="13" s="1"/>
  <c r="F183" i="13"/>
  <c r="F182" i="13" s="1"/>
  <c r="F160" i="13"/>
  <c r="E190" i="13"/>
  <c r="E155" i="13"/>
  <c r="F145" i="13"/>
  <c r="G145" i="13"/>
  <c r="H145" i="13"/>
  <c r="J145" i="13"/>
  <c r="K145" i="13"/>
  <c r="L145" i="13"/>
  <c r="E145" i="13"/>
  <c r="F143" i="13"/>
  <c r="G143" i="13"/>
  <c r="H143" i="13"/>
  <c r="I143" i="13" s="1"/>
  <c r="J143" i="13"/>
  <c r="K143" i="13"/>
  <c r="L143" i="13"/>
  <c r="E143" i="13"/>
  <c r="F140" i="13"/>
  <c r="G140" i="13"/>
  <c r="H140" i="13"/>
  <c r="I140" i="13" s="1"/>
  <c r="J140" i="13"/>
  <c r="K140" i="13"/>
  <c r="L140" i="13"/>
  <c r="E140" i="13"/>
  <c r="F138" i="13"/>
  <c r="G138" i="13"/>
  <c r="H138" i="13"/>
  <c r="J138" i="13"/>
  <c r="K138" i="13"/>
  <c r="L138" i="13"/>
  <c r="E138" i="13"/>
  <c r="F129" i="13"/>
  <c r="G129" i="13"/>
  <c r="H129" i="13"/>
  <c r="J129" i="13"/>
  <c r="K129" i="13"/>
  <c r="L129" i="13"/>
  <c r="E129" i="13"/>
  <c r="F126" i="13"/>
  <c r="G126" i="13"/>
  <c r="H126" i="13"/>
  <c r="J126" i="13"/>
  <c r="K126" i="13"/>
  <c r="L126" i="13"/>
  <c r="E126" i="13"/>
  <c r="E119" i="13" s="1"/>
  <c r="I120" i="13"/>
  <c r="F117" i="13"/>
  <c r="G117" i="13"/>
  <c r="H117" i="13"/>
  <c r="I117" i="13" s="1"/>
  <c r="J117" i="13"/>
  <c r="K117" i="13"/>
  <c r="L117" i="13"/>
  <c r="E117" i="13"/>
  <c r="F105" i="13"/>
  <c r="G105" i="13"/>
  <c r="H105" i="13"/>
  <c r="J105" i="13"/>
  <c r="K105" i="13"/>
  <c r="L105" i="13"/>
  <c r="E105" i="13"/>
  <c r="F103" i="13"/>
  <c r="G103" i="13"/>
  <c r="H103" i="13"/>
  <c r="I103" i="13" s="1"/>
  <c r="J103" i="13"/>
  <c r="K103" i="13"/>
  <c r="L103" i="13"/>
  <c r="E103" i="13"/>
  <c r="F101" i="13"/>
  <c r="G101" i="13"/>
  <c r="H101" i="13"/>
  <c r="J101" i="13"/>
  <c r="K101" i="13"/>
  <c r="L101" i="13"/>
  <c r="E101" i="13"/>
  <c r="F97" i="13"/>
  <c r="G97" i="13"/>
  <c r="H97" i="13"/>
  <c r="I97" i="13" s="1"/>
  <c r="J97" i="13"/>
  <c r="K97" i="13"/>
  <c r="L97" i="13"/>
  <c r="E97" i="13"/>
  <c r="F80" i="13"/>
  <c r="G80" i="13"/>
  <c r="H80" i="13"/>
  <c r="J80" i="13"/>
  <c r="K80" i="13"/>
  <c r="L80" i="13"/>
  <c r="E80" i="13"/>
  <c r="F71" i="13"/>
  <c r="G71" i="13"/>
  <c r="H71" i="13"/>
  <c r="I71" i="13" s="1"/>
  <c r="J71" i="13"/>
  <c r="K71" i="13"/>
  <c r="L71" i="13"/>
  <c r="E71" i="13"/>
  <c r="F68" i="13"/>
  <c r="G68" i="13"/>
  <c r="H68" i="13"/>
  <c r="J68" i="13"/>
  <c r="K68" i="13"/>
  <c r="L68" i="13"/>
  <c r="E68" i="13"/>
  <c r="I80" i="13" l="1"/>
  <c r="I190" i="13"/>
  <c r="F250" i="13"/>
  <c r="K119" i="13"/>
  <c r="I68" i="13"/>
  <c r="I101" i="13"/>
  <c r="J119" i="13"/>
  <c r="I129" i="13"/>
  <c r="I145" i="13"/>
  <c r="I155" i="13"/>
  <c r="I126" i="13"/>
  <c r="H119" i="13"/>
  <c r="L119" i="13"/>
  <c r="G119" i="13"/>
  <c r="I210" i="13"/>
  <c r="F119" i="13"/>
  <c r="I105" i="13"/>
  <c r="K67" i="13"/>
  <c r="J100" i="13"/>
  <c r="F190" i="13"/>
  <c r="F155" i="13"/>
  <c r="K100" i="13"/>
  <c r="L100" i="13"/>
  <c r="J67" i="13"/>
  <c r="H100" i="13"/>
  <c r="H67" i="13"/>
  <c r="L67" i="13"/>
  <c r="F229" i="13"/>
  <c r="F100" i="13"/>
  <c r="G100" i="13"/>
  <c r="G67" i="13"/>
  <c r="F67" i="13"/>
  <c r="E100" i="13"/>
  <c r="E67" i="13"/>
  <c r="L56" i="15"/>
  <c r="L57" i="15"/>
  <c r="L55" i="15"/>
  <c r="M18" i="15"/>
  <c r="M17" i="15" s="1"/>
  <c r="M58" i="15" s="1"/>
  <c r="L51" i="15"/>
  <c r="L52" i="15"/>
  <c r="L53" i="15"/>
  <c r="L54" i="15"/>
  <c r="L48" i="15"/>
  <c r="L20" i="15"/>
  <c r="L21" i="15"/>
  <c r="L23" i="15"/>
  <c r="L25" i="15"/>
  <c r="L26" i="15"/>
  <c r="L27" i="15"/>
  <c r="L28" i="15"/>
  <c r="L29" i="15"/>
  <c r="L36" i="15"/>
  <c r="L40" i="15"/>
  <c r="L43" i="15"/>
  <c r="L44" i="15"/>
  <c r="L45" i="15"/>
  <c r="N10" i="15"/>
  <c r="N9" i="15" s="1"/>
  <c r="N14" i="15" s="1"/>
  <c r="O10" i="15"/>
  <c r="O9" i="15" s="1"/>
  <c r="O14" i="15" s="1"/>
  <c r="M10" i="15"/>
  <c r="M9" i="15" s="1"/>
  <c r="M14" i="15" s="1"/>
  <c r="L12" i="15"/>
  <c r="I67" i="13" l="1"/>
  <c r="I119" i="13"/>
  <c r="I100" i="13"/>
  <c r="L11" i="15"/>
  <c r="J42" i="15" l="1"/>
  <c r="L42" i="15" s="1"/>
  <c r="J38" i="15"/>
  <c r="J41" i="15"/>
  <c r="L41" i="15" s="1"/>
  <c r="J39" i="15"/>
  <c r="J35" i="15"/>
  <c r="L35" i="15" s="1"/>
  <c r="J31" i="15"/>
  <c r="J34" i="15"/>
  <c r="L34" i="15" s="1"/>
  <c r="J32" i="15"/>
  <c r="J22" i="15"/>
  <c r="L22" i="15" s="1"/>
  <c r="J24" i="15"/>
  <c r="L24" i="15" s="1"/>
  <c r="J50" i="15"/>
  <c r="J46" i="15" l="1"/>
  <c r="L49" i="15"/>
  <c r="J37" i="15"/>
  <c r="L37" i="15" s="1"/>
  <c r="J19" i="15"/>
  <c r="L19" i="15" s="1"/>
  <c r="K19" i="15"/>
  <c r="G57" i="15"/>
  <c r="G55" i="15"/>
  <c r="F40" i="15"/>
  <c r="F39" i="15"/>
  <c r="F38" i="15"/>
  <c r="K37" i="15"/>
  <c r="I37" i="15"/>
  <c r="H37" i="15"/>
  <c r="G37" i="15"/>
  <c r="F33" i="15"/>
  <c r="F32" i="15"/>
  <c r="F31" i="15"/>
  <c r="K30" i="15"/>
  <c r="I30" i="15"/>
  <c r="H30" i="15"/>
  <c r="G30" i="15"/>
  <c r="E33" i="15"/>
  <c r="L33" i="15" s="1"/>
  <c r="E39" i="15"/>
  <c r="L39" i="15" s="1"/>
  <c r="E38" i="15"/>
  <c r="L38" i="15" s="1"/>
  <c r="K24" i="15"/>
  <c r="I24" i="15"/>
  <c r="H24" i="15"/>
  <c r="G24" i="15"/>
  <c r="F24" i="15"/>
  <c r="I19" i="15"/>
  <c r="H19" i="15"/>
  <c r="G19" i="15"/>
  <c r="F19" i="15"/>
  <c r="I54" i="15"/>
  <c r="I53" i="15"/>
  <c r="I52" i="15"/>
  <c r="G52" i="15"/>
  <c r="I51" i="15"/>
  <c r="G51" i="15"/>
  <c r="I48" i="15"/>
  <c r="G48" i="15"/>
  <c r="K46" i="15"/>
  <c r="H46" i="15"/>
  <c r="I45" i="15"/>
  <c r="G45" i="15"/>
  <c r="G12" i="15"/>
  <c r="G11" i="15"/>
  <c r="K10" i="15"/>
  <c r="K9" i="15" s="1"/>
  <c r="K14" i="15" s="1"/>
  <c r="J10" i="15"/>
  <c r="I10" i="15"/>
  <c r="I9" i="15" s="1"/>
  <c r="I14" i="15" s="1"/>
  <c r="H10" i="15"/>
  <c r="H9" i="15" s="1"/>
  <c r="H14" i="15" s="1"/>
  <c r="F10" i="15"/>
  <c r="F9" i="15" s="1"/>
  <c r="F14" i="15" s="1"/>
  <c r="E10" i="15"/>
  <c r="E9" i="15" s="1"/>
  <c r="E14" i="15" s="1"/>
  <c r="J9" i="15" l="1"/>
  <c r="L10" i="15"/>
  <c r="F30" i="15"/>
  <c r="G10" i="15"/>
  <c r="G9" i="15" s="1"/>
  <c r="G14" i="15" s="1"/>
  <c r="F37" i="15"/>
  <c r="H18" i="15"/>
  <c r="H17" i="15" s="1"/>
  <c r="H58" i="15" s="1"/>
  <c r="K18" i="15"/>
  <c r="K17" i="15" s="1"/>
  <c r="E31" i="15"/>
  <c r="L31" i="15" s="1"/>
  <c r="E32" i="15"/>
  <c r="L32" i="15" s="1"/>
  <c r="J14" i="15" l="1"/>
  <c r="L9" i="15"/>
  <c r="F18" i="15"/>
  <c r="F17" i="15" s="1"/>
  <c r="F58" i="15" s="1"/>
  <c r="J30" i="15"/>
  <c r="J18" i="15" l="1"/>
  <c r="L30" i="15"/>
  <c r="L14" i="15"/>
  <c r="J17" i="15"/>
  <c r="J58" i="15" l="1"/>
  <c r="E31" i="11"/>
  <c r="E30" i="11"/>
  <c r="D66" i="15" l="1"/>
  <c r="D67" i="15" s="1"/>
  <c r="G27" i="11"/>
  <c r="G26" i="11"/>
  <c r="G25" i="11"/>
  <c r="G24" i="11"/>
  <c r="G23" i="11"/>
  <c r="G22" i="11"/>
  <c r="G21" i="11"/>
  <c r="G20" i="11"/>
  <c r="G18" i="11"/>
  <c r="G19" i="11"/>
  <c r="G17" i="11"/>
  <c r="G16" i="11"/>
  <c r="G12" i="11"/>
  <c r="G9" i="11"/>
  <c r="G8" i="11"/>
  <c r="G7" i="11"/>
  <c r="G6" i="11"/>
  <c r="G25" i="10" l="1"/>
  <c r="G85" i="9"/>
  <c r="G109" i="10" l="1"/>
  <c r="G108" i="10"/>
  <c r="G107" i="10"/>
  <c r="G104" i="10"/>
  <c r="G103" i="10"/>
  <c r="G100" i="10"/>
  <c r="G96" i="10"/>
  <c r="G95" i="10"/>
  <c r="G85" i="10"/>
  <c r="G84" i="10"/>
  <c r="G76" i="10"/>
  <c r="G80" i="10"/>
  <c r="G72" i="10"/>
  <c r="G73" i="10"/>
  <c r="G22" i="9"/>
  <c r="G63" i="10"/>
  <c r="G58" i="10"/>
  <c r="G57" i="10"/>
  <c r="G59" i="10"/>
  <c r="G45" i="10"/>
  <c r="G42" i="10"/>
  <c r="G40" i="10"/>
  <c r="G35" i="10"/>
  <c r="G27" i="10"/>
  <c r="G26" i="10"/>
  <c r="G22" i="10"/>
  <c r="G19" i="10"/>
  <c r="G17" i="10"/>
  <c r="F64" i="13" l="1"/>
  <c r="F63" i="13" s="1"/>
  <c r="G64" i="13"/>
  <c r="G63" i="13" s="1"/>
  <c r="H64" i="13"/>
  <c r="J64" i="13"/>
  <c r="J63" i="13" s="1"/>
  <c r="K64" i="13"/>
  <c r="K63" i="13" s="1"/>
  <c r="L64" i="13"/>
  <c r="L63" i="13" s="1"/>
  <c r="E64" i="13"/>
  <c r="E63" i="13" s="1"/>
  <c r="F61" i="13"/>
  <c r="G61" i="13"/>
  <c r="H61" i="13"/>
  <c r="J61" i="13"/>
  <c r="K61" i="13"/>
  <c r="L61" i="13"/>
  <c r="E61" i="13"/>
  <c r="F59" i="13"/>
  <c r="F58" i="13" s="1"/>
  <c r="G59" i="13"/>
  <c r="H59" i="13"/>
  <c r="I59" i="13" s="1"/>
  <c r="J59" i="13"/>
  <c r="K59" i="13"/>
  <c r="L59" i="13"/>
  <c r="E59" i="13"/>
  <c r="F56" i="13"/>
  <c r="G56" i="13"/>
  <c r="H56" i="13"/>
  <c r="J56" i="13"/>
  <c r="K56" i="13"/>
  <c r="L56" i="13"/>
  <c r="E56" i="13"/>
  <c r="F53" i="13"/>
  <c r="G53" i="13"/>
  <c r="H53" i="13"/>
  <c r="J53" i="13"/>
  <c r="K53" i="13"/>
  <c r="L53" i="13"/>
  <c r="E53" i="13"/>
  <c r="H48" i="13"/>
  <c r="J48" i="13"/>
  <c r="K48" i="13"/>
  <c r="L48" i="13"/>
  <c r="F48" i="13"/>
  <c r="G48" i="13"/>
  <c r="E48" i="13"/>
  <c r="F45" i="13"/>
  <c r="G45" i="13"/>
  <c r="H45" i="13"/>
  <c r="I45" i="13" s="1"/>
  <c r="J45" i="13"/>
  <c r="K45" i="13"/>
  <c r="L45" i="13"/>
  <c r="E45" i="13"/>
  <c r="F32" i="13"/>
  <c r="F31" i="13" s="1"/>
  <c r="G32" i="13"/>
  <c r="G31" i="13" s="1"/>
  <c r="H32" i="13"/>
  <c r="J32" i="13"/>
  <c r="J31" i="13" s="1"/>
  <c r="K32" i="13"/>
  <c r="K31" i="13" s="1"/>
  <c r="L32" i="13"/>
  <c r="L31" i="13" s="1"/>
  <c r="E32" i="13"/>
  <c r="E31" i="13" s="1"/>
  <c r="K25" i="13"/>
  <c r="L25" i="13"/>
  <c r="F25" i="13"/>
  <c r="G25" i="13"/>
  <c r="H25" i="13"/>
  <c r="J25" i="13"/>
  <c r="E25" i="13"/>
  <c r="F23" i="13"/>
  <c r="G23" i="13"/>
  <c r="H23" i="13"/>
  <c r="J23" i="13"/>
  <c r="K23" i="13"/>
  <c r="L23" i="13"/>
  <c r="E23" i="13"/>
  <c r="F20" i="13"/>
  <c r="F19" i="13" s="1"/>
  <c r="G20" i="13"/>
  <c r="G19" i="13" s="1"/>
  <c r="H20" i="13"/>
  <c r="J20" i="13"/>
  <c r="J19" i="13" s="1"/>
  <c r="K20" i="13"/>
  <c r="K19" i="13" s="1"/>
  <c r="L20" i="13"/>
  <c r="L19" i="13" s="1"/>
  <c r="E20" i="13"/>
  <c r="E19" i="13" s="1"/>
  <c r="F17" i="13"/>
  <c r="F16" i="13" s="1"/>
  <c r="G17" i="13"/>
  <c r="G16" i="13" s="1"/>
  <c r="H17" i="13"/>
  <c r="J17" i="13"/>
  <c r="J16" i="13" s="1"/>
  <c r="K17" i="13"/>
  <c r="K16" i="13" s="1"/>
  <c r="L17" i="13"/>
  <c r="L16" i="13" s="1"/>
  <c r="E17" i="13"/>
  <c r="E16" i="13" s="1"/>
  <c r="K58" i="13" l="1"/>
  <c r="I32" i="13"/>
  <c r="I48" i="13"/>
  <c r="I53" i="13"/>
  <c r="I64" i="13"/>
  <c r="I23" i="13"/>
  <c r="I61" i="13"/>
  <c r="I20" i="13"/>
  <c r="I25" i="13"/>
  <c r="K44" i="13"/>
  <c r="L22" i="13"/>
  <c r="J22" i="13"/>
  <c r="K22" i="13"/>
  <c r="L44" i="13"/>
  <c r="L58" i="13"/>
  <c r="G58" i="13"/>
  <c r="J44" i="13"/>
  <c r="J58" i="13"/>
  <c r="H16" i="13"/>
  <c r="H31" i="13"/>
  <c r="I31" i="13" s="1"/>
  <c r="H63" i="13"/>
  <c r="I63" i="13" s="1"/>
  <c r="H22" i="13"/>
  <c r="H19" i="13"/>
  <c r="I19" i="13" s="1"/>
  <c r="H44" i="13"/>
  <c r="H58" i="13"/>
  <c r="G44" i="13"/>
  <c r="F44" i="13"/>
  <c r="G22" i="13"/>
  <c r="F22" i="13"/>
  <c r="E58" i="13"/>
  <c r="E44" i="13"/>
  <c r="E22" i="13"/>
  <c r="F12" i="13"/>
  <c r="G12" i="13"/>
  <c r="H12" i="13"/>
  <c r="J12" i="13"/>
  <c r="K12" i="13"/>
  <c r="L12" i="13"/>
  <c r="E12" i="13"/>
  <c r="F9" i="13"/>
  <c r="G9" i="13"/>
  <c r="H9" i="13"/>
  <c r="J9" i="13"/>
  <c r="K9" i="13"/>
  <c r="L9" i="13"/>
  <c r="E9" i="13"/>
  <c r="I44" i="13" l="1"/>
  <c r="I12" i="13"/>
  <c r="I58" i="13"/>
  <c r="I9" i="13"/>
  <c r="I22" i="13"/>
  <c r="K8" i="13"/>
  <c r="K237" i="13" s="1"/>
  <c r="K240" i="13" s="1"/>
  <c r="J8" i="13"/>
  <c r="J237" i="13" s="1"/>
  <c r="J240" i="13" s="1"/>
  <c r="H8" i="13"/>
  <c r="L8" i="13"/>
  <c r="L237" i="13" s="1"/>
  <c r="L240" i="13" s="1"/>
  <c r="H237" i="13"/>
  <c r="E8" i="13"/>
  <c r="E237" i="13" s="1"/>
  <c r="E240" i="13" s="1"/>
  <c r="G8" i="13"/>
  <c r="G237" i="13" s="1"/>
  <c r="G240" i="13" s="1"/>
  <c r="F8" i="13"/>
  <c r="F237" i="13" s="1"/>
  <c r="F240" i="13" s="1"/>
  <c r="F19" i="12"/>
  <c r="H240" i="13" l="1"/>
  <c r="I240" i="13" s="1"/>
  <c r="I237" i="13"/>
  <c r="I8" i="13"/>
  <c r="F646" i="14"/>
  <c r="G646" i="14"/>
  <c r="H646" i="14"/>
  <c r="I646" i="14"/>
  <c r="K646" i="14"/>
  <c r="K632" i="14" s="1"/>
  <c r="L646" i="14"/>
  <c r="E646" i="14"/>
  <c r="F633" i="14"/>
  <c r="F632" i="14" s="1"/>
  <c r="G633" i="14"/>
  <c r="H633" i="14"/>
  <c r="I633" i="14"/>
  <c r="L633" i="14"/>
  <c r="E633" i="14"/>
  <c r="E632" i="14" s="1"/>
  <c r="F628" i="14"/>
  <c r="G628" i="14"/>
  <c r="H628" i="14"/>
  <c r="I628" i="14"/>
  <c r="K628" i="14"/>
  <c r="L628" i="14"/>
  <c r="E628" i="14"/>
  <c r="K624" i="14"/>
  <c r="L624" i="14"/>
  <c r="F624" i="14"/>
  <c r="G624" i="14"/>
  <c r="H624" i="14"/>
  <c r="J624" i="14" s="1"/>
  <c r="I624" i="14"/>
  <c r="E624" i="14"/>
  <c r="F622" i="14"/>
  <c r="G622" i="14"/>
  <c r="H622" i="14"/>
  <c r="I622" i="14"/>
  <c r="K622" i="14"/>
  <c r="L622" i="14"/>
  <c r="E622" i="14"/>
  <c r="F617" i="14"/>
  <c r="G617" i="14"/>
  <c r="H617" i="14"/>
  <c r="J617" i="14" s="1"/>
  <c r="I617" i="14"/>
  <c r="K617" i="14"/>
  <c r="L617" i="14"/>
  <c r="E617" i="14"/>
  <c r="F614" i="14"/>
  <c r="G614" i="14"/>
  <c r="H614" i="14"/>
  <c r="J614" i="14" s="1"/>
  <c r="K614" i="14"/>
  <c r="L614" i="14"/>
  <c r="E614" i="14"/>
  <c r="F602" i="14"/>
  <c r="G602" i="14"/>
  <c r="H602" i="14"/>
  <c r="I602" i="14"/>
  <c r="K602" i="14"/>
  <c r="L602" i="14"/>
  <c r="E602" i="14"/>
  <c r="F596" i="14"/>
  <c r="G596" i="14"/>
  <c r="H596" i="14"/>
  <c r="I596" i="14"/>
  <c r="K596" i="14"/>
  <c r="L596" i="14"/>
  <c r="E596" i="14"/>
  <c r="F588" i="14"/>
  <c r="G588" i="14"/>
  <c r="H588" i="14"/>
  <c r="I588" i="14"/>
  <c r="K588" i="14"/>
  <c r="L588" i="14"/>
  <c r="E588" i="14"/>
  <c r="F586" i="14"/>
  <c r="G586" i="14"/>
  <c r="H586" i="14"/>
  <c r="I586" i="14"/>
  <c r="K586" i="14"/>
  <c r="L586" i="14"/>
  <c r="E586" i="14"/>
  <c r="F582" i="14"/>
  <c r="G582" i="14"/>
  <c r="H582" i="14"/>
  <c r="I582" i="14"/>
  <c r="K582" i="14"/>
  <c r="L582" i="14"/>
  <c r="E582" i="14"/>
  <c r="F574" i="14"/>
  <c r="G574" i="14"/>
  <c r="H574" i="14"/>
  <c r="I574" i="14"/>
  <c r="K574" i="14"/>
  <c r="L574" i="14"/>
  <c r="E574" i="14"/>
  <c r="F572" i="14"/>
  <c r="G572" i="14"/>
  <c r="H572" i="14"/>
  <c r="I572" i="14"/>
  <c r="K572" i="14"/>
  <c r="L572" i="14"/>
  <c r="E572" i="14"/>
  <c r="F567" i="14"/>
  <c r="G567" i="14"/>
  <c r="H567" i="14"/>
  <c r="I567" i="14"/>
  <c r="K567" i="14"/>
  <c r="L567" i="14"/>
  <c r="E567" i="14"/>
  <c r="F564" i="14"/>
  <c r="G564" i="14"/>
  <c r="H564" i="14"/>
  <c r="I564" i="14"/>
  <c r="K564" i="14"/>
  <c r="L564" i="14"/>
  <c r="E564" i="14"/>
  <c r="F551" i="14"/>
  <c r="G551" i="14"/>
  <c r="H551" i="14"/>
  <c r="I551" i="14"/>
  <c r="K551" i="14"/>
  <c r="L551" i="14"/>
  <c r="E551" i="14"/>
  <c r="F545" i="14"/>
  <c r="G545" i="14"/>
  <c r="H545" i="14"/>
  <c r="I545" i="14"/>
  <c r="E545" i="14"/>
  <c r="F542" i="14"/>
  <c r="G542" i="14"/>
  <c r="H542" i="14"/>
  <c r="I542" i="14"/>
  <c r="K542" i="14"/>
  <c r="L542" i="14"/>
  <c r="E542" i="14"/>
  <c r="F540" i="14"/>
  <c r="G540" i="14"/>
  <c r="H540" i="14"/>
  <c r="J540" i="14" s="1"/>
  <c r="I540" i="14"/>
  <c r="K540" i="14"/>
  <c r="L540" i="14"/>
  <c r="E540" i="14"/>
  <c r="F528" i="14"/>
  <c r="G528" i="14"/>
  <c r="H528" i="14"/>
  <c r="I528" i="14"/>
  <c r="K528" i="14"/>
  <c r="L528" i="14"/>
  <c r="E528" i="14"/>
  <c r="F524" i="14"/>
  <c r="G524" i="14"/>
  <c r="H524" i="14"/>
  <c r="I524" i="14"/>
  <c r="K524" i="14"/>
  <c r="L524" i="14"/>
  <c r="E524" i="14"/>
  <c r="F510" i="14"/>
  <c r="G510" i="14"/>
  <c r="H510" i="14"/>
  <c r="I510" i="14"/>
  <c r="K510" i="14"/>
  <c r="L510" i="14"/>
  <c r="E510" i="14"/>
  <c r="F494" i="14"/>
  <c r="G494" i="14"/>
  <c r="H494" i="14"/>
  <c r="J494" i="14" s="1"/>
  <c r="I494" i="14"/>
  <c r="K494" i="14"/>
  <c r="L494" i="14"/>
  <c r="E494" i="14"/>
  <c r="F490" i="14"/>
  <c r="G490" i="14"/>
  <c r="H490" i="14"/>
  <c r="I490" i="14"/>
  <c r="K490" i="14"/>
  <c r="L490" i="14"/>
  <c r="E490" i="14"/>
  <c r="F487" i="14"/>
  <c r="G487" i="14"/>
  <c r="H487" i="14"/>
  <c r="I487" i="14"/>
  <c r="K487" i="14"/>
  <c r="L487" i="14"/>
  <c r="E487" i="14"/>
  <c r="F475" i="14"/>
  <c r="G475" i="14"/>
  <c r="H475" i="14"/>
  <c r="I475" i="14"/>
  <c r="K475" i="14"/>
  <c r="L475" i="14"/>
  <c r="E475" i="14"/>
  <c r="F454" i="14"/>
  <c r="G454" i="14"/>
  <c r="G453" i="14" s="1"/>
  <c r="H454" i="14"/>
  <c r="H453" i="14" s="1"/>
  <c r="I454" i="14"/>
  <c r="I453" i="14" s="1"/>
  <c r="K454" i="14"/>
  <c r="K453" i="14" s="1"/>
  <c r="L454" i="14"/>
  <c r="L453" i="14" s="1"/>
  <c r="E454" i="14"/>
  <c r="E453" i="14" s="1"/>
  <c r="F450" i="14"/>
  <c r="G450" i="14"/>
  <c r="H450" i="14"/>
  <c r="I450" i="14"/>
  <c r="K450" i="14"/>
  <c r="L450" i="14"/>
  <c r="E450" i="14"/>
  <c r="F448" i="14"/>
  <c r="G448" i="14"/>
  <c r="H448" i="14"/>
  <c r="I448" i="14"/>
  <c r="K448" i="14"/>
  <c r="L448" i="14"/>
  <c r="E448" i="14"/>
  <c r="F446" i="14"/>
  <c r="G446" i="14"/>
  <c r="H446" i="14"/>
  <c r="I446" i="14"/>
  <c r="K446" i="14"/>
  <c r="L446" i="14"/>
  <c r="E446" i="14"/>
  <c r="F441" i="14"/>
  <c r="G441" i="14"/>
  <c r="H441" i="14"/>
  <c r="I441" i="14"/>
  <c r="K441" i="14"/>
  <c r="L441" i="14"/>
  <c r="E441" i="14"/>
  <c r="F422" i="14"/>
  <c r="G422" i="14"/>
  <c r="H422" i="14"/>
  <c r="I422" i="14"/>
  <c r="K422" i="14"/>
  <c r="L422" i="14"/>
  <c r="E422" i="14"/>
  <c r="F419" i="14"/>
  <c r="G419" i="14"/>
  <c r="H419" i="14"/>
  <c r="I419" i="14"/>
  <c r="K419" i="14"/>
  <c r="L419" i="14"/>
  <c r="E419" i="14"/>
  <c r="F416" i="14"/>
  <c r="G416" i="14"/>
  <c r="H416" i="14"/>
  <c r="I416" i="14"/>
  <c r="K416" i="14"/>
  <c r="L416" i="14"/>
  <c r="E416" i="14"/>
  <c r="F414" i="14"/>
  <c r="G414" i="14"/>
  <c r="H414" i="14"/>
  <c r="I414" i="14"/>
  <c r="K414" i="14"/>
  <c r="L414" i="14"/>
  <c r="E414" i="14"/>
  <c r="F411" i="14"/>
  <c r="G411" i="14"/>
  <c r="H411" i="14"/>
  <c r="I411" i="14"/>
  <c r="K411" i="14"/>
  <c r="L411" i="14"/>
  <c r="E411" i="14"/>
  <c r="F408" i="14"/>
  <c r="G408" i="14"/>
  <c r="H408" i="14"/>
  <c r="I408" i="14"/>
  <c r="K408" i="14"/>
  <c r="L408" i="14"/>
  <c r="E408" i="14"/>
  <c r="F395" i="14"/>
  <c r="G395" i="14"/>
  <c r="H395" i="14"/>
  <c r="I395" i="14"/>
  <c r="K395" i="14"/>
  <c r="L395" i="14"/>
  <c r="E395" i="14"/>
  <c r="F393" i="14"/>
  <c r="G393" i="14"/>
  <c r="H393" i="14"/>
  <c r="I393" i="14"/>
  <c r="K393" i="14"/>
  <c r="L393" i="14"/>
  <c r="E393" i="14"/>
  <c r="L387" i="14"/>
  <c r="F387" i="14"/>
  <c r="G387" i="14"/>
  <c r="H387" i="14"/>
  <c r="I387" i="14"/>
  <c r="K387" i="14"/>
  <c r="E387" i="14"/>
  <c r="F374" i="14"/>
  <c r="G374" i="14"/>
  <c r="H374" i="14"/>
  <c r="I374" i="14"/>
  <c r="K374" i="14"/>
  <c r="L374" i="14"/>
  <c r="E374" i="14"/>
  <c r="F370" i="14"/>
  <c r="G370" i="14"/>
  <c r="H370" i="14"/>
  <c r="I370" i="14"/>
  <c r="K370" i="14"/>
  <c r="L370" i="14"/>
  <c r="F368" i="14"/>
  <c r="G368" i="14"/>
  <c r="H368" i="14"/>
  <c r="I368" i="14"/>
  <c r="K368" i="14"/>
  <c r="L368" i="14"/>
  <c r="E370" i="14"/>
  <c r="E368" i="14"/>
  <c r="F342" i="14"/>
  <c r="G342" i="14"/>
  <c r="H342" i="14"/>
  <c r="I342" i="14"/>
  <c r="K342" i="14"/>
  <c r="L342" i="14"/>
  <c r="E342" i="14"/>
  <c r="F338" i="14"/>
  <c r="G338" i="14"/>
  <c r="H338" i="14"/>
  <c r="J338" i="14" s="1"/>
  <c r="I338" i="14"/>
  <c r="K338" i="14"/>
  <c r="L338" i="14"/>
  <c r="E338" i="14"/>
  <c r="F333" i="14"/>
  <c r="G333" i="14"/>
  <c r="H333" i="14"/>
  <c r="I333" i="14"/>
  <c r="K333" i="14"/>
  <c r="L333" i="14"/>
  <c r="E333" i="14"/>
  <c r="F320" i="14"/>
  <c r="G320" i="14"/>
  <c r="H320" i="14"/>
  <c r="I320" i="14"/>
  <c r="K320" i="14"/>
  <c r="L320" i="14"/>
  <c r="E320" i="14"/>
  <c r="F307" i="14"/>
  <c r="G307" i="14"/>
  <c r="H307" i="14"/>
  <c r="I307" i="14"/>
  <c r="K307" i="14"/>
  <c r="L307" i="14"/>
  <c r="E307" i="14"/>
  <c r="F293" i="14"/>
  <c r="G293" i="14"/>
  <c r="H293" i="14"/>
  <c r="J293" i="14" s="1"/>
  <c r="I293" i="14"/>
  <c r="K293" i="14"/>
  <c r="L293" i="14"/>
  <c r="E293" i="14"/>
  <c r="F290" i="14"/>
  <c r="G290" i="14"/>
  <c r="H290" i="14"/>
  <c r="I290" i="14"/>
  <c r="K290" i="14"/>
  <c r="L290" i="14"/>
  <c r="E290" i="14"/>
  <c r="F288" i="14"/>
  <c r="G288" i="14"/>
  <c r="H288" i="14"/>
  <c r="I288" i="14"/>
  <c r="K288" i="14"/>
  <c r="L288" i="14"/>
  <c r="E288" i="14"/>
  <c r="F269" i="14"/>
  <c r="G269" i="14"/>
  <c r="H269" i="14"/>
  <c r="I269" i="14"/>
  <c r="K269" i="14"/>
  <c r="L269" i="14"/>
  <c r="E269" i="14"/>
  <c r="F246" i="14"/>
  <c r="G246" i="14"/>
  <c r="H246" i="14"/>
  <c r="J246" i="14" s="1"/>
  <c r="I246" i="14"/>
  <c r="K246" i="14"/>
  <c r="L246" i="14"/>
  <c r="E246" i="14"/>
  <c r="F232" i="14"/>
  <c r="G232" i="14"/>
  <c r="H232" i="14"/>
  <c r="I232" i="14"/>
  <c r="K232" i="14"/>
  <c r="L232" i="14"/>
  <c r="E232" i="14"/>
  <c r="F210" i="14"/>
  <c r="G210" i="14"/>
  <c r="H210" i="14"/>
  <c r="I210" i="14"/>
  <c r="K210" i="14"/>
  <c r="L210" i="14"/>
  <c r="E210" i="14"/>
  <c r="I632" i="14" l="1"/>
  <c r="F453" i="14"/>
  <c r="J232" i="14"/>
  <c r="G632" i="14"/>
  <c r="G474" i="14"/>
  <c r="G493" i="14"/>
  <c r="G209" i="14"/>
  <c r="J490" i="14"/>
  <c r="J416" i="14"/>
  <c r="J307" i="14"/>
  <c r="J342" i="14"/>
  <c r="J368" i="14"/>
  <c r="J395" i="14"/>
  <c r="J446" i="14"/>
  <c r="I474" i="14"/>
  <c r="J487" i="14"/>
  <c r="J524" i="14"/>
  <c r="J564" i="14"/>
  <c r="J582" i="14"/>
  <c r="J602" i="14"/>
  <c r="J633" i="14"/>
  <c r="G367" i="14"/>
  <c r="J387" i="14"/>
  <c r="J393" i="14"/>
  <c r="G392" i="14"/>
  <c r="J414" i="14"/>
  <c r="J441" i="14"/>
  <c r="J453" i="14"/>
  <c r="E474" i="14"/>
  <c r="J269" i="14"/>
  <c r="G595" i="14"/>
  <c r="F474" i="14"/>
  <c r="J528" i="14"/>
  <c r="G544" i="14"/>
  <c r="J567" i="14"/>
  <c r="J586" i="14"/>
  <c r="J646" i="14"/>
  <c r="L632" i="14"/>
  <c r="L595" i="14"/>
  <c r="I595" i="14"/>
  <c r="K595" i="14"/>
  <c r="H544" i="14"/>
  <c r="J544" i="14" s="1"/>
  <c r="L544" i="14"/>
  <c r="K544" i="14"/>
  <c r="I544" i="14"/>
  <c r="K493" i="14"/>
  <c r="I493" i="14"/>
  <c r="L493" i="14"/>
  <c r="L474" i="14"/>
  <c r="K474" i="14"/>
  <c r="I392" i="14"/>
  <c r="K392" i="14"/>
  <c r="L392" i="14"/>
  <c r="K367" i="14"/>
  <c r="I367" i="14"/>
  <c r="L367" i="14"/>
  <c r="L209" i="14"/>
  <c r="I209" i="14"/>
  <c r="H209" i="14"/>
  <c r="J209" i="14" s="1"/>
  <c r="K209" i="14"/>
  <c r="H632" i="14"/>
  <c r="F544" i="14"/>
  <c r="J628" i="14"/>
  <c r="J290" i="14"/>
  <c r="J333" i="14"/>
  <c r="J374" i="14"/>
  <c r="J411" i="14"/>
  <c r="J422" i="14"/>
  <c r="J450" i="14"/>
  <c r="J454" i="14"/>
  <c r="J475" i="14"/>
  <c r="H474" i="14"/>
  <c r="J474" i="14" s="1"/>
  <c r="J551" i="14"/>
  <c r="J574" i="14"/>
  <c r="H392" i="14"/>
  <c r="J392" i="14" s="1"/>
  <c r="J210" i="14"/>
  <c r="J288" i="14"/>
  <c r="J320" i="14"/>
  <c r="J370" i="14"/>
  <c r="H367" i="14"/>
  <c r="F392" i="14"/>
  <c r="J408" i="14"/>
  <c r="J419" i="14"/>
  <c r="J448" i="14"/>
  <c r="J510" i="14"/>
  <c r="J542" i="14"/>
  <c r="H493" i="14"/>
  <c r="J545" i="14"/>
  <c r="J572" i="14"/>
  <c r="J588" i="14"/>
  <c r="J596" i="14"/>
  <c r="J622" i="14"/>
  <c r="H595" i="14"/>
  <c r="J595" i="14" s="1"/>
  <c r="F595" i="14"/>
  <c r="F493" i="14"/>
  <c r="F367" i="14"/>
  <c r="F209" i="14"/>
  <c r="E595" i="14"/>
  <c r="E544" i="14"/>
  <c r="E493" i="14"/>
  <c r="E392" i="14"/>
  <c r="E367" i="14"/>
  <c r="E209" i="14"/>
  <c r="F207" i="14"/>
  <c r="G207" i="14"/>
  <c r="H207" i="14"/>
  <c r="I207" i="14"/>
  <c r="K207" i="14"/>
  <c r="L207" i="14"/>
  <c r="E207" i="14"/>
  <c r="F204" i="14"/>
  <c r="G204" i="14"/>
  <c r="H204" i="14"/>
  <c r="I204" i="14"/>
  <c r="K204" i="14"/>
  <c r="L204" i="14"/>
  <c r="E204" i="14"/>
  <c r="F202" i="14"/>
  <c r="G202" i="14"/>
  <c r="H202" i="14"/>
  <c r="I202" i="14"/>
  <c r="K202" i="14"/>
  <c r="L202" i="14"/>
  <c r="E202" i="14"/>
  <c r="F199" i="14"/>
  <c r="F198" i="14" s="1"/>
  <c r="G199" i="14"/>
  <c r="G198" i="14" s="1"/>
  <c r="H199" i="14"/>
  <c r="I199" i="14"/>
  <c r="I198" i="14" s="1"/>
  <c r="K199" i="14"/>
  <c r="K198" i="14" s="1"/>
  <c r="L199" i="14"/>
  <c r="L198" i="14" s="1"/>
  <c r="E199" i="14"/>
  <c r="E198" i="14" s="1"/>
  <c r="F192" i="14"/>
  <c r="G192" i="14"/>
  <c r="H192" i="14"/>
  <c r="I192" i="14"/>
  <c r="K192" i="14"/>
  <c r="L192" i="14"/>
  <c r="E192" i="14"/>
  <c r="F186" i="14"/>
  <c r="G186" i="14"/>
  <c r="H186" i="14"/>
  <c r="I186" i="14"/>
  <c r="K186" i="14"/>
  <c r="L186" i="14"/>
  <c r="E186" i="14"/>
  <c r="F181" i="14"/>
  <c r="G181" i="14"/>
  <c r="H181" i="14"/>
  <c r="I181" i="14"/>
  <c r="K181" i="14"/>
  <c r="L181" i="14"/>
  <c r="E181" i="14"/>
  <c r="F165" i="14"/>
  <c r="G165" i="14"/>
  <c r="H165" i="14"/>
  <c r="K165" i="14"/>
  <c r="L165" i="14"/>
  <c r="E165" i="14"/>
  <c r="L162" i="14"/>
  <c r="F162" i="14"/>
  <c r="G162" i="14"/>
  <c r="H162" i="14"/>
  <c r="I162" i="14"/>
  <c r="K162" i="14"/>
  <c r="E162" i="14"/>
  <c r="F152" i="14"/>
  <c r="G152" i="14"/>
  <c r="H152" i="14"/>
  <c r="I152" i="14"/>
  <c r="K152" i="14"/>
  <c r="L152" i="14"/>
  <c r="E152" i="14"/>
  <c r="F148" i="14"/>
  <c r="G148" i="14"/>
  <c r="H148" i="14"/>
  <c r="J148" i="14" s="1"/>
  <c r="I148" i="14"/>
  <c r="K148" i="14"/>
  <c r="L148" i="14"/>
  <c r="E148" i="14"/>
  <c r="J367" i="14" l="1"/>
  <c r="L147" i="14"/>
  <c r="G147" i="14"/>
  <c r="J199" i="14"/>
  <c r="G201" i="14"/>
  <c r="J493" i="14"/>
  <c r="I147" i="14"/>
  <c r="J192" i="14"/>
  <c r="K147" i="14"/>
  <c r="F201" i="14"/>
  <c r="J207" i="14"/>
  <c r="J152" i="14"/>
  <c r="J162" i="14"/>
  <c r="J165" i="14"/>
  <c r="G161" i="14"/>
  <c r="L201" i="14"/>
  <c r="K201" i="14"/>
  <c r="I201" i="14"/>
  <c r="I161" i="14"/>
  <c r="L161" i="14"/>
  <c r="K161" i="14"/>
  <c r="H201" i="14"/>
  <c r="J186" i="14"/>
  <c r="J202" i="14"/>
  <c r="J632" i="14"/>
  <c r="H147" i="14"/>
  <c r="J181" i="14"/>
  <c r="H161" i="14"/>
  <c r="H198" i="14"/>
  <c r="J198" i="14" s="1"/>
  <c r="F161" i="14"/>
  <c r="F147" i="14"/>
  <c r="E201" i="14"/>
  <c r="E161" i="14"/>
  <c r="E147" i="14"/>
  <c r="F143" i="14"/>
  <c r="G143" i="14"/>
  <c r="H143" i="14"/>
  <c r="I143" i="14"/>
  <c r="K143" i="14"/>
  <c r="L143" i="14"/>
  <c r="E143" i="14"/>
  <c r="F125" i="14"/>
  <c r="G125" i="14"/>
  <c r="H125" i="14"/>
  <c r="I125" i="14"/>
  <c r="K125" i="14"/>
  <c r="L125" i="14"/>
  <c r="E125" i="14"/>
  <c r="F119" i="14"/>
  <c r="G119" i="14"/>
  <c r="H119" i="14"/>
  <c r="J119" i="14" s="1"/>
  <c r="I119" i="14"/>
  <c r="K119" i="14"/>
  <c r="L119" i="14"/>
  <c r="E119" i="14"/>
  <c r="F116" i="14"/>
  <c r="G116" i="14"/>
  <c r="H116" i="14"/>
  <c r="I116" i="14"/>
  <c r="K116" i="14"/>
  <c r="L116" i="14"/>
  <c r="E116" i="14"/>
  <c r="F92" i="14"/>
  <c r="G92" i="14"/>
  <c r="H92" i="14"/>
  <c r="I92" i="14"/>
  <c r="K92" i="14"/>
  <c r="L92" i="14"/>
  <c r="E92" i="14"/>
  <c r="F84" i="14"/>
  <c r="G84" i="14"/>
  <c r="H84" i="14"/>
  <c r="I84" i="14"/>
  <c r="K84" i="14"/>
  <c r="L84" i="14"/>
  <c r="E84" i="14"/>
  <c r="F75" i="14"/>
  <c r="G75" i="14"/>
  <c r="H75" i="14"/>
  <c r="I75" i="14"/>
  <c r="K75" i="14"/>
  <c r="L75" i="14"/>
  <c r="E75" i="14"/>
  <c r="F71" i="14"/>
  <c r="G71" i="14"/>
  <c r="H71" i="14"/>
  <c r="I71" i="14"/>
  <c r="K71" i="14"/>
  <c r="L71" i="14"/>
  <c r="E71" i="14"/>
  <c r="F68" i="14"/>
  <c r="G68" i="14"/>
  <c r="G67" i="14" s="1"/>
  <c r="H68" i="14"/>
  <c r="I68" i="14"/>
  <c r="K68" i="14"/>
  <c r="L68" i="14"/>
  <c r="E68" i="14"/>
  <c r="F53" i="14"/>
  <c r="G53" i="14"/>
  <c r="I53" i="14"/>
  <c r="K53" i="14"/>
  <c r="L53" i="14"/>
  <c r="E53" i="14"/>
  <c r="F51" i="14"/>
  <c r="G51" i="14"/>
  <c r="H51" i="14"/>
  <c r="H50" i="14" s="1"/>
  <c r="I51" i="14"/>
  <c r="K51" i="14"/>
  <c r="L51" i="14"/>
  <c r="E51" i="14"/>
  <c r="F45" i="14"/>
  <c r="F44" i="14" s="1"/>
  <c r="G45" i="14"/>
  <c r="G44" i="14" s="1"/>
  <c r="H45" i="14"/>
  <c r="H44" i="14" s="1"/>
  <c r="I45" i="14"/>
  <c r="I44" i="14" s="1"/>
  <c r="K45" i="14"/>
  <c r="K44" i="14" s="1"/>
  <c r="L45" i="14"/>
  <c r="L44" i="14" s="1"/>
  <c r="E45" i="14"/>
  <c r="E44" i="14" s="1"/>
  <c r="F38" i="14"/>
  <c r="G38" i="14"/>
  <c r="H38" i="14"/>
  <c r="I38" i="14"/>
  <c r="K38" i="14"/>
  <c r="L38" i="14"/>
  <c r="E38" i="14"/>
  <c r="F36" i="14"/>
  <c r="G36" i="14"/>
  <c r="H36" i="14"/>
  <c r="I36" i="14"/>
  <c r="K36" i="14"/>
  <c r="L36" i="14"/>
  <c r="E36" i="14"/>
  <c r="F34" i="14"/>
  <c r="G34" i="14"/>
  <c r="H34" i="14"/>
  <c r="K34" i="14"/>
  <c r="L34" i="14"/>
  <c r="E34" i="14"/>
  <c r="H30" i="14"/>
  <c r="I30" i="14"/>
  <c r="K30" i="14"/>
  <c r="L30" i="14"/>
  <c r="F30" i="14"/>
  <c r="G30" i="14"/>
  <c r="E30" i="14"/>
  <c r="F23" i="14"/>
  <c r="F22" i="14" s="1"/>
  <c r="G23" i="14"/>
  <c r="G22" i="14" s="1"/>
  <c r="H23" i="14"/>
  <c r="I23" i="14"/>
  <c r="I22" i="14" s="1"/>
  <c r="K23" i="14"/>
  <c r="K22" i="14" s="1"/>
  <c r="L23" i="14"/>
  <c r="L22" i="14" s="1"/>
  <c r="E23" i="14"/>
  <c r="E22" i="14" s="1"/>
  <c r="F14" i="14"/>
  <c r="G14" i="14"/>
  <c r="H14" i="14"/>
  <c r="I14" i="14"/>
  <c r="K14" i="14"/>
  <c r="L14" i="14"/>
  <c r="F12" i="14"/>
  <c r="G12" i="14"/>
  <c r="H12" i="14"/>
  <c r="I12" i="14"/>
  <c r="K12" i="14"/>
  <c r="L12" i="14"/>
  <c r="F10" i="14"/>
  <c r="G10" i="14"/>
  <c r="H10" i="14"/>
  <c r="I10" i="14"/>
  <c r="K10" i="14"/>
  <c r="L10" i="14"/>
  <c r="E14" i="14"/>
  <c r="E12" i="14"/>
  <c r="E10" i="14"/>
  <c r="I50" i="14" l="1"/>
  <c r="J68" i="14"/>
  <c r="J116" i="14"/>
  <c r="J147" i="14"/>
  <c r="J201" i="14"/>
  <c r="J161" i="14"/>
  <c r="G50" i="14"/>
  <c r="L67" i="14"/>
  <c r="J23" i="14"/>
  <c r="J34" i="14"/>
  <c r="I67" i="14"/>
  <c r="J71" i="14"/>
  <c r="J75" i="14"/>
  <c r="L50" i="14"/>
  <c r="K9" i="14"/>
  <c r="J14" i="14"/>
  <c r="J30" i="14"/>
  <c r="J36" i="14"/>
  <c r="L74" i="14"/>
  <c r="G74" i="14"/>
  <c r="K67" i="14"/>
  <c r="F67" i="14"/>
  <c r="J12" i="14"/>
  <c r="G29" i="14"/>
  <c r="I74" i="14"/>
  <c r="K74" i="14"/>
  <c r="K50" i="14"/>
  <c r="I29" i="14"/>
  <c r="L29" i="14"/>
  <c r="K29" i="14"/>
  <c r="H22" i="14"/>
  <c r="J22" i="14" s="1"/>
  <c r="H9" i="14"/>
  <c r="J10" i="14"/>
  <c r="H74" i="14"/>
  <c r="J74" i="14" s="1"/>
  <c r="J53" i="14"/>
  <c r="H29" i="14"/>
  <c r="J29" i="14" s="1"/>
  <c r="J44" i="14"/>
  <c r="J38" i="14"/>
  <c r="J45" i="14"/>
  <c r="J51" i="14"/>
  <c r="H67" i="14"/>
  <c r="J67" i="14" s="1"/>
  <c r="J92" i="14"/>
  <c r="J143" i="14"/>
  <c r="J50" i="14"/>
  <c r="J84" i="14"/>
  <c r="J125" i="14"/>
  <c r="F74" i="14"/>
  <c r="F50" i="14"/>
  <c r="F29" i="14"/>
  <c r="F9" i="14"/>
  <c r="E74" i="14"/>
  <c r="E67" i="14"/>
  <c r="E50" i="14"/>
  <c r="E29" i="14"/>
  <c r="E9" i="14"/>
  <c r="I9" i="14"/>
  <c r="L9" i="14"/>
  <c r="G9" i="14"/>
  <c r="G654" i="14" s="1"/>
  <c r="G656" i="14" s="1"/>
  <c r="I22" i="4"/>
  <c r="I23" i="4"/>
  <c r="I24" i="4"/>
  <c r="I25" i="4"/>
  <c r="I17" i="4"/>
  <c r="I18" i="4"/>
  <c r="I20" i="4"/>
  <c r="I21" i="4"/>
  <c r="I14" i="4"/>
  <c r="I12" i="4"/>
  <c r="G56" i="4"/>
  <c r="I56" i="4" s="1"/>
  <c r="H66" i="4"/>
  <c r="G46" i="4"/>
  <c r="I46" i="4" s="1"/>
  <c r="H40" i="4"/>
  <c r="G38" i="4"/>
  <c r="I38" i="4" s="1"/>
  <c r="F40" i="4"/>
  <c r="G35" i="4"/>
  <c r="H35" i="4"/>
  <c r="F35" i="4"/>
  <c r="H30" i="4"/>
  <c r="F30" i="4"/>
  <c r="G28" i="4"/>
  <c r="I28" i="4" s="1"/>
  <c r="G29" i="4"/>
  <c r="G15" i="4"/>
  <c r="I15" i="4" s="1"/>
  <c r="G19" i="4"/>
  <c r="I19" i="4" s="1"/>
  <c r="G16" i="4"/>
  <c r="I16" i="4" s="1"/>
  <c r="H26" i="4"/>
  <c r="I8" i="4"/>
  <c r="I9" i="4"/>
  <c r="I7" i="4"/>
  <c r="G10" i="4"/>
  <c r="H10" i="4"/>
  <c r="F10" i="4"/>
  <c r="I10" i="4" l="1"/>
  <c r="G30" i="4"/>
  <c r="I30" i="4" s="1"/>
  <c r="I29" i="4"/>
  <c r="I35" i="4"/>
  <c r="G40" i="4"/>
  <c r="I40" i="4" s="1"/>
  <c r="L654" i="14"/>
  <c r="L656" i="14" s="1"/>
  <c r="I654" i="14"/>
  <c r="I656" i="14" s="1"/>
  <c r="J9" i="14"/>
  <c r="K654" i="14"/>
  <c r="K656" i="14" s="1"/>
  <c r="H654" i="14"/>
  <c r="F654" i="14"/>
  <c r="F656" i="14" s="1"/>
  <c r="E654" i="14"/>
  <c r="E656" i="14" s="1"/>
  <c r="G26" i="4"/>
  <c r="F21" i="3"/>
  <c r="F19" i="3"/>
  <c r="H19" i="3" s="1"/>
  <c r="D19" i="3"/>
  <c r="D16" i="3" s="1"/>
  <c r="E21" i="3"/>
  <c r="H20" i="3"/>
  <c r="H18" i="3"/>
  <c r="H12" i="3"/>
  <c r="H13" i="3"/>
  <c r="H14" i="3"/>
  <c r="H15" i="3"/>
  <c r="H11" i="3"/>
  <c r="J654" i="14" l="1"/>
  <c r="H656" i="14"/>
  <c r="J656" i="14" s="1"/>
  <c r="H16" i="3"/>
  <c r="D21" i="3"/>
  <c r="D22" i="3" s="1"/>
  <c r="G21" i="3"/>
  <c r="F22" i="3" s="1"/>
  <c r="H88" i="10"/>
  <c r="H80" i="10"/>
  <c r="H81" i="10"/>
  <c r="H74" i="10"/>
  <c r="H42" i="10"/>
  <c r="H19" i="10"/>
  <c r="H27" i="10"/>
  <c r="H26" i="10"/>
  <c r="H25" i="10"/>
  <c r="H46" i="10"/>
  <c r="H45" i="10"/>
  <c r="H44" i="10"/>
  <c r="H49" i="10"/>
  <c r="H48" i="10"/>
  <c r="H59" i="10"/>
  <c r="H58" i="10"/>
  <c r="H57" i="10"/>
  <c r="H96" i="10"/>
  <c r="H95" i="10"/>
  <c r="H94" i="10"/>
  <c r="H109" i="10"/>
  <c r="H108" i="10"/>
  <c r="H107" i="10"/>
  <c r="H105" i="10"/>
  <c r="H104" i="10"/>
  <c r="H103" i="10"/>
  <c r="H102" i="10"/>
  <c r="H101" i="10"/>
  <c r="H100" i="10"/>
  <c r="H99" i="10"/>
  <c r="H98" i="10"/>
  <c r="H93" i="10"/>
  <c r="H92" i="10"/>
  <c r="H91" i="10"/>
  <c r="H90" i="10"/>
  <c r="H87" i="10"/>
  <c r="H86" i="10"/>
  <c r="H85" i="10"/>
  <c r="H84" i="10"/>
  <c r="H79" i="10"/>
  <c r="H77" i="10"/>
  <c r="H76" i="10"/>
  <c r="H73" i="10"/>
  <c r="H72" i="10"/>
  <c r="H71" i="10"/>
  <c r="H70" i="10"/>
  <c r="H67" i="10"/>
  <c r="H66" i="10"/>
  <c r="H64" i="10"/>
  <c r="H63" i="10"/>
  <c r="H62" i="10"/>
  <c r="H61" i="10"/>
  <c r="H55" i="10"/>
  <c r="H54" i="10"/>
  <c r="H53" i="10"/>
  <c r="H52" i="10"/>
  <c r="H41" i="10"/>
  <c r="H40" i="10"/>
  <c r="H39" i="10"/>
  <c r="H38" i="10"/>
  <c r="H36" i="10"/>
  <c r="H35" i="10"/>
  <c r="H34" i="10"/>
  <c r="H33" i="10"/>
  <c r="H32" i="10"/>
  <c r="H31" i="10"/>
  <c r="H30" i="10"/>
  <c r="H24" i="10"/>
  <c r="H23" i="10"/>
  <c r="H22" i="10"/>
  <c r="H18" i="10"/>
  <c r="H17" i="10"/>
  <c r="H16" i="10"/>
  <c r="H15" i="10"/>
  <c r="H13" i="10"/>
  <c r="H12" i="10"/>
  <c r="H11" i="10"/>
  <c r="H10" i="10"/>
  <c r="H6" i="10"/>
  <c r="H7" i="10"/>
  <c r="H8" i="10"/>
  <c r="H5" i="10"/>
  <c r="H157" i="9"/>
  <c r="H159" i="9"/>
  <c r="H160" i="9"/>
  <c r="H161" i="9"/>
  <c r="H162" i="9"/>
  <c r="H163" i="9"/>
  <c r="H164" i="9"/>
  <c r="H165" i="9"/>
  <c r="H166" i="9"/>
  <c r="H167" i="9"/>
  <c r="H168" i="9"/>
  <c r="H170" i="9"/>
  <c r="H172" i="9"/>
  <c r="H155" i="9"/>
  <c r="H151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15" i="9"/>
  <c r="H112" i="9"/>
  <c r="H79" i="9"/>
  <c r="H80" i="9"/>
  <c r="H81" i="9"/>
  <c r="H83" i="9"/>
  <c r="H84" i="9"/>
  <c r="H85" i="9"/>
  <c r="H86" i="9"/>
  <c r="H88" i="9"/>
  <c r="H89" i="9"/>
  <c r="H90" i="9"/>
  <c r="H91" i="9"/>
  <c r="H92" i="9"/>
  <c r="H93" i="9"/>
  <c r="H94" i="9"/>
  <c r="H95" i="9"/>
  <c r="H96" i="9"/>
  <c r="H98" i="9"/>
  <c r="H99" i="9"/>
  <c r="H100" i="9"/>
  <c r="H101" i="9"/>
  <c r="H102" i="9"/>
  <c r="H103" i="9"/>
  <c r="H104" i="9"/>
  <c r="H106" i="9"/>
  <c r="H108" i="9"/>
  <c r="H55" i="9"/>
  <c r="H56" i="9"/>
  <c r="H57" i="9"/>
  <c r="H58" i="9"/>
  <c r="H59" i="9"/>
  <c r="H60" i="9"/>
  <c r="H61" i="9"/>
  <c r="H63" i="9"/>
  <c r="H64" i="9"/>
  <c r="H65" i="9"/>
  <c r="H66" i="9"/>
  <c r="H68" i="9"/>
  <c r="H54" i="9"/>
  <c r="H48" i="9"/>
  <c r="H49" i="9"/>
  <c r="H50" i="9"/>
  <c r="H47" i="9"/>
  <c r="H44" i="9"/>
  <c r="H39" i="9"/>
  <c r="H35" i="9"/>
  <c r="H34" i="9"/>
  <c r="H28" i="9"/>
  <c r="H27" i="9"/>
  <c r="H17" i="9"/>
  <c r="H19" i="9"/>
  <c r="H20" i="9"/>
  <c r="H21" i="9"/>
  <c r="H23" i="9"/>
  <c r="H16" i="9"/>
  <c r="H10" i="9"/>
  <c r="H11" i="9"/>
  <c r="H12" i="9"/>
  <c r="H13" i="9"/>
  <c r="H14" i="9"/>
  <c r="H9" i="9"/>
  <c r="G40" i="7"/>
  <c r="G29" i="7"/>
  <c r="G30" i="7"/>
  <c r="G31" i="7"/>
  <c r="G32" i="7"/>
  <c r="G33" i="7"/>
  <c r="G34" i="7"/>
  <c r="G35" i="7"/>
  <c r="G36" i="7"/>
  <c r="G37" i="7"/>
  <c r="G38" i="7"/>
  <c r="G39" i="7"/>
  <c r="G28" i="7"/>
  <c r="G27" i="7"/>
  <c r="G25" i="7"/>
  <c r="G26" i="7"/>
  <c r="G24" i="7"/>
  <c r="G23" i="7"/>
  <c r="G22" i="7"/>
  <c r="G17" i="7"/>
  <c r="G16" i="7"/>
  <c r="G15" i="7"/>
  <c r="G14" i="7"/>
  <c r="G111" i="5"/>
  <c r="G108" i="5"/>
  <c r="G103" i="5"/>
  <c r="G100" i="5"/>
  <c r="G97" i="5"/>
  <c r="G94" i="5"/>
  <c r="G86" i="5"/>
  <c r="G81" i="5"/>
  <c r="G78" i="5"/>
  <c r="G73" i="5"/>
  <c r="G66" i="5"/>
  <c r="G61" i="5"/>
  <c r="G55" i="5"/>
  <c r="G47" i="5"/>
  <c r="G42" i="5"/>
  <c r="G39" i="5"/>
  <c r="G33" i="5"/>
  <c r="G30" i="5"/>
  <c r="G21" i="5"/>
  <c r="G18" i="5"/>
  <c r="G114" i="5"/>
  <c r="G112" i="5"/>
  <c r="G109" i="5"/>
  <c r="G104" i="5"/>
  <c r="G101" i="5"/>
  <c r="G98" i="5"/>
  <c r="G95" i="5"/>
  <c r="G87" i="5"/>
  <c r="G84" i="5"/>
  <c r="G82" i="5"/>
  <c r="G79" i="5"/>
  <c r="G76" i="5"/>
  <c r="G74" i="5"/>
  <c r="G69" i="5"/>
  <c r="G67" i="5"/>
  <c r="G64" i="5"/>
  <c r="G62" i="5"/>
  <c r="G56" i="5"/>
  <c r="G52" i="5"/>
  <c r="G50" i="5"/>
  <c r="G48" i="5"/>
  <c r="G43" i="5"/>
  <c r="G40" i="5"/>
  <c r="G36" i="5"/>
  <c r="G34" i="5"/>
  <c r="G31" i="5"/>
  <c r="G28" i="5"/>
  <c r="G26" i="5"/>
  <c r="G24" i="5"/>
  <c r="G22" i="5"/>
  <c r="G19" i="5"/>
  <c r="G15" i="5"/>
  <c r="G13" i="5"/>
  <c r="G89" i="5"/>
  <c r="G117" i="5"/>
  <c r="G116" i="5"/>
  <c r="G115" i="5"/>
  <c r="G113" i="5"/>
  <c r="G110" i="5"/>
  <c r="G107" i="5"/>
  <c r="G106" i="5"/>
  <c r="G105" i="5"/>
  <c r="G102" i="5"/>
  <c r="G99" i="5"/>
  <c r="G96" i="5"/>
  <c r="G93" i="5"/>
  <c r="G92" i="5"/>
  <c r="G88" i="5"/>
  <c r="G85" i="5"/>
  <c r="G83" i="5"/>
  <c r="G80" i="5"/>
  <c r="G77" i="5"/>
  <c r="G75" i="5"/>
  <c r="G72" i="5"/>
  <c r="G71" i="5"/>
  <c r="G70" i="5"/>
  <c r="G68" i="5"/>
  <c r="G65" i="5"/>
  <c r="G63" i="5"/>
  <c r="G57" i="5"/>
  <c r="G54" i="5"/>
  <c r="G53" i="5"/>
  <c r="G51" i="5"/>
  <c r="G49" i="5"/>
  <c r="G46" i="5"/>
  <c r="G45" i="5"/>
  <c r="G44" i="5"/>
  <c r="G41" i="5"/>
  <c r="G38" i="5"/>
  <c r="G37" i="5"/>
  <c r="G35" i="5"/>
  <c r="G32" i="5"/>
  <c r="G29" i="5"/>
  <c r="G27" i="5"/>
  <c r="G25" i="5"/>
  <c r="G23" i="5"/>
  <c r="G20" i="5"/>
  <c r="G17" i="5"/>
  <c r="G16" i="5"/>
  <c r="G14" i="5"/>
  <c r="G12" i="5"/>
  <c r="G11" i="5"/>
  <c r="G10" i="5"/>
  <c r="G9" i="5"/>
  <c r="G8" i="5"/>
  <c r="G30" i="8"/>
  <c r="J30" i="8"/>
  <c r="G18" i="8"/>
  <c r="G16" i="8"/>
  <c r="G15" i="8"/>
  <c r="G14" i="8"/>
  <c r="J18" i="8"/>
  <c r="J17" i="8"/>
  <c r="J15" i="8"/>
  <c r="J14" i="8"/>
  <c r="J13" i="8"/>
  <c r="J10" i="8"/>
  <c r="J11" i="8"/>
  <c r="G12" i="8"/>
  <c r="G11" i="8"/>
  <c r="G10" i="8"/>
  <c r="H18" i="12" l="1"/>
  <c r="H17" i="12"/>
  <c r="H16" i="12"/>
  <c r="L14" i="12"/>
  <c r="J14" i="12"/>
  <c r="J13" i="12" s="1"/>
  <c r="I14" i="12"/>
  <c r="G14" i="12"/>
  <c r="F14" i="12"/>
  <c r="H14" i="12" s="1"/>
  <c r="E14" i="12"/>
  <c r="L13" i="12"/>
  <c r="L19" i="12" s="1"/>
  <c r="I13" i="12"/>
  <c r="G13" i="12"/>
  <c r="E13" i="12"/>
  <c r="L11" i="12"/>
  <c r="J11" i="12"/>
  <c r="I11" i="12"/>
  <c r="G11" i="12"/>
  <c r="F11" i="12"/>
  <c r="E11" i="12"/>
  <c r="H10" i="12"/>
  <c r="L9" i="12"/>
  <c r="L8" i="12" s="1"/>
  <c r="J9" i="12"/>
  <c r="I9" i="12"/>
  <c r="I8" i="12" s="1"/>
  <c r="G9" i="12"/>
  <c r="G8" i="12" s="1"/>
  <c r="G19" i="12" s="1"/>
  <c r="F9" i="12"/>
  <c r="H9" i="12" s="1"/>
  <c r="E9" i="12"/>
  <c r="E8" i="12" s="1"/>
  <c r="E19" i="12" s="1"/>
  <c r="J8" i="12"/>
  <c r="F8" i="12"/>
  <c r="L6" i="12"/>
  <c r="J6" i="12"/>
  <c r="J5" i="12" s="1"/>
  <c r="J19" i="12" s="1"/>
  <c r="I6" i="12"/>
  <c r="I5" i="12" s="1"/>
  <c r="I19" i="12" s="1"/>
  <c r="G6" i="12"/>
  <c r="F6" i="12"/>
  <c r="F5" i="12" s="1"/>
  <c r="E6" i="12"/>
  <c r="E5" i="12" s="1"/>
  <c r="L5" i="12"/>
  <c r="G5" i="12"/>
  <c r="G131" i="1"/>
  <c r="L131" i="1"/>
  <c r="L130" i="1" s="1"/>
  <c r="H132" i="1"/>
  <c r="F133" i="1"/>
  <c r="G133" i="1"/>
  <c r="G130" i="1" s="1"/>
  <c r="E133" i="1"/>
  <c r="L133" i="1"/>
  <c r="J133" i="1"/>
  <c r="I133" i="1"/>
  <c r="H8" i="12" l="1"/>
  <c r="F13" i="12"/>
  <c r="H13" i="12" s="1"/>
  <c r="I54" i="1"/>
  <c r="I17" i="8"/>
  <c r="H19" i="12" l="1"/>
  <c r="F21" i="11"/>
  <c r="F20" i="11" s="1"/>
  <c r="F13" i="11"/>
  <c r="F25" i="11"/>
  <c r="E25" i="11"/>
  <c r="F23" i="11"/>
  <c r="E23" i="11"/>
  <c r="F16" i="11"/>
  <c r="E16" i="11"/>
  <c r="E13" i="11"/>
  <c r="F7" i="11"/>
  <c r="F6" i="11" s="1"/>
  <c r="F9" i="11" s="1"/>
  <c r="E7" i="11"/>
  <c r="E6" i="11" s="1"/>
  <c r="E9" i="11" s="1"/>
  <c r="F12" i="11" l="1"/>
  <c r="F27" i="11" s="1"/>
  <c r="E20" i="11"/>
  <c r="E12" i="11" s="1"/>
  <c r="E27" i="11" s="1"/>
  <c r="C113" i="10" l="1"/>
  <c r="F112" i="10"/>
  <c r="F111" i="10"/>
  <c r="F110" i="10"/>
  <c r="F109" i="10"/>
  <c r="F107" i="10"/>
  <c r="G106" i="10"/>
  <c r="H106" i="10" s="1"/>
  <c r="F106" i="10"/>
  <c r="E106" i="10"/>
  <c r="D106" i="10"/>
  <c r="F105" i="10"/>
  <c r="F104" i="10"/>
  <c r="F103" i="10"/>
  <c r="F102" i="10"/>
  <c r="F100" i="10"/>
  <c r="F99" i="10"/>
  <c r="F98" i="10"/>
  <c r="G97" i="10"/>
  <c r="H97" i="10" s="1"/>
  <c r="F97" i="10"/>
  <c r="E97" i="10"/>
  <c r="D97" i="10"/>
  <c r="F95" i="10"/>
  <c r="F94" i="10"/>
  <c r="F93" i="10"/>
  <c r="F92" i="10"/>
  <c r="F90" i="10"/>
  <c r="F89" i="10" s="1"/>
  <c r="G89" i="10"/>
  <c r="H89" i="10" s="1"/>
  <c r="E89" i="10"/>
  <c r="D89" i="10"/>
  <c r="F88" i="10"/>
  <c r="F85" i="10"/>
  <c r="F84" i="10"/>
  <c r="G82" i="10"/>
  <c r="H82" i="10" s="1"/>
  <c r="F82" i="10"/>
  <c r="E82" i="10"/>
  <c r="D82" i="10"/>
  <c r="F80" i="10"/>
  <c r="E80" i="10"/>
  <c r="F79" i="10"/>
  <c r="F78" i="10"/>
  <c r="F77" i="10"/>
  <c r="F76" i="10"/>
  <c r="G75" i="10"/>
  <c r="H75" i="10" s="1"/>
  <c r="F75" i="10"/>
  <c r="E75" i="10"/>
  <c r="D75" i="10"/>
  <c r="F74" i="10"/>
  <c r="F73" i="10"/>
  <c r="E73" i="10"/>
  <c r="E72" i="10"/>
  <c r="F72" i="10" s="1"/>
  <c r="F71" i="10"/>
  <c r="F70" i="10"/>
  <c r="F69" i="10"/>
  <c r="F68" i="10"/>
  <c r="F66" i="10"/>
  <c r="G65" i="10"/>
  <c r="H65" i="10" s="1"/>
  <c r="F65" i="10"/>
  <c r="D65" i="10"/>
  <c r="F64" i="10"/>
  <c r="F63" i="10"/>
  <c r="F62" i="10"/>
  <c r="F61" i="10"/>
  <c r="F60" i="10" s="1"/>
  <c r="G60" i="10"/>
  <c r="H60" i="10" s="1"/>
  <c r="E60" i="10"/>
  <c r="D60" i="10"/>
  <c r="F59" i="10"/>
  <c r="F58" i="10"/>
  <c r="F57" i="10"/>
  <c r="G56" i="10"/>
  <c r="H56" i="10" s="1"/>
  <c r="F56" i="10"/>
  <c r="E56" i="10"/>
  <c r="D56" i="10"/>
  <c r="F55" i="10"/>
  <c r="F54" i="10"/>
  <c r="F53" i="10"/>
  <c r="F52" i="10"/>
  <c r="F51" i="10" s="1"/>
  <c r="G51" i="10"/>
  <c r="H51" i="10" s="1"/>
  <c r="E51" i="10"/>
  <c r="D51" i="10"/>
  <c r="F50" i="10"/>
  <c r="F49" i="10"/>
  <c r="E49" i="10"/>
  <c r="G47" i="10"/>
  <c r="E47" i="10"/>
  <c r="D47" i="10"/>
  <c r="F46" i="10"/>
  <c r="E45" i="10"/>
  <c r="F45" i="10" s="1"/>
  <c r="F44" i="10"/>
  <c r="G43" i="10"/>
  <c r="H43" i="10" s="1"/>
  <c r="E43" i="10"/>
  <c r="D43" i="10"/>
  <c r="F42" i="10"/>
  <c r="F40" i="10"/>
  <c r="F39" i="10"/>
  <c r="F38" i="10"/>
  <c r="F37" i="10" s="1"/>
  <c r="G37" i="10"/>
  <c r="H37" i="10" s="1"/>
  <c r="E37" i="10"/>
  <c r="D37" i="10"/>
  <c r="F36" i="10"/>
  <c r="F35" i="10"/>
  <c r="F34" i="10"/>
  <c r="F33" i="10"/>
  <c r="F32" i="10"/>
  <c r="F31" i="10"/>
  <c r="G28" i="10"/>
  <c r="H28" i="10" s="1"/>
  <c r="F28" i="10"/>
  <c r="E28" i="10"/>
  <c r="D28" i="10"/>
  <c r="F27" i="10"/>
  <c r="F26" i="10"/>
  <c r="F25" i="10"/>
  <c r="F24" i="10"/>
  <c r="F23" i="10"/>
  <c r="F21" i="10"/>
  <c r="G20" i="10"/>
  <c r="H20" i="10" s="1"/>
  <c r="F20" i="10"/>
  <c r="E20" i="10"/>
  <c r="D20" i="10"/>
  <c r="F19" i="10"/>
  <c r="F18" i="10"/>
  <c r="F14" i="10" s="1"/>
  <c r="F16" i="10"/>
  <c r="G14" i="10"/>
  <c r="H14" i="10" s="1"/>
  <c r="E14" i="10"/>
  <c r="D14" i="10"/>
  <c r="F12" i="10"/>
  <c r="F11" i="10"/>
  <c r="F10" i="10"/>
  <c r="F9" i="10" s="1"/>
  <c r="G9" i="10"/>
  <c r="H9" i="10" s="1"/>
  <c r="E9" i="10"/>
  <c r="D9" i="10"/>
  <c r="F8" i="10"/>
  <c r="F6" i="10"/>
  <c r="F5" i="10"/>
  <c r="F4" i="10" s="1"/>
  <c r="G4" i="10"/>
  <c r="H4" i="10" s="1"/>
  <c r="E4" i="10"/>
  <c r="D4" i="10"/>
  <c r="G169" i="9"/>
  <c r="F169" i="9"/>
  <c r="G156" i="9"/>
  <c r="F156" i="9"/>
  <c r="G154" i="9"/>
  <c r="F154" i="9"/>
  <c r="G150" i="9"/>
  <c r="F150" i="9"/>
  <c r="F149" i="9" s="1"/>
  <c r="G133" i="9"/>
  <c r="H133" i="9" s="1"/>
  <c r="F133" i="9"/>
  <c r="G116" i="9"/>
  <c r="F116" i="9"/>
  <c r="G114" i="9"/>
  <c r="H114" i="9" s="1"/>
  <c r="F114" i="9"/>
  <c r="F113" i="9"/>
  <c r="G111" i="9"/>
  <c r="G110" i="9" s="1"/>
  <c r="F111" i="9"/>
  <c r="F110" i="9" s="1"/>
  <c r="G107" i="9"/>
  <c r="F107" i="9"/>
  <c r="G105" i="9"/>
  <c r="H105" i="9" s="1"/>
  <c r="F105" i="9"/>
  <c r="G97" i="9"/>
  <c r="F97" i="9"/>
  <c r="G82" i="9"/>
  <c r="H82" i="9" s="1"/>
  <c r="F82" i="9"/>
  <c r="G78" i="9"/>
  <c r="F78" i="9"/>
  <c r="G76" i="9"/>
  <c r="F76" i="9"/>
  <c r="G74" i="9"/>
  <c r="F74" i="9"/>
  <c r="G70" i="9"/>
  <c r="G69" i="9" s="1"/>
  <c r="F70" i="9"/>
  <c r="F69" i="9"/>
  <c r="G67" i="9"/>
  <c r="F67" i="9"/>
  <c r="G62" i="9"/>
  <c r="F62" i="9"/>
  <c r="G53" i="9"/>
  <c r="F53" i="9"/>
  <c r="G46" i="9"/>
  <c r="F46" i="9"/>
  <c r="F45" i="9" s="1"/>
  <c r="G43" i="9"/>
  <c r="F43" i="9"/>
  <c r="G40" i="9"/>
  <c r="F40" i="9"/>
  <c r="G38" i="9"/>
  <c r="F38" i="9"/>
  <c r="G36" i="9"/>
  <c r="F36" i="9"/>
  <c r="G33" i="9"/>
  <c r="F33" i="9"/>
  <c r="G29" i="9"/>
  <c r="F29" i="9"/>
  <c r="G26" i="9"/>
  <c r="F26" i="9"/>
  <c r="F25" i="9" s="1"/>
  <c r="F24" i="9" s="1"/>
  <c r="F22" i="9"/>
  <c r="H22" i="9" s="1"/>
  <c r="G15" i="9"/>
  <c r="F15" i="9"/>
  <c r="G8" i="9"/>
  <c r="F8" i="9"/>
  <c r="H150" i="9" l="1"/>
  <c r="H78" i="9"/>
  <c r="H154" i="9"/>
  <c r="H110" i="9"/>
  <c r="H156" i="9"/>
  <c r="H97" i="9"/>
  <c r="H107" i="9"/>
  <c r="G176" i="9"/>
  <c r="H47" i="10"/>
  <c r="H169" i="9"/>
  <c r="F153" i="9"/>
  <c r="F148" i="9" s="1"/>
  <c r="G7" i="9"/>
  <c r="G6" i="9" s="1"/>
  <c r="G149" i="9"/>
  <c r="H149" i="9" s="1"/>
  <c r="G52" i="9"/>
  <c r="G51" i="9" s="1"/>
  <c r="F47" i="10"/>
  <c r="G113" i="10"/>
  <c r="D113" i="10"/>
  <c r="G45" i="9"/>
  <c r="H46" i="9"/>
  <c r="G113" i="9"/>
  <c r="H113" i="9" s="1"/>
  <c r="H116" i="9"/>
  <c r="H15" i="9"/>
  <c r="G25" i="9"/>
  <c r="H26" i="9"/>
  <c r="H33" i="9"/>
  <c r="H38" i="9"/>
  <c r="H43" i="9"/>
  <c r="H62" i="9"/>
  <c r="F7" i="9"/>
  <c r="F6" i="9" s="1"/>
  <c r="F42" i="9"/>
  <c r="F52" i="9"/>
  <c r="F51" i="9" s="1"/>
  <c r="H8" i="9"/>
  <c r="H53" i="9"/>
  <c r="H67" i="9"/>
  <c r="H111" i="9"/>
  <c r="G153" i="9"/>
  <c r="F73" i="9"/>
  <c r="F72" i="9" s="1"/>
  <c r="G73" i="9"/>
  <c r="H73" i="9" s="1"/>
  <c r="G32" i="9"/>
  <c r="F32" i="9"/>
  <c r="F31" i="9" s="1"/>
  <c r="F176" i="9"/>
  <c r="H176" i="9" s="1"/>
  <c r="F43" i="10"/>
  <c r="F113" i="10" s="1"/>
  <c r="E113" i="10"/>
  <c r="E65" i="10"/>
  <c r="H6" i="9" l="1"/>
  <c r="H7" i="9"/>
  <c r="G148" i="9"/>
  <c r="H148" i="9" s="1"/>
  <c r="H153" i="9"/>
  <c r="G72" i="9"/>
  <c r="H72" i="9" s="1"/>
  <c r="H113" i="10"/>
  <c r="G31" i="9"/>
  <c r="H31" i="9" s="1"/>
  <c r="H32" i="9"/>
  <c r="H52" i="9"/>
  <c r="H51" i="9"/>
  <c r="G24" i="9"/>
  <c r="H24" i="9" s="1"/>
  <c r="H25" i="9"/>
  <c r="G42" i="9"/>
  <c r="H42" i="9" s="1"/>
  <c r="H45" i="9"/>
  <c r="F173" i="9"/>
  <c r="F175" i="9" s="1"/>
  <c r="G173" i="9" l="1"/>
  <c r="I26" i="8"/>
  <c r="I25" i="8" s="1"/>
  <c r="I29" i="8" s="1"/>
  <c r="H26" i="8"/>
  <c r="H25" i="8" s="1"/>
  <c r="H29" i="8" s="1"/>
  <c r="F26" i="8"/>
  <c r="F25" i="8" s="1"/>
  <c r="F29" i="8" s="1"/>
  <c r="E26" i="8"/>
  <c r="E25" i="8" s="1"/>
  <c r="E29" i="8" s="1"/>
  <c r="I15" i="8"/>
  <c r="H15" i="8"/>
  <c r="F15" i="8"/>
  <c r="F14" i="8" s="1"/>
  <c r="E15" i="8"/>
  <c r="E14" i="8" s="1"/>
  <c r="I14" i="8"/>
  <c r="H14" i="8"/>
  <c r="I11" i="8"/>
  <c r="I10" i="8" s="1"/>
  <c r="H11" i="8"/>
  <c r="H10" i="8" s="1"/>
  <c r="F11" i="8"/>
  <c r="E11" i="8"/>
  <c r="E10" i="8" s="1"/>
  <c r="F10" i="8"/>
  <c r="H173" i="9" l="1"/>
  <c r="G175" i="9"/>
  <c r="H175" i="9" s="1"/>
  <c r="E18" i="8"/>
  <c r="E30" i="8" s="1"/>
  <c r="F18" i="8"/>
  <c r="H18" i="8"/>
  <c r="H30" i="8" s="1"/>
  <c r="I18" i="8"/>
  <c r="I30" i="8" s="1"/>
  <c r="F30" i="8"/>
  <c r="F27" i="7" l="1"/>
  <c r="E27" i="7"/>
  <c r="F23" i="7"/>
  <c r="E23" i="7"/>
  <c r="F15" i="7"/>
  <c r="F14" i="7" s="1"/>
  <c r="F17" i="7" s="1"/>
  <c r="E15" i="7"/>
  <c r="E14" i="7"/>
  <c r="E17" i="7" s="1"/>
  <c r="F22" i="7" l="1"/>
  <c r="F40" i="7" s="1"/>
  <c r="E22" i="7"/>
  <c r="E40" i="7" s="1"/>
  <c r="F29" i="6"/>
  <c r="F35" i="6" s="1"/>
  <c r="C27" i="6"/>
  <c r="G25" i="6"/>
  <c r="G29" i="6" s="1"/>
  <c r="G35" i="6" s="1"/>
  <c r="D25" i="6"/>
  <c r="D29" i="6" s="1"/>
  <c r="D35" i="6" s="1"/>
  <c r="C25" i="6"/>
  <c r="C29" i="6" s="1"/>
  <c r="C35" i="6" s="1"/>
  <c r="F16" i="6"/>
  <c r="C12" i="6"/>
  <c r="G10" i="6"/>
  <c r="G16" i="6" s="1"/>
  <c r="G24" i="6" s="1"/>
  <c r="D10" i="6"/>
  <c r="D16" i="6" s="1"/>
  <c r="C10" i="6"/>
  <c r="C16" i="6" s="1"/>
  <c r="F114" i="5"/>
  <c r="E114" i="5"/>
  <c r="F112" i="5"/>
  <c r="E112" i="5"/>
  <c r="E111" i="5"/>
  <c r="F109" i="5"/>
  <c r="F108" i="5" s="1"/>
  <c r="E109" i="5"/>
  <c r="E108" i="5" s="1"/>
  <c r="F104" i="5"/>
  <c r="F103" i="5" s="1"/>
  <c r="E104" i="5"/>
  <c r="E103" i="5"/>
  <c r="F101" i="5"/>
  <c r="F100" i="5" s="1"/>
  <c r="E101" i="5"/>
  <c r="E100" i="5" s="1"/>
  <c r="F98" i="5"/>
  <c r="F97" i="5" s="1"/>
  <c r="E98" i="5"/>
  <c r="E97" i="5"/>
  <c r="F95" i="5"/>
  <c r="E95" i="5"/>
  <c r="E94" i="5" s="1"/>
  <c r="F94" i="5"/>
  <c r="F87" i="5"/>
  <c r="F86" i="5" s="1"/>
  <c r="E87" i="5"/>
  <c r="E86" i="5" s="1"/>
  <c r="F84" i="5"/>
  <c r="F81" i="5" s="1"/>
  <c r="E84" i="5"/>
  <c r="F82" i="5"/>
  <c r="E82" i="5"/>
  <c r="E81" i="5"/>
  <c r="F79" i="5"/>
  <c r="E79" i="5"/>
  <c r="E78" i="5" s="1"/>
  <c r="F78" i="5"/>
  <c r="F76" i="5"/>
  <c r="E76" i="5"/>
  <c r="F74" i="5"/>
  <c r="F73" i="5" s="1"/>
  <c r="E74" i="5"/>
  <c r="E73" i="5"/>
  <c r="F69" i="5"/>
  <c r="E69" i="5"/>
  <c r="F67" i="5"/>
  <c r="F66" i="5" s="1"/>
  <c r="E67" i="5"/>
  <c r="E66" i="5" s="1"/>
  <c r="F64" i="5"/>
  <c r="E64" i="5"/>
  <c r="F62" i="5"/>
  <c r="E62" i="5"/>
  <c r="E61" i="5"/>
  <c r="F59" i="5"/>
  <c r="E59" i="5"/>
  <c r="E58" i="5" s="1"/>
  <c r="F58" i="5"/>
  <c r="F56" i="5"/>
  <c r="F55" i="5" s="1"/>
  <c r="E56" i="5"/>
  <c r="E55" i="5"/>
  <c r="F52" i="5"/>
  <c r="E52" i="5"/>
  <c r="F50" i="5"/>
  <c r="E50" i="5"/>
  <c r="F48" i="5"/>
  <c r="E48" i="5"/>
  <c r="E47" i="5"/>
  <c r="E46" i="5" s="1"/>
  <c r="F43" i="5"/>
  <c r="E43" i="5"/>
  <c r="E42" i="5" s="1"/>
  <c r="F42" i="5"/>
  <c r="F40" i="5"/>
  <c r="F39" i="5" s="1"/>
  <c r="E40" i="5"/>
  <c r="E39" i="5"/>
  <c r="E38" i="5" s="1"/>
  <c r="F36" i="5"/>
  <c r="E36" i="5"/>
  <c r="F34" i="5"/>
  <c r="E34" i="5"/>
  <c r="E33" i="5"/>
  <c r="F31" i="5"/>
  <c r="F30" i="5" s="1"/>
  <c r="E31" i="5"/>
  <c r="E30" i="5" s="1"/>
  <c r="F28" i="5"/>
  <c r="E28" i="5"/>
  <c r="F26" i="5"/>
  <c r="E26" i="5"/>
  <c r="F24" i="5"/>
  <c r="E24" i="5"/>
  <c r="F22" i="5"/>
  <c r="E22" i="5"/>
  <c r="E21" i="5"/>
  <c r="F19" i="5"/>
  <c r="F18" i="5" s="1"/>
  <c r="E19" i="5"/>
  <c r="E18" i="5" s="1"/>
  <c r="E17" i="5" s="1"/>
  <c r="F15" i="5"/>
  <c r="E14" i="5"/>
  <c r="F13" i="5"/>
  <c r="E13" i="5"/>
  <c r="F11" i="5"/>
  <c r="E11" i="5"/>
  <c r="G57" i="4"/>
  <c r="F57" i="4"/>
  <c r="G52" i="4"/>
  <c r="F52" i="4"/>
  <c r="F11" i="4"/>
  <c r="G66" i="4" l="1"/>
  <c r="I57" i="4"/>
  <c r="I52" i="4"/>
  <c r="I11" i="4"/>
  <c r="F66" i="4"/>
  <c r="C36" i="6"/>
  <c r="C38" i="6" s="1"/>
  <c r="C24" i="6"/>
  <c r="D36" i="6"/>
  <c r="D38" i="6" s="1"/>
  <c r="D24" i="6"/>
  <c r="F36" i="6"/>
  <c r="F38" i="6" s="1"/>
  <c r="F24" i="6"/>
  <c r="F26" i="4"/>
  <c r="I26" i="4" s="1"/>
  <c r="F93" i="5"/>
  <c r="F92" i="5" s="1"/>
  <c r="F38" i="5"/>
  <c r="F33" i="5"/>
  <c r="F111" i="5"/>
  <c r="F47" i="5"/>
  <c r="F46" i="5" s="1"/>
  <c r="F21" i="5"/>
  <c r="F17" i="5" s="1"/>
  <c r="F61" i="5"/>
  <c r="F10" i="5"/>
  <c r="F9" i="5" s="1"/>
  <c r="G36" i="6"/>
  <c r="G38" i="6" s="1"/>
  <c r="E10" i="6"/>
  <c r="E16" i="6" s="1"/>
  <c r="E25" i="6"/>
  <c r="E29" i="6" s="1"/>
  <c r="E35" i="6" s="1"/>
  <c r="E54" i="5"/>
  <c r="E93" i="5"/>
  <c r="E92" i="5" s="1"/>
  <c r="F107" i="5"/>
  <c r="F106" i="5" s="1"/>
  <c r="F116" i="5" s="1"/>
  <c r="E107" i="5"/>
  <c r="E106" i="5" s="1"/>
  <c r="E45" i="5"/>
  <c r="F54" i="5"/>
  <c r="E15" i="5"/>
  <c r="E10" i="5" s="1"/>
  <c r="E9" i="5" s="1"/>
  <c r="E8" i="5" s="1"/>
  <c r="I66" i="4" l="1"/>
  <c r="E36" i="6"/>
  <c r="E38" i="6" s="1"/>
  <c r="E24" i="6"/>
  <c r="F45" i="5"/>
  <c r="F8" i="5"/>
  <c r="E89" i="5"/>
  <c r="E116" i="5"/>
  <c r="F89" i="5" l="1"/>
  <c r="F117" i="5" s="1"/>
  <c r="E117" i="5"/>
  <c r="F81" i="1"/>
  <c r="H140" i="1" l="1"/>
  <c r="H139" i="1"/>
  <c r="H138" i="1"/>
  <c r="L136" i="1"/>
  <c r="L135" i="1" s="1"/>
  <c r="J136" i="1"/>
  <c r="J135" i="1" s="1"/>
  <c r="J131" i="1"/>
  <c r="J130" i="1" s="1"/>
  <c r="I131" i="1"/>
  <c r="I130" i="1" s="1"/>
  <c r="L128" i="1"/>
  <c r="L127" i="1" s="1"/>
  <c r="J128" i="1"/>
  <c r="J127" i="1" s="1"/>
  <c r="I128" i="1"/>
  <c r="I127" i="1" s="1"/>
  <c r="F128" i="1"/>
  <c r="F127" i="1" s="1"/>
  <c r="G128" i="1"/>
  <c r="G127" i="1" s="1"/>
  <c r="E128" i="1"/>
  <c r="E127" i="1" s="1"/>
  <c r="I136" i="1"/>
  <c r="I135" i="1" s="1"/>
  <c r="F136" i="1"/>
  <c r="H136" i="1" s="1"/>
  <c r="G136" i="1"/>
  <c r="G135" i="1" s="1"/>
  <c r="G141" i="1" s="1"/>
  <c r="E136" i="1"/>
  <c r="K26" i="2"/>
  <c r="K23" i="2"/>
  <c r="K18" i="2"/>
  <c r="K39" i="2"/>
  <c r="K36" i="2"/>
  <c r="K33" i="2"/>
  <c r="K30" i="2"/>
  <c r="K64" i="2"/>
  <c r="K60" i="2"/>
  <c r="K56" i="2"/>
  <c r="K8" i="1"/>
  <c r="K7" i="1" s="1"/>
  <c r="K18" i="1"/>
  <c r="K17" i="1" s="1"/>
  <c r="K29" i="1"/>
  <c r="K28" i="1" s="1"/>
  <c r="K32" i="1"/>
  <c r="K37" i="1"/>
  <c r="K69" i="1"/>
  <c r="K72" i="1"/>
  <c r="K76" i="1"/>
  <c r="K80" i="1"/>
  <c r="K95" i="1"/>
  <c r="K114" i="1"/>
  <c r="K113" i="1" s="1"/>
  <c r="L141" i="1" l="1"/>
  <c r="J141" i="1"/>
  <c r="I141" i="1"/>
  <c r="K29" i="2"/>
  <c r="F19" i="1"/>
  <c r="K49" i="1" l="1"/>
  <c r="K48" i="1" s="1"/>
  <c r="K55" i="1"/>
  <c r="K54" i="1" s="1"/>
  <c r="J116" i="1" l="1"/>
  <c r="J117" i="1"/>
  <c r="J118" i="1"/>
  <c r="J119" i="1"/>
  <c r="J120" i="1"/>
  <c r="J121" i="1"/>
  <c r="J115" i="1"/>
  <c r="J111" i="1"/>
  <c r="J112" i="1"/>
  <c r="J110" i="1"/>
  <c r="J98" i="1"/>
  <c r="J99" i="1"/>
  <c r="J100" i="1"/>
  <c r="J101" i="1"/>
  <c r="J102" i="1"/>
  <c r="J103" i="1"/>
  <c r="J104" i="1"/>
  <c r="J105" i="1"/>
  <c r="J106" i="1"/>
  <c r="J107" i="1"/>
  <c r="J97" i="1"/>
  <c r="J84" i="1"/>
  <c r="J85" i="1"/>
  <c r="J86" i="1"/>
  <c r="J87" i="1"/>
  <c r="J88" i="1"/>
  <c r="J89" i="1"/>
  <c r="J90" i="1"/>
  <c r="J91" i="1"/>
  <c r="J92" i="1"/>
  <c r="J93" i="1"/>
  <c r="J94" i="1"/>
  <c r="J83" i="1"/>
  <c r="J78" i="1"/>
  <c r="J75" i="1"/>
  <c r="J74" i="1"/>
  <c r="J71" i="1"/>
  <c r="J58" i="1"/>
  <c r="J59" i="1"/>
  <c r="J60" i="1"/>
  <c r="J61" i="1"/>
  <c r="J62" i="1"/>
  <c r="J63" i="1"/>
  <c r="J64" i="1"/>
  <c r="J65" i="1"/>
  <c r="J66" i="1"/>
  <c r="J67" i="1"/>
  <c r="J68" i="1"/>
  <c r="J57" i="1"/>
  <c r="J51" i="1"/>
  <c r="J52" i="1"/>
  <c r="J50" i="1"/>
  <c r="J40" i="1"/>
  <c r="J41" i="1"/>
  <c r="J42" i="1"/>
  <c r="J43" i="1"/>
  <c r="J44" i="1"/>
  <c r="J45" i="1"/>
  <c r="J46" i="1"/>
  <c r="J39" i="1"/>
  <c r="J35" i="1"/>
  <c r="J36" i="1"/>
  <c r="J34" i="1"/>
  <c r="J22" i="1"/>
  <c r="J23" i="1"/>
  <c r="J24" i="1"/>
  <c r="J25" i="1"/>
  <c r="J26" i="1"/>
  <c r="J27" i="1"/>
  <c r="J21" i="1"/>
  <c r="J11" i="1"/>
  <c r="J12" i="1"/>
  <c r="J13" i="1"/>
  <c r="J14" i="1"/>
  <c r="J15" i="1"/>
  <c r="J16" i="1"/>
  <c r="J10" i="1"/>
  <c r="G114" i="1"/>
  <c r="G109" i="1"/>
  <c r="G96" i="1"/>
  <c r="G81" i="1"/>
  <c r="G77" i="1"/>
  <c r="G73" i="1"/>
  <c r="G70" i="1"/>
  <c r="G56" i="1"/>
  <c r="G55" i="1"/>
  <c r="G49" i="1"/>
  <c r="G38" i="1"/>
  <c r="G33" i="1"/>
  <c r="G30" i="1"/>
  <c r="G19" i="1"/>
  <c r="G9" i="1"/>
  <c r="K31" i="1"/>
  <c r="K47" i="1"/>
  <c r="K53" i="1"/>
  <c r="K108" i="1"/>
  <c r="J66" i="2"/>
  <c r="J62" i="2"/>
  <c r="J58" i="2"/>
  <c r="J42" i="2"/>
  <c r="J43" i="2"/>
  <c r="J44" i="2"/>
  <c r="J45" i="2"/>
  <c r="J46" i="2"/>
  <c r="J47" i="2"/>
  <c r="J48" i="2"/>
  <c r="J49" i="2"/>
  <c r="J50" i="2"/>
  <c r="J41" i="2"/>
  <c r="J38" i="2"/>
  <c r="J35" i="2"/>
  <c r="J32" i="2"/>
  <c r="J28" i="2"/>
  <c r="J26" i="2" s="1"/>
  <c r="J25" i="2"/>
  <c r="J21" i="2"/>
  <c r="J20" i="2"/>
  <c r="J16" i="2"/>
  <c r="J15" i="2" s="1"/>
  <c r="J14" i="2" s="1"/>
  <c r="J13" i="2"/>
  <c r="J12" i="2" s="1"/>
  <c r="J11" i="2" s="1"/>
  <c r="G10" i="2"/>
  <c r="G19" i="2"/>
  <c r="G24" i="2"/>
  <c r="G27" i="2"/>
  <c r="G31" i="2"/>
  <c r="G34" i="2"/>
  <c r="G37" i="2"/>
  <c r="G40" i="2"/>
  <c r="G57" i="2"/>
  <c r="G61" i="2"/>
  <c r="G65" i="2"/>
  <c r="G9" i="2"/>
  <c r="K63" i="2"/>
  <c r="K59" i="2"/>
  <c r="K51" i="2"/>
  <c r="K15" i="2"/>
  <c r="K14" i="2"/>
  <c r="K12" i="2"/>
  <c r="K11" i="2" s="1"/>
  <c r="I64" i="2"/>
  <c r="J64" i="2" s="1"/>
  <c r="H64" i="2"/>
  <c r="F64" i="2"/>
  <c r="E64" i="2"/>
  <c r="I63" i="2"/>
  <c r="J63" i="2" s="1"/>
  <c r="H63" i="2"/>
  <c r="F63" i="2"/>
  <c r="E63" i="2"/>
  <c r="I60" i="2"/>
  <c r="J60" i="2" s="1"/>
  <c r="H60" i="2"/>
  <c r="F60" i="2"/>
  <c r="E60" i="2"/>
  <c r="E59" i="2" s="1"/>
  <c r="H59" i="2"/>
  <c r="I56" i="2"/>
  <c r="H56" i="2"/>
  <c r="F56" i="2"/>
  <c r="E56" i="2"/>
  <c r="I51" i="2"/>
  <c r="H51" i="2"/>
  <c r="F51" i="2"/>
  <c r="E51" i="2"/>
  <c r="I39" i="2"/>
  <c r="H39" i="2"/>
  <c r="F39" i="2"/>
  <c r="E39" i="2"/>
  <c r="I36" i="2"/>
  <c r="H36" i="2"/>
  <c r="F36" i="2"/>
  <c r="E36" i="2"/>
  <c r="I33" i="2"/>
  <c r="H33" i="2"/>
  <c r="F33" i="2"/>
  <c r="E33" i="2"/>
  <c r="I30" i="2"/>
  <c r="H30" i="2"/>
  <c r="F30" i="2"/>
  <c r="E30" i="2"/>
  <c r="E29" i="2"/>
  <c r="I26" i="2"/>
  <c r="H26" i="2"/>
  <c r="F26" i="2"/>
  <c r="E26" i="2"/>
  <c r="I23" i="2"/>
  <c r="J23" i="2" s="1"/>
  <c r="H23" i="2"/>
  <c r="F23" i="2"/>
  <c r="E23" i="2"/>
  <c r="I18" i="2"/>
  <c r="H18" i="2"/>
  <c r="F18" i="2"/>
  <c r="E18" i="2"/>
  <c r="E17" i="2"/>
  <c r="I15" i="2"/>
  <c r="I14" i="2" s="1"/>
  <c r="H15" i="2"/>
  <c r="H14" i="2" s="1"/>
  <c r="I12" i="2"/>
  <c r="I11" i="2" s="1"/>
  <c r="H12" i="2"/>
  <c r="H11" i="2" s="1"/>
  <c r="F8" i="2"/>
  <c r="F7" i="2" s="1"/>
  <c r="E8" i="2"/>
  <c r="E7" i="2"/>
  <c r="F135" i="1"/>
  <c r="E135" i="1"/>
  <c r="F131" i="1"/>
  <c r="F130" i="1" s="1"/>
  <c r="E131" i="1"/>
  <c r="E130" i="1" s="1"/>
  <c r="I113" i="1"/>
  <c r="H113" i="1"/>
  <c r="F113" i="1"/>
  <c r="E113" i="1"/>
  <c r="I108" i="1"/>
  <c r="H108" i="1"/>
  <c r="F108" i="1"/>
  <c r="E108" i="1"/>
  <c r="I95" i="1"/>
  <c r="H95" i="1"/>
  <c r="F95" i="1"/>
  <c r="E95" i="1"/>
  <c r="I80" i="1"/>
  <c r="H80" i="1"/>
  <c r="H79" i="1" s="1"/>
  <c r="F80" i="1"/>
  <c r="E80" i="1"/>
  <c r="I76" i="1"/>
  <c r="H76" i="1"/>
  <c r="F76" i="1"/>
  <c r="E76" i="1"/>
  <c r="I72" i="1"/>
  <c r="H72" i="1"/>
  <c r="F72" i="1"/>
  <c r="E72" i="1"/>
  <c r="I69" i="1"/>
  <c r="H69" i="1"/>
  <c r="F69" i="1"/>
  <c r="E69" i="1"/>
  <c r="H54" i="1"/>
  <c r="F54" i="1"/>
  <c r="E54" i="1"/>
  <c r="I48" i="1"/>
  <c r="I47" i="1" s="1"/>
  <c r="H48" i="1"/>
  <c r="H47" i="1" s="1"/>
  <c r="F48" i="1"/>
  <c r="F47" i="1" s="1"/>
  <c r="E48" i="1"/>
  <c r="E47" i="1" s="1"/>
  <c r="I37" i="1"/>
  <c r="H37" i="1"/>
  <c r="F37" i="1"/>
  <c r="E37" i="1"/>
  <c r="I32" i="1"/>
  <c r="H32" i="1"/>
  <c r="H31" i="1" s="1"/>
  <c r="F32" i="1"/>
  <c r="E32" i="1"/>
  <c r="E31" i="1" s="1"/>
  <c r="F29" i="1"/>
  <c r="F28" i="1" s="1"/>
  <c r="E29" i="1"/>
  <c r="E28" i="1" s="1"/>
  <c r="I18" i="1"/>
  <c r="H18" i="1"/>
  <c r="H17" i="1" s="1"/>
  <c r="F18" i="1"/>
  <c r="E18" i="1"/>
  <c r="E17" i="1" s="1"/>
  <c r="I8" i="1"/>
  <c r="H8" i="1"/>
  <c r="H7" i="1" s="1"/>
  <c r="F8" i="1"/>
  <c r="F7" i="1" s="1"/>
  <c r="E8" i="1"/>
  <c r="E7" i="1" s="1"/>
  <c r="E67" i="2" l="1"/>
  <c r="J30" i="2"/>
  <c r="J33" i="2"/>
  <c r="J36" i="2"/>
  <c r="J56" i="2"/>
  <c r="G7" i="2"/>
  <c r="G18" i="2"/>
  <c r="G23" i="2"/>
  <c r="G26" i="2"/>
  <c r="G60" i="2"/>
  <c r="G63" i="2"/>
  <c r="G64" i="2"/>
  <c r="G30" i="2"/>
  <c r="G33" i="2"/>
  <c r="G36" i="2"/>
  <c r="G39" i="2"/>
  <c r="G56" i="2"/>
  <c r="F59" i="2"/>
  <c r="G59" i="2" s="1"/>
  <c r="E53" i="1"/>
  <c r="J39" i="2"/>
  <c r="I53" i="1"/>
  <c r="J72" i="1"/>
  <c r="J76" i="1"/>
  <c r="J80" i="1"/>
  <c r="J108" i="1"/>
  <c r="H135" i="1"/>
  <c r="G54" i="1"/>
  <c r="G69" i="1"/>
  <c r="G72" i="1"/>
  <c r="G80" i="1"/>
  <c r="G95" i="1"/>
  <c r="G108" i="1"/>
  <c r="H130" i="1"/>
  <c r="H131" i="1"/>
  <c r="I59" i="2"/>
  <c r="J59" i="2" s="1"/>
  <c r="J18" i="2"/>
  <c r="I17" i="2"/>
  <c r="G37" i="1"/>
  <c r="J69" i="1"/>
  <c r="J95" i="1"/>
  <c r="G18" i="1"/>
  <c r="J32" i="1"/>
  <c r="G47" i="1"/>
  <c r="J54" i="1"/>
  <c r="J113" i="1"/>
  <c r="J37" i="1"/>
  <c r="J8" i="1"/>
  <c r="J18" i="1"/>
  <c r="J47" i="1"/>
  <c r="G113" i="1"/>
  <c r="I31" i="1"/>
  <c r="J31" i="1" s="1"/>
  <c r="G7" i="1"/>
  <c r="I7" i="1"/>
  <c r="J7" i="1" s="1"/>
  <c r="G48" i="1"/>
  <c r="F31" i="1"/>
  <c r="G31" i="1" s="1"/>
  <c r="G32" i="1"/>
  <c r="F17" i="1"/>
  <c r="G17" i="1" s="1"/>
  <c r="G8" i="1"/>
  <c r="G28" i="1"/>
  <c r="K79" i="1"/>
  <c r="K122" i="1" s="1"/>
  <c r="J48" i="1"/>
  <c r="H17" i="2"/>
  <c r="I17" i="1"/>
  <c r="J17" i="1" s="1"/>
  <c r="F53" i="1"/>
  <c r="H53" i="1"/>
  <c r="H122" i="1" s="1"/>
  <c r="G76" i="1"/>
  <c r="G29" i="1"/>
  <c r="E79" i="1"/>
  <c r="E122" i="1" s="1"/>
  <c r="F79" i="1"/>
  <c r="I79" i="1"/>
  <c r="F17" i="2"/>
  <c r="G17" i="2" s="1"/>
  <c r="G8" i="2"/>
  <c r="I29" i="2"/>
  <c r="K17" i="2"/>
  <c r="K67" i="2" s="1"/>
  <c r="H29" i="2"/>
  <c r="H67" i="2" s="1"/>
  <c r="F29" i="2"/>
  <c r="E141" i="1"/>
  <c r="G53" i="1" l="1"/>
  <c r="I67" i="2"/>
  <c r="J67" i="2" s="1"/>
  <c r="F141" i="1"/>
  <c r="H141" i="1" s="1"/>
  <c r="J17" i="2"/>
  <c r="J53" i="1"/>
  <c r="I122" i="1"/>
  <c r="J122" i="1" s="1"/>
  <c r="J79" i="1"/>
  <c r="F122" i="1"/>
  <c r="G122" i="1" s="1"/>
  <c r="G79" i="1"/>
  <c r="F67" i="2"/>
  <c r="G67" i="2" s="1"/>
  <c r="G29" i="2"/>
  <c r="J29" i="2"/>
  <c r="E46" i="15"/>
  <c r="E18" i="15" l="1"/>
  <c r="L46" i="15"/>
  <c r="I46" i="15"/>
  <c r="I18" i="15" s="1"/>
  <c r="I17" i="15" s="1"/>
  <c r="I58" i="15" s="1"/>
  <c r="G46" i="15"/>
  <c r="G18" i="15" s="1"/>
  <c r="G17" i="15" s="1"/>
  <c r="G58" i="15" s="1"/>
  <c r="E17" i="15" l="1"/>
  <c r="L18" i="15"/>
  <c r="E58" i="15" l="1"/>
  <c r="L58" i="15" s="1"/>
  <c r="L17" i="15"/>
</calcChain>
</file>

<file path=xl/comments1.xml><?xml version="1.0" encoding="utf-8"?>
<comments xmlns="http://schemas.openxmlformats.org/spreadsheetml/2006/main">
  <authors>
    <author>mkachlicka</author>
  </authors>
  <commentList>
    <comment ref="K5" authorId="0">
      <text>
        <r>
          <rPr>
            <b/>
            <sz val="9"/>
            <color indexed="81"/>
            <rFont val="Tahoma"/>
            <family val="2"/>
            <charset val="238"/>
          </rPr>
          <t>mkachlicka: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<sst xmlns="http://schemas.openxmlformats.org/spreadsheetml/2006/main" count="4649" uniqueCount="1607">
  <si>
    <t>Dział</t>
  </si>
  <si>
    <t>Rozdział</t>
  </si>
  <si>
    <t>§</t>
  </si>
  <si>
    <t>Nazwa</t>
  </si>
  <si>
    <t>Dotacje</t>
  </si>
  <si>
    <t xml:space="preserve">Wydatki </t>
  </si>
  <si>
    <t>Plan po zmianie na 14.12. 2018r.</t>
  </si>
  <si>
    <t>Plan po zmianie na 14.12.2018r.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</si>
  <si>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</si>
  <si>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</si>
  <si>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</si>
  <si>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</si>
  <si>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</si>
  <si>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</si>
  <si>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</si>
  <si>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</si>
  <si>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Wynagrodzenia obezosobowe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</si>
  <si>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</si>
  <si>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</si>
  <si>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</si>
  <si>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</si>
  <si>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</si>
  <si>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Wydatki osobowe niezaliczane do wynagrodzeń</t>
  </si>
  <si>
    <t>Dodatkowe wynagrodzenia roczne</t>
  </si>
  <si>
    <t>Podróże służbowe krajowe</t>
  </si>
  <si>
    <t>Szkolenia pracowników niebędących członkami korpusu służby cywilnej</t>
  </si>
  <si>
    <t>Rózne rozliczenia</t>
  </si>
  <si>
    <t>Różne rozliczenia finansowe</t>
  </si>
  <si>
    <t xml:space="preserve">Urzędy naczelnych organów władzy państwowej, kontroli i ochrony prawa </t>
  </si>
  <si>
    <t>Wybory do rad gmin, rad powiatów i sejmików województw, wybory wójtów, burmistrzów i prezydentów miast oraz referenda gminne, powiatowe i wojewódzkie</t>
  </si>
  <si>
    <t>Rózne wydatki na rzecz osób fizycznych</t>
  </si>
  <si>
    <t>Wynagrodzenia bezosobowe</t>
  </si>
  <si>
    <t>Zaku energii</t>
  </si>
  <si>
    <t>Oświata i wychowanie</t>
  </si>
  <si>
    <t>Zapewnienie uczniom prawa do bezpłatnego dostępu do podręczników, materiałów edukacyjnych lub materiałów ćwiczeniowych</t>
  </si>
  <si>
    <t>Dotacja celowa z budźżetu na finansowanie lub dofinansowanie zadań zleconych do realizacji stowarzyszeniom</t>
  </si>
  <si>
    <t>Zakup środków dydaktycznych i książek</t>
  </si>
  <si>
    <t>Pomoc społeczna</t>
  </si>
  <si>
    <t>Ośrodki wsparcia</t>
  </si>
  <si>
    <t>Dotacje celowe otrzymane z budżetu państwa na inwestycje i zakupy inwestycyjne z zakresu administracji rządowej oraz innych zadań zleconych gminie ustawami</t>
  </si>
  <si>
    <t>Zakup środków żywności</t>
  </si>
  <si>
    <t>Zakup energii</t>
  </si>
  <si>
    <t>Zakup usług zdrowotnych</t>
  </si>
  <si>
    <t>Opłaty z tytułu zakupu usług telekomunikacyjnych telefonii komórkowej</t>
  </si>
  <si>
    <t>Odpisy na zakładowy fundusz świadczeń socjalnych</t>
  </si>
  <si>
    <t>Wydatki inwestycyjne jednostek budżetowych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</si>
  <si>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</si>
  <si>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</si>
  <si>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</si>
  <si>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Świadczenia spoleczne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</si>
  <si>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</si>
  <si>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</si>
  <si>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</si>
  <si>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</si>
  <si>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Świadczenia społeczne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</si>
  <si>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</si>
  <si>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</si>
  <si>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Karta Dużej Rodziny</t>
  </si>
  <si>
    <t>Wspieranie rodziny</t>
  </si>
  <si>
    <t>OGÓŁEM:</t>
  </si>
  <si>
    <t>0830</t>
  </si>
  <si>
    <t>Wpływy z usług</t>
  </si>
  <si>
    <t>0920</t>
  </si>
  <si>
    <t>Wpływy z pozostałych odsetek</t>
  </si>
  <si>
    <t>0970</t>
  </si>
  <si>
    <t>Wpływy z różnych dochodów</t>
  </si>
  <si>
    <t>0980</t>
  </si>
  <si>
    <t>Wpływy z tytułu zwrotów wypłaconych świadczeń z funduszu alimentacyjnego</t>
  </si>
  <si>
    <t>Ogółem plan dochodów:</t>
  </si>
  <si>
    <t>Dochody</t>
  </si>
  <si>
    <t>Różne rozliczenia</t>
  </si>
  <si>
    <t>Dotacje celowe otrzymane z budżetu państwa na realizację własnych zadań bieżących gmin (związków gmin)</t>
  </si>
  <si>
    <t>Dotacje celowe otrzymane z budżetu państwa na realizację inwestycji i zakupów inwestycyjnych własnych gmin (związków gmin)</t>
  </si>
  <si>
    <t>Gospodarka mieszkaniowa</t>
  </si>
  <si>
    <t>Gospodarka gruntami i nieruchomościami</t>
  </si>
  <si>
    <t>Wydatki na zakupy inwestycyjne jednostek budżetowych</t>
  </si>
  <si>
    <t>Promocja jednostek samorządu terytorialnego</t>
  </si>
  <si>
    <t>Szkoły podstawowe</t>
  </si>
  <si>
    <t>Zakup usług remontowych</t>
  </si>
  <si>
    <t>Zakup usług przez jednostki samorządu terytorialnego od innej jednostki samorządu terytorialnego</t>
  </si>
  <si>
    <t>Oddziały przedszkole przy szkołach podstawowych</t>
  </si>
  <si>
    <t>Przedszkola</t>
  </si>
  <si>
    <t>Zasiłki okresowe, celowe i pomoc w naturze oraz składki na ubezpieczenia emerytalne i rentowe</t>
  </si>
  <si>
    <t>Zasiłki stałe</t>
  </si>
  <si>
    <t>Ośrodki pomocy społecznej</t>
  </si>
  <si>
    <t>Pomoc w zakresie dożywiania</t>
  </si>
  <si>
    <t>Edukacyjna opieka wychowawcza</t>
  </si>
  <si>
    <t>Pomoc materialna dla uczniów o charakterze socjalnym</t>
  </si>
  <si>
    <t>Stypendia dla uczniów</t>
  </si>
  <si>
    <t>Wykonanie dochodów 
na dzień: 31.12.2018r.</t>
  </si>
  <si>
    <t>Wykonanie wydatkow
 na dzień: 31.12.2018r.</t>
  </si>
  <si>
    <t>% wykonania</t>
  </si>
  <si>
    <t>Data 
zwrotu</t>
  </si>
  <si>
    <t>Wykonanie na dzień: 31.12.2018r.</t>
  </si>
  <si>
    <t>Należności ogółem:</t>
  </si>
  <si>
    <t>b) plan i wykonanie dochodów</t>
  </si>
  <si>
    <t>Plan i wykonanie dochodów i wydatków związanych z realizacją zadań własnych w 2018 roku</t>
  </si>
  <si>
    <t>a) plan i wykonanie dotacji i wydatków</t>
  </si>
  <si>
    <t>28-12-2018</t>
  </si>
  <si>
    <t>31-12-2018</t>
  </si>
  <si>
    <t>03-01-2019</t>
  </si>
  <si>
    <t>15.12.2018r. - 1.500 zł;
17.12.2018r. - 4.869,24 zł</t>
  </si>
  <si>
    <t>14-12-2018</t>
  </si>
  <si>
    <t>10.12.2018r.</t>
  </si>
  <si>
    <t>03.01.2018r.</t>
  </si>
  <si>
    <t>Wykonanie 
na dzień:
 31.12.2018r.</t>
  </si>
  <si>
    <t>Urzędy Wojewódzkie</t>
  </si>
  <si>
    <t>0690</t>
  </si>
  <si>
    <t>w tym:</t>
  </si>
  <si>
    <t>potracone na rzecz jst</t>
  </si>
  <si>
    <t>Dochody przekazane</t>
  </si>
  <si>
    <t>Saldo końcowe</t>
  </si>
  <si>
    <t xml:space="preserve">w tym:
</t>
  </si>
  <si>
    <t>wymagalne</t>
  </si>
  <si>
    <t>0640</t>
  </si>
  <si>
    <t>Wplywy z kosztów egzekucyjnych, opłaty komorniczej i kosztów upomnień</t>
  </si>
  <si>
    <t>Plan 
po zmianie
na: 14.12.2018r.</t>
  </si>
  <si>
    <t>Plan 
po zmianie
 na: 14.12.2018r.</t>
  </si>
  <si>
    <t>Lp.</t>
  </si>
  <si>
    <t>Wyszczególnienie źródeł</t>
  </si>
  <si>
    <t>1.</t>
  </si>
  <si>
    <t>Spłata otrzymanych krajowych pożyczek i kredytów</t>
  </si>
  <si>
    <t>2.</t>
  </si>
  <si>
    <t>3.</t>
  </si>
  <si>
    <t>4.</t>
  </si>
  <si>
    <t>5.</t>
  </si>
  <si>
    <t>6.</t>
  </si>
  <si>
    <t>RAZEM PRZYCHODY/ROZCHODY</t>
  </si>
  <si>
    <t xml:space="preserve">OGÓŁEM </t>
  </si>
  <si>
    <t>Nazwa zadania majątkowego</t>
  </si>
  <si>
    <t xml:space="preserve">Dział </t>
  </si>
  <si>
    <t>Paragraf</t>
  </si>
  <si>
    <t>Wykonawca /                   Termin realizacji</t>
  </si>
  <si>
    <t>6</t>
  </si>
  <si>
    <t>7</t>
  </si>
  <si>
    <t>8</t>
  </si>
  <si>
    <t>9</t>
  </si>
  <si>
    <t>600</t>
  </si>
  <si>
    <t>60014</t>
  </si>
  <si>
    <t>6300</t>
  </si>
  <si>
    <t>Urząd Miejski w Rogoźnie 
Została zawarta umowa 
z Powiatem obornickim 
w dniu 10.04.2018r.
Termin realizacji: 2015-2018</t>
  </si>
  <si>
    <t>2</t>
  </si>
  <si>
    <t>Urząd Miejski w Rogoźnie 
Została zawarta umowa z Powiatem obornickim
w dniu 10.04.2018r.
Termin realizacji: 2018</t>
  </si>
  <si>
    <t>3</t>
  </si>
  <si>
    <t>4</t>
  </si>
  <si>
    <r>
      <t xml:space="preserve">Budowa ulicy Seminarialnej i Długiej w Rogoźnie
</t>
    </r>
    <r>
      <rPr>
        <b/>
        <sz val="10"/>
        <rFont val="Arial CE"/>
        <charset val="238"/>
      </rPr>
      <t>w tym:</t>
    </r>
  </si>
  <si>
    <t>60016</t>
  </si>
  <si>
    <t>6050</t>
  </si>
  <si>
    <t>Urząd Miejski w Rogoźnie
Wykonawca:BIMEX sp. z o.o. sp.K. Rogoźno
Termin realizacji: 2010-2018</t>
  </si>
  <si>
    <t>etap IV na dlugości 235mb</t>
  </si>
  <si>
    <t>etap V na dlugości 1010 mb</t>
  </si>
  <si>
    <t>5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</si>
  <si>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</si>
  <si>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t>Urząd Miejski w Rogoźnie 
Wykonawca: zostanie wyłoniony w drodze zamównień publicznych
Termin realizacji: 2018</t>
  </si>
  <si>
    <t>Wykonanie dokumentacji budowy chodników i dróg na terenie gminy</t>
  </si>
  <si>
    <t>Przebudowa chodników na terenie miasta i gminy</t>
  </si>
  <si>
    <t>Przebudowa parkingów przy ul. Kościuszki w Rogoźnie
(przy ROD im. K. Marcinkowskiego)</t>
  </si>
  <si>
    <t>Urząd Miejski w Rogoźnie 
Wykonawca: ANMAK Paweł Wojtusik Rogoźno
Termin realizacji: 2018</t>
  </si>
  <si>
    <t>Przebudowa parkingu przy ul. Sądowej w Rogoźnie</t>
  </si>
  <si>
    <t>Urząd Miejski w Rogoźnie 
Wykonawca: BIMEX sp. z o.o. sp.K. Rogoźno
Termin realizacji: 2018</t>
  </si>
  <si>
    <t>10</t>
  </si>
  <si>
    <t>Budowa parkingu przy budynku ul. Kościuszki 48 w Rogoźnie</t>
  </si>
  <si>
    <t>11</t>
  </si>
  <si>
    <t>Budowa drogi w m. Grudna - etap I</t>
  </si>
  <si>
    <t>12</t>
  </si>
  <si>
    <t xml:space="preserve">Budowa drogi Pasieka Pruśce - etap I
</t>
  </si>
  <si>
    <t>Urząd Miejski w Rogoźnie 
Wykonawca: zostanie wyłoniony w drodze zamównień publicznych
Termin realizacji: 2016-2018</t>
  </si>
  <si>
    <t>13</t>
  </si>
  <si>
    <r>
      <t xml:space="preserve">Budowa progów zwalniających na ul. </t>
    </r>
    <r>
      <rPr>
        <sz val="10"/>
        <rFont val="Arial CE"/>
        <family val="2"/>
        <charset val="238"/>
      </rPr>
      <t>Dworcowej w Rogoźnie</t>
    </r>
  </si>
  <si>
    <t>14</t>
  </si>
  <si>
    <t>Budowa chodnika w m. Karolewo - etap I (kanalizacja rowu)</t>
  </si>
  <si>
    <t>Urząd Miejski w Rogoźnie 
Wykonawca: Aquabwllis sp. z o.o. w Rogoźnie
Termin realizacji: 2018</t>
  </si>
  <si>
    <t>15</t>
  </si>
  <si>
    <r>
      <t xml:space="preserve">Wykonanie projektu budowy drogi w m.Pruśce
</t>
    </r>
    <r>
      <rPr>
        <i/>
        <sz val="9"/>
        <rFont val="Arial CE"/>
        <charset val="238"/>
      </rPr>
      <t>(między drogą wojewódzką nr 241, a powiatową nr 1605P)</t>
    </r>
  </si>
  <si>
    <t>16</t>
  </si>
  <si>
    <t>Utwardzenie drogi w m. Owczegłowy</t>
  </si>
  <si>
    <t>17</t>
  </si>
  <si>
    <t>630</t>
  </si>
  <si>
    <t>63095</t>
  </si>
  <si>
    <t>6060</t>
  </si>
  <si>
    <t>18</t>
  </si>
  <si>
    <r>
      <t xml:space="preserve">Przebudowa budynku przy ul. Fabrycznej na lokale socjalne
</t>
    </r>
    <r>
      <rPr>
        <i/>
        <sz val="8"/>
        <rFont val="Arial CE"/>
        <charset val="238"/>
      </rPr>
      <t>(dofinansowanie z Fuduszu dopłat w wysokości 1.403.888,62 zł- 338.235,50 = po zmianie 1.065.653,12 zł)</t>
    </r>
  </si>
  <si>
    <t>700</t>
  </si>
  <si>
    <t>70005</t>
  </si>
  <si>
    <t>Urząd Miejski w Rogoźnie 
Wykonawca: Przedsiębiorstwo Budowlano - Handlowe "REMBUDEX" Oborniki
Termin realizacji: 2016-2018</t>
  </si>
  <si>
    <t>19</t>
  </si>
  <si>
    <t>Urząd Miejski w Rogoźnie
Termin realizacji: 2018</t>
  </si>
  <si>
    <t>20</t>
  </si>
  <si>
    <t xml:space="preserve">Zakup nieruchomości od SM w Obornikach </t>
  </si>
  <si>
    <t>Urząd Miejski w Rogoźnie
Umowa zostanła zawarta ze Spółdzielnią Mieszkaniową w Obornikach
Termin realizacji 2018-2020</t>
  </si>
  <si>
    <t>21</t>
  </si>
  <si>
    <t>Zakup urządeń wraz z oprogramowaniem do obsługi sesji Rady Miejskiej</t>
  </si>
  <si>
    <t>750</t>
  </si>
  <si>
    <t>75022</t>
  </si>
  <si>
    <t>Urząd Miejski w Rogoźnie 
Dostawca: zostanie wyłoniony w drodze zamównień publicznych
Termin realizacji: 2018</t>
  </si>
  <si>
    <t>22</t>
  </si>
  <si>
    <t>75023</t>
  </si>
  <si>
    <t>23</t>
  </si>
  <si>
    <t>Przebudowa schodów wejściowych do budynku Urzędu Miejskiego</t>
  </si>
  <si>
    <t>24</t>
  </si>
  <si>
    <t>754</t>
  </si>
  <si>
    <t>25</t>
  </si>
  <si>
    <t>26</t>
  </si>
  <si>
    <t>Rozbudowa remizy OSP Owieczki - etap IV</t>
  </si>
  <si>
    <t>75412</t>
  </si>
  <si>
    <t>Urząd Miejski w Rogoźnie 
Wykonawca: instalacji wodno-kanalizacyjnej i grzewczej - INSTAL Kmak Sławomir Rogoźno; dostwca materiałów - SANET Sławomir Ruks Rogoźno
Termin realizacji: 2015-2018</t>
  </si>
  <si>
    <t>27</t>
  </si>
  <si>
    <t>28</t>
  </si>
  <si>
    <t>29</t>
  </si>
  <si>
    <t>Dofinansowanie zakupu zestawu ratownictwa drogowego dla OSP Gościejewo</t>
  </si>
  <si>
    <t>6230</t>
  </si>
  <si>
    <t>UrzMiejski w Rogoźnie
Została podpisana umowa z OSP Gosciejewo w dniu 14.08.2018r.
Termin realizacji: 2018</t>
  </si>
  <si>
    <t>30</t>
  </si>
  <si>
    <t>Zakup samochodu oznakowanego dla Straży Miejskiej w Rogoźnie</t>
  </si>
  <si>
    <t>75416</t>
  </si>
  <si>
    <t>Urząd Miejski w Rogoźnie 
Dostawca: Pieluszyńska Sp. z o.o. Suchy Las
Termin realizacji: 2018</t>
  </si>
  <si>
    <t>31</t>
  </si>
  <si>
    <t>Przebudowa boiska wielofunkcyjnego w Szkole Podstawowej nr 2 w Rogoźnie</t>
  </si>
  <si>
    <t>801</t>
  </si>
  <si>
    <t>80101</t>
  </si>
  <si>
    <t>Urząd Miejski w Rogoźnie 
Wykonawca: zostanie wyłoniony w drodze zamównień publicznych
Termin realizacji: 2018-2019</t>
  </si>
  <si>
    <t>32</t>
  </si>
  <si>
    <t>Budowa placu zabaw przy Szkole Podstawowej nr 3 ul. Kościuszki 28 w Rogoźnie</t>
  </si>
  <si>
    <t>Szkoła Podstawowa nr 3 w Rogoźnie
Wykonawca: AKTIV Place Zabaw Jausz Wachowiak Plewiska
Termin realizacji: 2018</t>
  </si>
  <si>
    <t>33</t>
  </si>
  <si>
    <t xml:space="preserve">Zakup taboretu gazowego </t>
  </si>
  <si>
    <t>80148</t>
  </si>
  <si>
    <t>Szkoła Podstawowa nr 3 w Rogoźnie
Dostawca: Łódzkie Zakłady Metalowe "LOZAMET"
 sp. z o.o. Łódż
Termin realizacji: 2018</t>
  </si>
  <si>
    <t>34</t>
  </si>
  <si>
    <t>Dofinansowanie do zakupu karetki dla SP ZOZ w Obornikach</t>
  </si>
  <si>
    <t>851</t>
  </si>
  <si>
    <t>85111</t>
  </si>
  <si>
    <t>6220</t>
  </si>
  <si>
    <t>Urząd Miejski w Rogoźnie
Umowa dofinansowania została zawarta z SP ZOZ w Obornikach w dniu 13.08.2018r.</t>
  </si>
  <si>
    <t>35</t>
  </si>
  <si>
    <t>36</t>
  </si>
  <si>
    <t>Zakupy inwestycyjne:
- Aparat USG z głowicą ENDO, głowicą brzuszną i głowica liniową;
- Kardiotokograf;
- Detektor</t>
  </si>
  <si>
    <t>85195</t>
  </si>
  <si>
    <t>Urząd Miejski w Rogoźnie
Dostawca: zostanie wyłoniony w drodze zamówien publicznych
Termin realizacji: 2018</t>
  </si>
  <si>
    <t>37</t>
  </si>
  <si>
    <r>
      <t xml:space="preserve">Przebudowa budynku z przeznaczeniem na Środowiskowy Dom Samopomocy w Rogoźnie 
</t>
    </r>
    <r>
      <rPr>
        <i/>
        <sz val="10"/>
        <rFont val="Arial CE"/>
        <charset val="238"/>
      </rPr>
      <t>(dotacja celowa z budżetu państwa - zadanie zlecone 1.013.010 zł)</t>
    </r>
  </si>
  <si>
    <t>852</t>
  </si>
  <si>
    <t>85203</t>
  </si>
  <si>
    <t>Urząd Miejski w Rogoźnie
Wykonawca: Centrum Integracji Społecznej w Rogoźnie
Termin realizacji: 2018</t>
  </si>
  <si>
    <t>38</t>
  </si>
  <si>
    <t>Dofinansowanie budowy przydomowych oczyszczalni ścieków na terenie gminy Rogoźno</t>
  </si>
  <si>
    <t>900</t>
  </si>
  <si>
    <t>90001</t>
  </si>
  <si>
    <t>39</t>
  </si>
  <si>
    <t>Wykonanie przyłączy kanalizacji sanitarnej podciśnieniowej i grawitacyjnej</t>
  </si>
  <si>
    <t>Urząd Miejski w Rogoźnie 
Wykonawca:  Aquabellis sp. z o.o. w Rogoźnie
Termin realizacji: 2018</t>
  </si>
  <si>
    <t>40</t>
  </si>
  <si>
    <t>Dofinansowanie wymiany źródeł ciepła w budynkach i lokalach mieszkalnych zlokalizowanych na terenie gminy Rogoźno</t>
  </si>
  <si>
    <t>90005</t>
  </si>
  <si>
    <t>41</t>
  </si>
  <si>
    <t>Wykonanie dokumentacji technicznej budowy oświetlenia na terenie gminy</t>
  </si>
  <si>
    <t>90015</t>
  </si>
  <si>
    <t>Urząd Miejski w Rogoźnie
Wykonawca: zostanie wyłoniony w drodze zamówień publicznych
Termin realizacji: 2018</t>
  </si>
  <si>
    <t>42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</si>
  <si>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</si>
  <si>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</si>
  <si>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Została zawarta umowa z Gminą Oborniki
w dniu 10.05.2018r.
Termin realizacji: 2018</t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</si>
  <si>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 - 10.300 zł i środki z budżetu 8.558,83)</t>
    </r>
  </si>
  <si>
    <t>921</t>
  </si>
  <si>
    <t>92109</t>
  </si>
  <si>
    <t>Dotacja celowa na zakup samochodu dla RCK</t>
  </si>
  <si>
    <t>Urząd Miejski w Rogoźnie 
Zostanie zawarta umowa z Rogozińskim Centrum Kultury w Rogoźnie
Termin realizacji: 2018</t>
  </si>
  <si>
    <t>Modernizacja oraz wyposażenie Muzeum Regionalnego im. Wojciechy Dutkiewicz w Rogoźnie wraz z zagospodarowaniem otoczenia Placu Karola Marcinkowskiego</t>
  </si>
  <si>
    <t>92118</t>
  </si>
  <si>
    <t>Urząd Miejski w Rogoźnie 
Wykonawca:  
1)PBH "REMBUDEX" Oborniki;
2) BIMEX Sp. z o.o. Sp. K. Rogoźno
Termin realizacji: 2015-2018</t>
  </si>
  <si>
    <t>6057</t>
  </si>
  <si>
    <t>6059</t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</si>
  <si>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 5.606,59 zł)</t>
    </r>
  </si>
  <si>
    <t>926</t>
  </si>
  <si>
    <t>92601</t>
  </si>
  <si>
    <t>Urząd Miejski w Rogoźnie 
Wykonawca: zostanie wyłoniony w drodze zamównień publicznych
Termin realizacji: 2017- 2018</t>
  </si>
  <si>
    <t>Centrum Sportowo - Rekreacyjne nad Jeziorem Rogozińskim</t>
  </si>
  <si>
    <t>Urząd Miejski w Rogoźnie 
Wykonawcy: 
1)FIRMA MARBUT Czernichów - zakup wyposażenia;
2) FUHP MIX-BUD Kowanowo - dostawa i montaż kontenerów;
3) K Power Rogoźno - monitoring;
4) ZPHU WIS-POL Rogoźno - wykonanie altan i wiaty;
5) grupa HYDRO s. Mosina - roboty budowlane, plac zabaw, siłownia zewnetrzna oraz boisko do piłki siatkowej plażowej.
Umowy zawarte w m-cu lipcu 2018r.
Trmin realizacji: 2018</t>
  </si>
  <si>
    <t>Budżet Gminy poza projektem</t>
  </si>
  <si>
    <t>EFMR</t>
  </si>
  <si>
    <t>6058</t>
  </si>
  <si>
    <t>Budżet Państwa</t>
  </si>
  <si>
    <t>Budżet Gminy</t>
  </si>
  <si>
    <t xml:space="preserve">Budowa otwartej strefy aktywności wariant rozszerzony przy ul.Nowej 
w Rogoźnie
w tym: dofinansowanie z Ministerstwa Sportu i Turystyki 50.000 zł
</t>
  </si>
  <si>
    <t>budżet państwa (MSiT)</t>
  </si>
  <si>
    <t>udział własny</t>
  </si>
  <si>
    <t>Zakup kosiarki samojezdnej dla sołectwa Tarnowo</t>
  </si>
  <si>
    <t>Urząd Miejski w Rogoźnie
Dostawca: STHIL Rogoźno
Termin realizacji: 2018</t>
  </si>
  <si>
    <t>RAZEM:</t>
  </si>
  <si>
    <t xml:space="preserve">                                                            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</si>
  <si>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</si>
  <si>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</si>
  <si>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</si>
  <si>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</si>
  <si>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</si>
  <si>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</si>
  <si>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</si>
  <si>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</si>
  <si>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</si>
  <si>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</si>
  <si>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</si>
  <si>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</si>
  <si>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</si>
  <si>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</si>
  <si>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</si>
  <si>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</si>
  <si>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Gimnazja</t>
  </si>
  <si>
    <t xml:space="preserve">Dotacje celowe przekazane dla powiatu na zadania bieżące realizowane na podstawie porozumień (umów)  między jednostkami samorządu terytorialnego </t>
  </si>
  <si>
    <t>Dotacja celowa na pomoc finansową udzieloną między jednostkami samorządu terytorialnego na dofiansowanie własnych zadań bieżących</t>
  </si>
  <si>
    <t>Ochrona zdrowia</t>
  </si>
  <si>
    <t>Przeciwdziałanie alkoholizmowi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</si>
  <si>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</si>
  <si>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</si>
  <si>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</si>
  <si>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</si>
  <si>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</si>
  <si>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Zakład gospodarki mieszkaniowej</t>
  </si>
  <si>
    <t>Dotacja przedmiotowa z budżetu dla samorządowego zakładu budżetowego</t>
  </si>
  <si>
    <t>Centra integracji społecznej</t>
  </si>
  <si>
    <t xml:space="preserve">II. </t>
  </si>
  <si>
    <t>Dotacje dla jednostek spoza sektora finansów publicznych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</si>
  <si>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</si>
  <si>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</si>
  <si>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</si>
  <si>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</si>
  <si>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</si>
  <si>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</si>
  <si>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</si>
  <si>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</si>
  <si>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</si>
  <si>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</si>
  <si>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</si>
  <si>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</si>
  <si>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</si>
  <si>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</si>
  <si>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</si>
  <si>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</si>
  <si>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</si>
  <si>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</si>
  <si>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</si>
  <si>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Transport i łączność</t>
  </si>
  <si>
    <t>Drogi publiczne powiatowe</t>
  </si>
  <si>
    <t>Szpitale ogólne</t>
  </si>
  <si>
    <t>Dotacje z budżetu na finansowanie lub dofinansowanie kosztów realizacji inwestycji i zakupów inwestycyjnych innych jednostek sektora finansów publicznych</t>
  </si>
  <si>
    <t>Bepieczeństwo publiczne i ochrona przeciwpożarowa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</si>
  <si>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</si>
  <si>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</si>
  <si>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</si>
  <si>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</si>
  <si>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OGÓŁEM: bieżące i majątkowe</t>
  </si>
  <si>
    <t xml:space="preserve">Nazwa zakładu budżetowego
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</si>
  <si>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</si>
  <si>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</si>
  <si>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</si>
  <si>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</si>
  <si>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</si>
  <si>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</si>
  <si>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</si>
  <si>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</si>
  <si>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 Kosztów eksploatacji mieszkań komunalnych w budynkach Wspólnot Mieszkaniowych o pow. 11.921,60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29,52zł/m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</si>
  <si>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2)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508,62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</si>
  <si>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3) Kosztów eksploatacji lokali z wyrokami eksmisyjnymi o pow. 1.836,94m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39,86zł/m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</si>
  <si>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Centrum Integracji Społecznej</t>
  </si>
  <si>
    <t xml:space="preserve">1) kosztów uczestnikow zajęć i pracowników Centrum 41 osób x 3.658,54zł 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</si>
  <si>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</si>
  <si>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</si>
  <si>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</si>
  <si>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DOCHODY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</si>
  <si>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</si>
  <si>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</si>
  <si>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</si>
  <si>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</si>
  <si>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</si>
  <si>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</si>
  <si>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Zwalczanie narkomanii</t>
  </si>
  <si>
    <t>Dotacja celowa na pomoc finansową udzieloną między jednostkami samorządu terytorialnego na dofinansowanie własnych zadań bieżących</t>
  </si>
  <si>
    <t xml:space="preserve">                                                                     </t>
  </si>
  <si>
    <t xml:space="preserve"> między jednostkami samorządu terytorialnego i  organami administracji rządowej w 2018 roku
</t>
  </si>
  <si>
    <t xml:space="preserve">Porozumienia z jednostkami samorządu terytorialnego </t>
  </si>
  <si>
    <t>Plan po zmianie na 30.10.2018r.</t>
  </si>
  <si>
    <t>Drogi publiczne wojewódzkie</t>
  </si>
  <si>
    <t>Dotacje celowe otrzymane od samorządu województwa na zadania bieżące realizowane na podstawie porozumień (umów) między jednostkami samorządu terytorialnego</t>
  </si>
  <si>
    <t>Dotacje celowe otrzymane z gminy na zadania bieżące realizowane na podstawie porozumień (umów) między jednostkami samorządu terytorialnego</t>
  </si>
  <si>
    <t>Pozozumienia między organami administracji rządowej</t>
  </si>
  <si>
    <t>Kultura fizyczna</t>
  </si>
  <si>
    <t>Obiekty sportowe</t>
  </si>
  <si>
    <t>Dotacja celowa otrzymana z budżetu państwa na inwestycje i zakupy inwestycyjne realizowane przez gmnę na podstawie porozumień z organami administracji rządowej</t>
  </si>
  <si>
    <t>OGÓŁEM (pkt 1+ pkt 2):</t>
  </si>
  <si>
    <t>Sołectwo</t>
  </si>
  <si>
    <t xml:space="preserve">Transport i łączność </t>
  </si>
  <si>
    <t>Drogi publiczne gminne</t>
  </si>
  <si>
    <t>4210</t>
  </si>
  <si>
    <t>Budziszewko</t>
  </si>
  <si>
    <t>Zakup kamienia do utwardzenia dróg</t>
  </si>
  <si>
    <t>Garbatka</t>
  </si>
  <si>
    <t xml:space="preserve">Remont dróg gminnych </t>
  </si>
  <si>
    <t>Karolewo</t>
  </si>
  <si>
    <t>Zakup kruszywa na remont dróg gminnych</t>
  </si>
  <si>
    <t>Laskowo</t>
  </si>
  <si>
    <t>Zakup kruszywa na utwardzenie dróg gruntowych</t>
  </si>
  <si>
    <t>Nienawiszcz</t>
  </si>
  <si>
    <t>Naprawa dróg gminnych</t>
  </si>
  <si>
    <t>Pruśce</t>
  </si>
  <si>
    <t>Zakup kryszywa w celu utwardzenia drogi</t>
  </si>
  <si>
    <t>4300</t>
  </si>
  <si>
    <t>Gościejewo</t>
  </si>
  <si>
    <t>Pielęgnacja poboczy gminych</t>
  </si>
  <si>
    <t>Jaracz</t>
  </si>
  <si>
    <t>Utwardzenie dróg gruntowych</t>
  </si>
  <si>
    <t>Utrzymanie dróg gminnych</t>
  </si>
  <si>
    <t>Parkowo</t>
  </si>
  <si>
    <t xml:space="preserve">Równanie dróg </t>
  </si>
  <si>
    <t>Studzieniec</t>
  </si>
  <si>
    <t>Zakup gruzu i wyrównanie drogi w Miedzylesiu</t>
  </si>
  <si>
    <t>Owieczki</t>
  </si>
  <si>
    <t>Budowa parkingu przy drodze gminnej</t>
  </si>
  <si>
    <t>Turystyka</t>
  </si>
  <si>
    <t>Słomowo</t>
  </si>
  <si>
    <t>Zakup siłowni zewnętrznej</t>
  </si>
  <si>
    <t>Doposażenie placu zabaw</t>
  </si>
  <si>
    <t xml:space="preserve">Bezpieczeństwo publiczne i ochrona przeciwpożarowa </t>
  </si>
  <si>
    <t>Wsparcie działalności OSP</t>
  </si>
  <si>
    <t>Wyłożenie kostą brukową wjazdu na płytę na plac OSP</t>
  </si>
  <si>
    <t>Wydatki  inwestycyjne jednostek budżetowych</t>
  </si>
  <si>
    <t>Przebudowa istniejącego budynku gospodarczego na placu OSP Parkowo</t>
  </si>
  <si>
    <t>Wydatki na zakuy inwestycyjne jednostek budżetowych</t>
  </si>
  <si>
    <t>Zakup kontenera socjalnego z kabinami WC na plac OSP</t>
  </si>
  <si>
    <t>80104</t>
  </si>
  <si>
    <t>80195</t>
  </si>
  <si>
    <t>Zakup kamer dla Szkoły Podstawowej w Budziszewku</t>
  </si>
  <si>
    <t>Zakup wyposażenia dla Przedszkola w Parkowie</t>
  </si>
  <si>
    <t>Wsparcie działań Przedszkola w Parkowie</t>
  </si>
  <si>
    <t>90004</t>
  </si>
  <si>
    <t>Utrzymanie zieleni w miastach i gminach</t>
  </si>
  <si>
    <t>Boguniewo</t>
  </si>
  <si>
    <t>Utrzymanie zieleni i ogródka jordanowskiego</t>
  </si>
  <si>
    <t>Utrzymanie zieleni w sołectwie</t>
  </si>
  <si>
    <t>Pielęgnacja Parku Wiejskiego</t>
  </si>
  <si>
    <t>Utrzymanie i pielęgnacja terenów zielonych</t>
  </si>
  <si>
    <t>Utrzymanie i pielęgnacja wiejskich terenów zielonych</t>
  </si>
  <si>
    <t>Tarnowo</t>
  </si>
  <si>
    <t>Utrzymanie terenów zieleni wiejskiej</t>
  </si>
  <si>
    <t>4170</t>
  </si>
  <si>
    <t>Utrzymanie boiska i terenów zielonych - wynagrodzenie dla konserwatora zieleni</t>
  </si>
  <si>
    <t>Oświetlenie ulic, placów i dróg</t>
  </si>
  <si>
    <t>Ruda</t>
  </si>
  <si>
    <t>Zamontowanie oświetlena na działce nr 582</t>
  </si>
  <si>
    <t>4110</t>
  </si>
  <si>
    <t xml:space="preserve">Owczegłowy </t>
  </si>
  <si>
    <t xml:space="preserve">Nasza świetlica nośnikiem kultury  - gospodzarz obiektu </t>
  </si>
  <si>
    <t>4120</t>
  </si>
  <si>
    <t>Wynagrodzenie dla palacza</t>
  </si>
  <si>
    <t>Utzrymanie świetlicy wiejskiej - wynagrodzenie dla palacza i obsługi</t>
  </si>
  <si>
    <t>Utrzymanie i wyposażenie świetlicy</t>
  </si>
  <si>
    <t>Zakup wraz z montażem okien i parapetów w świetlicy wiejskiej</t>
  </si>
  <si>
    <t>Kaziopole</t>
  </si>
  <si>
    <t>Utrzymanie świetlicy i terenu wokół
Zakup lodówki, wyposażenia kuchni i klimatyzacji</t>
  </si>
  <si>
    <t>Doposażenie świetlicy wiejskiej</t>
  </si>
  <si>
    <t>Wymiana podłogi w świetlicy</t>
  </si>
  <si>
    <t>Owczegłowy</t>
  </si>
  <si>
    <t>Nasza świetlica nośnikiem kultury  - zakup materiałów</t>
  </si>
  <si>
    <t>Utrzymanie i wyposażenie świetlicy wiejskiej</t>
  </si>
  <si>
    <t>Poprawa wizerunku świetlicy i jej obejścia</t>
  </si>
  <si>
    <t>Utrzymanie świetlicy wiejskiej - zakup wyposażenia i materiałów</t>
  </si>
  <si>
    <t>Utzrymanie świelicy zakup opału - 3.000,00 zł
Zakup materialów - 3.323,27 zł</t>
  </si>
  <si>
    <t>Utrzymanie Sali Centrum Integracji</t>
  </si>
  <si>
    <t>Nasza świetlica nośnikiem kultury  - zakup usług</t>
  </si>
  <si>
    <t>Utrzymanie świetlicy wiejskiej - zakup usług</t>
  </si>
  <si>
    <t>4360</t>
  </si>
  <si>
    <t>Zakup usług dostępu do sieci Internet</t>
  </si>
  <si>
    <t xml:space="preserve">Nasza świetlica nośnikiem kultury  </t>
  </si>
  <si>
    <t>Budowa zadaszenia - wiaty przed świetlica wiejską</t>
  </si>
  <si>
    <t>Budowa wiaty zewnętrznej przy sali wiejskiej</t>
  </si>
  <si>
    <t>92116</t>
  </si>
  <si>
    <t xml:space="preserve">Biblioteki </t>
  </si>
  <si>
    <t>Wsparcie działań Biblioteki Publicznej w Parkowie</t>
  </si>
  <si>
    <t>92195</t>
  </si>
  <si>
    <t>Organizacja imprez kulturalno sportowych - wynagrodzenie za usługe muzyczną</t>
  </si>
  <si>
    <t>Organizacja imprez kulturalno – sportowych</t>
  </si>
  <si>
    <t>Organizacja imprez kulturalnych</t>
  </si>
  <si>
    <t xml:space="preserve">Organizacja imprez kulturalnych </t>
  </si>
  <si>
    <t>Spotkania integracyjne</t>
  </si>
  <si>
    <t>Razem lepiej i weselej - festyny rodzinne, konkursy</t>
  </si>
  <si>
    <t>Organizacja imprez kulturalnych i oświatowych</t>
  </si>
  <si>
    <t>Organizacja festynów wiejskich</t>
  </si>
  <si>
    <t>Organizacja imprez kulturalno - sportowych - 2.083,67 zł
Zakup drewna na ławki - 500,00 zł
Zakup namiotu na potrzeby spotkań -1.000,00 zł</t>
  </si>
  <si>
    <t>Organizacja imprez kulturalno  - sportowych</t>
  </si>
  <si>
    <t>Organizacja imprez dla dzieci i mieszkańców</t>
  </si>
  <si>
    <t>Organizacja warsztatów edukacyjno - integracyjnych " Promocja regionów Wielkopolska- Pieniny, Święto Pyry"</t>
  </si>
  <si>
    <t>Organizowanie imprez kulturalno – sportowych</t>
  </si>
  <si>
    <t>Organizacja imprez o charakterze kulturalnym i sportowym</t>
  </si>
  <si>
    <t>Organizacja festynów wiejskich -wyjazd  dzieci</t>
  </si>
  <si>
    <t>Budowa wiaty biesiadnej wraz z budynkiem przyległym - etap II</t>
  </si>
  <si>
    <t xml:space="preserve">Poprawa estetyki terenu przy amfiteatrze wraz  z zagospodarowaniem miejsca rekreacji i sportu i wykonaniem monitoringu </t>
  </si>
  <si>
    <t>92695</t>
  </si>
  <si>
    <t>Utrzymanie boisk wiejskich</t>
  </si>
  <si>
    <t>1) Pielęgnacja zieleni na boisku sportowym</t>
  </si>
  <si>
    <t>Utrzymanie boiska sportowego i terenu wokół</t>
  </si>
  <si>
    <t>Prace pielęgnacyjne na stadionie sportowym Gościejewo</t>
  </si>
  <si>
    <t xml:space="preserve">Utrzymanie boiska sportowego </t>
  </si>
  <si>
    <t>Utrzymanie boiska wiejskiego</t>
  </si>
  <si>
    <t>Ruch to zdrowie - utrzymanie i organizacja centrum sportowo-rekreacyjno-wypoczynkowego przy świetlicy wiejskiej</t>
  </si>
  <si>
    <t>Utrzymanie boiska i placu zabaw</t>
  </si>
  <si>
    <t>Organizacja imprez sportowych i dbanie o boiska i place zabaw</t>
  </si>
  <si>
    <t>Prace pielęgnacyjne na boisku sportowym i placu zabaw</t>
  </si>
  <si>
    <t>Kultura i sport - zakup materialów</t>
  </si>
  <si>
    <t>Prace pielęgnacyjne na stadionie sportowym w Gościejewie</t>
  </si>
  <si>
    <t>Razem:</t>
  </si>
  <si>
    <t>z tego:</t>
  </si>
  <si>
    <t>wydatki bieżące</t>
  </si>
  <si>
    <t>wydatki majątkowe</t>
  </si>
  <si>
    <t>Nazwa sołectwa/ przedsięwzięcia</t>
  </si>
  <si>
    <t>Liczba mieszkańców
na dzień 30.06.2017r.</t>
  </si>
  <si>
    <t>Plan funduszu sołeckiego</t>
  </si>
  <si>
    <t>Wykonanie</t>
  </si>
  <si>
    <t>Budowa zadaszenia - wiaty przed świetlica wijską</t>
  </si>
  <si>
    <t>Utrzymanie zieleni i ogródka Jordanowskiego</t>
  </si>
  <si>
    <t>Organizacja imprez kulturalno-sportowych w tym: wsparcie Koła Gospodyń Wiejskich</t>
  </si>
  <si>
    <t>Utrzymanie dróg gminnych - zakup kamienia</t>
  </si>
  <si>
    <t>Zakup kamer dla SP w Budziszewku</t>
  </si>
  <si>
    <t>Organizacja imprez kulturalno-sportowych</t>
  </si>
  <si>
    <t>Pielęgnacja zieleni na boisku sportowym</t>
  </si>
  <si>
    <t>Budowa wiaty biesiadnej wraz z budynkiem przyległym -etap II</t>
  </si>
  <si>
    <t>Zakup paliwa do remontu dróg gminnych</t>
  </si>
  <si>
    <t>Wyposażenie i utrzymanie świetlicy wiejskiej i terenu wokół</t>
  </si>
  <si>
    <t>Organizacja imprez kulturalnych i modernizacja tablic ogłoszeniowych</t>
  </si>
  <si>
    <t>Poprawa estetyki przy Amfiteatrze wraz z zagospodarowaniem miejsca rekreacji i sportu wraz z wykonaniem monitoringu</t>
  </si>
  <si>
    <t>Poprawa estetyki i bezpieczeństwa terenu przy Amfiteatrze i sali wiejskiej</t>
  </si>
  <si>
    <t>Pielęgnacja poboczy gminnych</t>
  </si>
  <si>
    <t xml:space="preserve">Zakup wyposażenia do sali wiejskiej oraz jej utrzymanie </t>
  </si>
  <si>
    <t>Organizacja imprez kulturalno-sportowych oraz zakup tablicy informacyjnej</t>
  </si>
  <si>
    <t xml:space="preserve">Prace pielęgnacyjne na boisku sportowym </t>
  </si>
  <si>
    <t>Zakup materiałów na budowę wiaty zewnątrznej przy sali wiejskiej</t>
  </si>
  <si>
    <t xml:space="preserve">Utwardzenie dróg gruntowych </t>
  </si>
  <si>
    <t>Zakup artykułów edukacyjnych dla Przedszkola w Parkowie</t>
  </si>
  <si>
    <t>Utrzymanie porządku, czystości świetlicy, terenu przy świetlicy i placu zabaw</t>
  </si>
  <si>
    <t>Zakup wieńca dożynkowego</t>
  </si>
  <si>
    <t>Zakup materialów do wykonania tablic informacyjnych</t>
  </si>
  <si>
    <t>Zakup wraz z montażem okien i parapetów do świetlicy wiejskiej</t>
  </si>
  <si>
    <t>Zakup tablicy wolnostojącej</t>
  </si>
  <si>
    <t>Utrzymanie boiska sportowego</t>
  </si>
  <si>
    <t>7.</t>
  </si>
  <si>
    <t>Utrzymanie swietlicy i terenu wokół - zakup wyposażenia kuchni i klimatyzacji</t>
  </si>
  <si>
    <t>8.</t>
  </si>
  <si>
    <t>Kultywowanie tradycji święcenia pól</t>
  </si>
  <si>
    <t>9.</t>
  </si>
  <si>
    <t>Naprawa drógi gminnych</t>
  </si>
  <si>
    <t>Utrzymanie świetlicy - całkowita wymiana podłogi</t>
  </si>
  <si>
    <t>Spotkanie integracyjne mieszkańców</t>
  </si>
  <si>
    <t>10.</t>
  </si>
  <si>
    <t>Ruch to zdrowie - Utrzymanie i organizacja centrum sportowo-rekreacyjno-wypoczynkowego przy świetlicy wiejskiej</t>
  </si>
  <si>
    <t>Nasza świetlica nośnikiem kultury</t>
  </si>
  <si>
    <t>Festyn rodzinny - razem lepiej i weselej</t>
  </si>
  <si>
    <t>11.</t>
  </si>
  <si>
    <t>12.</t>
  </si>
  <si>
    <t>Równanie dróg gruntowych, wykaszanie i wyczyszcceniae rowów przy drodze słomowskiej</t>
  </si>
  <si>
    <t>Przebudowa istniejącego budynku gospodarczego na placu OSP</t>
  </si>
  <si>
    <t>Zakup kontenera socjalnego z kabinami WC</t>
  </si>
  <si>
    <t>Wyłożenie kostką wjazdu i dojścia na płytę na placu OSP</t>
  </si>
  <si>
    <t>Wsparcie działań biblioteki publicznej</t>
  </si>
  <si>
    <t>Organizacja imprez sportowych, dbanie o boiska i place zabaw</t>
  </si>
  <si>
    <t>13.</t>
  </si>
  <si>
    <t>Zakup kruszywa i utwardzenie dróg gminnych</t>
  </si>
  <si>
    <t>Zakup wyposażenie dla OSP w Pruścach</t>
  </si>
  <si>
    <t>Wykonanie tarasu - wiaty za salą OSP</t>
  </si>
  <si>
    <t>Utrzymanie boisk wiejskich w Pruścach i Siernikach</t>
  </si>
  <si>
    <t>Zakup elementów siłowni zewnetrzej na boisko wiejskie w Siernikach</t>
  </si>
  <si>
    <t>14.</t>
  </si>
  <si>
    <t>Zamontowanie oświetlenia na działce 582</t>
  </si>
  <si>
    <t>Organizacja imprez kulturalnych i sportowych - pikniki rozdzinne</t>
  </si>
  <si>
    <t>Zakup drewna na ławki</t>
  </si>
  <si>
    <t>Zakup namiotu</t>
  </si>
  <si>
    <t>15.</t>
  </si>
  <si>
    <t>Wsparcie działalności przedszkola " Słonbeczne Skrzaty " w Parkowie</t>
  </si>
  <si>
    <t>Wsparcie działalności Szkoły w Parkowie</t>
  </si>
  <si>
    <t>Pielęgnacja i utrzymanie terenów zielonych</t>
  </si>
  <si>
    <t>Utrzymanie świetlicy wiejskiej</t>
  </si>
  <si>
    <t>Organizacja imprez kulturalnych i sportowych</t>
  </si>
  <si>
    <t>16.</t>
  </si>
  <si>
    <t>Zakup gruzu i wyrównanie drogi</t>
  </si>
  <si>
    <t>Utrzmanie terenów zielonych i pielęgnacja boiska</t>
  </si>
  <si>
    <t>Zakup kosiarki dla wsi Międzylesie</t>
  </si>
  <si>
    <t>Utyrzymanie świetlicy i zakup opału</t>
  </si>
  <si>
    <t xml:space="preserve">Kultura i sport </t>
  </si>
  <si>
    <t>17.</t>
  </si>
  <si>
    <t>Organizacja warsztatów edukacyjno-integracyjnych</t>
  </si>
  <si>
    <t>Aktywne lato na wsi</t>
  </si>
  <si>
    <t>Organizacja festynu środowiskowego</t>
  </si>
  <si>
    <t>Urządzenie i wyposażenie Centrum Intergacji</t>
  </si>
  <si>
    <t xml:space="preserve">                                                       </t>
  </si>
  <si>
    <t>Wpływy i wydatki związane z gromadzeniem środków z opłat i kar za korzystanie ze środowiska</t>
  </si>
  <si>
    <t>Wpływy z różnych opłat</t>
  </si>
  <si>
    <t xml:space="preserve"> WYDATKI</t>
  </si>
  <si>
    <t xml:space="preserve">Plan </t>
  </si>
  <si>
    <t>Gospodarka ściekowa i ochrona środowiska</t>
  </si>
  <si>
    <t xml:space="preserve">Plan  i wykonanie dochodów, dotacji i wydatków związanych z realizacją zadań  z zakresu administracji rządowej i innych zadań zleconych gminie ustawami w 2018 roku </t>
  </si>
  <si>
    <t xml:space="preserve">Zwroty dotacji 
</t>
  </si>
  <si>
    <t>x</t>
  </si>
  <si>
    <t>Plan i wykonanie dochodów i wydatków związanych z realizacją zadań wykonywanych na podstawie porozumień</t>
  </si>
  <si>
    <t>PLAN I WYKONANIE</t>
  </si>
  <si>
    <t>ZESTAWIENIE PLANOWANYCH I WYKONANYCH KWOT DOTACJI W 2018 ROKU</t>
  </si>
  <si>
    <t xml:space="preserve">Załącznik nr 5 do sprawozdania opisowego </t>
  </si>
  <si>
    <t xml:space="preserve">Załącznik nr 6 do sprawozdania opisowego </t>
  </si>
  <si>
    <t>Załącznik nr 10 do sprawpzdania opisowego</t>
  </si>
  <si>
    <t>Plan i wykonanie dochodów i wydatków z opłat i kar za korzystanie
 ze środowiska w  2018 roku</t>
  </si>
  <si>
    <t>PLAN I WYKONANIE PRZYCHODÓW I KOSZTÓW ZAKŁADU BUDŻETOWEGO GMINY ROGOŹNO W 2018 ROKU</t>
  </si>
  <si>
    <t>Załącznik nr 11 do sprawozdania opisowego</t>
  </si>
  <si>
    <t>PLAN I WYKONANIE DOCHODÓW Z TYTUŁU WYDAWANIA ZEZWOLEŃ NA SPRZEDAŻ</t>
  </si>
  <si>
    <t>W 2018 ROKU</t>
  </si>
  <si>
    <t>WYKONANIE</t>
  </si>
  <si>
    <t>Plan po zmianie na 31.12.2018r.</t>
  </si>
  <si>
    <t>Tabela nr 1 do załącznika nr 12</t>
  </si>
  <si>
    <t>PLAN I WYKONANIE WYDATKÓW NA PRZEDSIĘWIĘCIA W RAMACH FUNDUSZU SOŁECKIEGO W 2018 ROKU</t>
  </si>
  <si>
    <t>PLAN 2018 roku</t>
  </si>
  <si>
    <t>Przychodów</t>
  </si>
  <si>
    <t>Rozchodów</t>
  </si>
  <si>
    <t>Wykonanie 2018 roku</t>
  </si>
  <si>
    <r>
      <t xml:space="preserve">Wolne środki, o których mowa w art. 217 ust. 2 pkt 6 ustawy </t>
    </r>
    <r>
      <rPr>
        <b/>
        <i/>
        <sz val="11"/>
        <rFont val="Arial CE"/>
        <family val="2"/>
        <charset val="238"/>
      </rPr>
      <t xml:space="preserve">- </t>
    </r>
    <r>
      <rPr>
        <i/>
        <sz val="11"/>
        <rFont val="Arial CE"/>
        <family val="2"/>
        <charset val="238"/>
      </rPr>
      <t>wprowadzone 28.02.2018r.</t>
    </r>
  </si>
  <si>
    <t xml:space="preserve">Przychody z zaciągniętych pożyczek i kredytów na rynku krajowym </t>
  </si>
  <si>
    <t>- pożyczki z BGK (JESSICA2)</t>
  </si>
  <si>
    <t>z tytułu:</t>
  </si>
  <si>
    <t>- kredytu z BGK</t>
  </si>
  <si>
    <t xml:space="preserve">  NADWYŻKI BUDŻETOWEJ W 2018 ROKU</t>
  </si>
  <si>
    <t>PRZYCHODÓW I ROZCHODÓW ZWIĄZANY Z FINANSOWANIEM DEFICYTU I ROZDYSPONOWANIEM</t>
  </si>
  <si>
    <t>WYKAZ PLANOWANYCH I WYKONANYCH WYDATKÓW MAJĄTKOWYCH GMINY UJĘTYCH W PLANIE BUDŻETU W 2018 ROKU</t>
  </si>
  <si>
    <t>Załącznik nr 4 do sprawozdania opisowego</t>
  </si>
  <si>
    <t>Wykonanie 
na dzień: 31.12.2018r.</t>
  </si>
  <si>
    <t>Planowane środki finansowe
 na  dzień: 31.12.2018 r.</t>
  </si>
  <si>
    <t>wydatki, które nie wygasają z upływem 2018 roku</t>
  </si>
  <si>
    <t>Przebudowa istniejącego budynku gospodarczego na placu OSP Parkowo(Przedsięwzięcie funduszu sołeckiego wsi Parkowo)</t>
  </si>
  <si>
    <t>01042</t>
  </si>
  <si>
    <t>Wyłączenie z produkcji gruntów rolnych</t>
  </si>
  <si>
    <t>20 000,00</t>
  </si>
  <si>
    <t>2710</t>
  </si>
  <si>
    <t>Dotacja celowa otrzymana z tytułu pomocy finansowej udzielanej między jednostkami samorządu terytorialnego na dofinansowanie własnych zadań bieżących</t>
  </si>
  <si>
    <t>Dotacja celowa otrzymana z tytułu pomocy finansowej udzielanej między jednostkami samorządu terytorialnego na dofinansowanie własnych zadań inwestycyjnych i zakupów inwestycyjnych</t>
  </si>
  <si>
    <t>0,00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</si>
  <si>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</si>
  <si>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</si>
  <si>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50 000,00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</si>
  <si>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</si>
  <si>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</si>
  <si>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887 241,00</t>
  </si>
  <si>
    <t>050</t>
  </si>
  <si>
    <t>Rybołówstwo i rybactwo</t>
  </si>
  <si>
    <t>25 000,00</t>
  </si>
  <si>
    <t>05095</t>
  </si>
  <si>
    <t>60013</t>
  </si>
  <si>
    <t>10 000,00</t>
  </si>
  <si>
    <t>2330</t>
  </si>
  <si>
    <t>0490</t>
  </si>
  <si>
    <t>Wpływy z innych lokalnych opłat pobieranych przez jednostki samorządu terytorialnego na podstawie odrębnych ustaw</t>
  </si>
  <si>
    <t>31 000,00</t>
  </si>
  <si>
    <t>2460</t>
  </si>
  <si>
    <t>Środki otrzymane od pozostałych jednostek zaliczanych do sektora finansów publicznych na realizacje zadań bieżących jednostek zaliczanych do sektora finansów publicznych</t>
  </si>
  <si>
    <t>192 864,00</t>
  </si>
  <si>
    <t>0470</t>
  </si>
  <si>
    <t>Wpływy z opłat za trwały zarząd, użytkowanie i służebności</t>
  </si>
  <si>
    <t>40 000,00</t>
  </si>
  <si>
    <t>0550</t>
  </si>
  <si>
    <t>Wpływy z opłat z tytułu użytkowania wieczystego nieruchomości</t>
  </si>
  <si>
    <t>80 000,00</t>
  </si>
  <si>
    <t>0730</t>
  </si>
  <si>
    <t>Wpłaty z zysku przedsiębiorstw państwowych, jednoosobowych spółek Skarbu Państwa i spółek jednostek samorządu terytorialnego</t>
  </si>
  <si>
    <t>207 600,46</t>
  </si>
  <si>
    <t>300 500,00</t>
  </si>
  <si>
    <t>0760</t>
  </si>
  <si>
    <t>Wpływy z tytułu przekształcenia prawa użytkowania wieczystego przysługującego osobom fizycznym w prawo własności</t>
  </si>
  <si>
    <t>2 000,00</t>
  </si>
  <si>
    <t>0770</t>
  </si>
  <si>
    <t>Wpłaty z tytułu odpłatnego nabycia prawa własności oraz prawa użytkowania wieczystego nieruchomości</t>
  </si>
  <si>
    <t>1 000 000,00</t>
  </si>
  <si>
    <t>6290</t>
  </si>
  <si>
    <t>Środki na dofinansowanie własnych inwestycji gmin, powiatów (związków gmin, zwiazków powiatowo-gminnych, związków powiatów), samorządów województw, pozyskane z innych źródeł</t>
  </si>
  <si>
    <t>1 065 653,12</t>
  </si>
  <si>
    <t>75011</t>
  </si>
  <si>
    <t>176 332,00</t>
  </si>
  <si>
    <t>Urzędy gmin (miast i miast na prawach powiatu)</t>
  </si>
  <si>
    <t>0570</t>
  </si>
  <si>
    <t>Wpływy z tytułu grzywien, mandatów i innych kar pieniężnych od osób fizycznych</t>
  </si>
  <si>
    <t>1 000,00</t>
  </si>
  <si>
    <t>600,41</t>
  </si>
  <si>
    <t>75075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</si>
  <si>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</si>
  <si>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</si>
  <si>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</si>
  <si>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</si>
  <si>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3 500,00</t>
  </si>
  <si>
    <t>75109</t>
  </si>
  <si>
    <t>157 570,00</t>
  </si>
  <si>
    <t>2440</t>
  </si>
  <si>
    <t>Dotacje otrzymane z państwowych funduszy celowych na realizację zadań bieżących jednostek sektora finansów publicznych</t>
  </si>
  <si>
    <t>36 396,36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</si>
  <si>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</si>
  <si>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</si>
  <si>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</si>
  <si>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</si>
  <si>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48 966,00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</si>
  <si>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</si>
  <si>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</si>
  <si>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</si>
  <si>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</si>
  <si>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</si>
  <si>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</si>
  <si>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</si>
  <si>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</si>
  <si>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</si>
  <si>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</si>
  <si>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</si>
  <si>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</si>
  <si>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</si>
  <si>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</si>
  <si>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</si>
  <si>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</si>
  <si>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</si>
  <si>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</si>
  <si>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</si>
  <si>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</si>
  <si>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</si>
  <si>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2 593,20</t>
  </si>
  <si>
    <t>2680</t>
  </si>
  <si>
    <t>Rekompensaty utraconych dochodów w podatkach i opłatach lokalnych</t>
  </si>
  <si>
    <t>1 786,00</t>
  </si>
  <si>
    <t>75616</t>
  </si>
  <si>
    <t>Wpływy z podatku rolnego, podatku leśnego, podatku od spadków i darowizn, podatku od czynności cywilno-prawnych oraz podatków i opłat lokalnych od osób fizycznych</t>
  </si>
  <si>
    <t>2 840 271,00</t>
  </si>
  <si>
    <t>678 900,00</t>
  </si>
  <si>
    <t>9 056,00</t>
  </si>
  <si>
    <t>369 937,00</t>
  </si>
  <si>
    <t>0360</t>
  </si>
  <si>
    <t>Wpływy z podatku od spadków i darowizn</t>
  </si>
  <si>
    <t>43 000,00</t>
  </si>
  <si>
    <t>0430</t>
  </si>
  <si>
    <t>Wpływy z opłaty targowej</t>
  </si>
  <si>
    <t>500 000,00</t>
  </si>
  <si>
    <t>Wpływy z tytułu kosztów egzekucyjnych, opłaty komorniczej i kosztów upomnień</t>
  </si>
  <si>
    <t>11 000,00</t>
  </si>
  <si>
    <t>515 842,00</t>
  </si>
  <si>
    <t>75618</t>
  </si>
  <si>
    <t>0410</t>
  </si>
  <si>
    <t>Wpływy z opłaty skarbowej</t>
  </si>
  <si>
    <t>0480</t>
  </si>
  <si>
    <t>Wpływy z opłat za zezwolenia na sprzedaż napojów alkoholowych</t>
  </si>
  <si>
    <t>343 000,00</t>
  </si>
  <si>
    <t>75621</t>
  </si>
  <si>
    <t>Udziały gmin w podatkach stanowiących dochód budżetu państwa</t>
  </si>
  <si>
    <t>0010</t>
  </si>
  <si>
    <t>11 387 283,00</t>
  </si>
  <si>
    <t>0020</t>
  </si>
  <si>
    <t>Wpływy z podatku dochodowego od osób prawnych</t>
  </si>
  <si>
    <t>1 500 000,00</t>
  </si>
  <si>
    <t>758</t>
  </si>
  <si>
    <t>75801</t>
  </si>
  <si>
    <t>Część oświatowa subwencji ogólnej dla jednostek samorządu terytorialnego</t>
  </si>
  <si>
    <t>13 994 143,00</t>
  </si>
  <si>
    <t>2920</t>
  </si>
  <si>
    <t>Subwencje ogólne z budżetu państwa</t>
  </si>
  <si>
    <t>75807</t>
  </si>
  <si>
    <t>Część wyrównawcza subwencji ogólnej dla gmin</t>
  </si>
  <si>
    <t>4 751 658,00</t>
  </si>
  <si>
    <t>75814</t>
  </si>
  <si>
    <t>79 000,00</t>
  </si>
  <si>
    <t>0940</t>
  </si>
  <si>
    <t>Wpływy z rozliczeń/zwrotów z lat ubiegłych</t>
  </si>
  <si>
    <t>8 558,83</t>
  </si>
  <si>
    <t>7 961,71</t>
  </si>
  <si>
    <t>2030</t>
  </si>
  <si>
    <t>Dotacje celowe otrzymane z budżetu państwa na realizację własnych zadań bieżących gmin (związków gmin, związków powiatowo-gminnych)</t>
  </si>
  <si>
    <t>82 548,56</t>
  </si>
  <si>
    <t>2990</t>
  </si>
  <si>
    <t>Wpłata środków finansowych z niewykorzystanych w terminie wydatków, które nie wygasają z upływem roku budżetowego</t>
  </si>
  <si>
    <t>57 998,10</t>
  </si>
  <si>
    <t>6330</t>
  </si>
  <si>
    <t>Dotacje celowe otrzymane z budżetu państwa na realizację inwestycji i zakupów inwestycyjnych własnych gmin (związków gmin, związków powiatowo-gminnych)</t>
  </si>
  <si>
    <t>8 200,95</t>
  </si>
  <si>
    <t>6680</t>
  </si>
  <si>
    <t>77 788,75</t>
  </si>
  <si>
    <t>75831</t>
  </si>
  <si>
    <t>Część równoważąca subwencji ogólnej dla gmin</t>
  </si>
  <si>
    <t>227 720,00</t>
  </si>
  <si>
    <t>776,81</t>
  </si>
  <si>
    <t>84 000,00</t>
  </si>
  <si>
    <t>80103</t>
  </si>
  <si>
    <t>Oddziały przedszkolne w szkołach podstawowych</t>
  </si>
  <si>
    <t>80 830,00</t>
  </si>
  <si>
    <t xml:space="preserve">Przedszkola 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</si>
  <si>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</si>
  <si>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</si>
  <si>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</si>
  <si>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</si>
  <si>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</si>
  <si>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422 290,00</t>
  </si>
  <si>
    <t>8 790,00</t>
  </si>
  <si>
    <t>1 500,00</t>
  </si>
  <si>
    <t>482 240,00</t>
  </si>
  <si>
    <t>2310</t>
  </si>
  <si>
    <t>Stołówki szkolne i przedszkolne</t>
  </si>
  <si>
    <t>258 000,00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</si>
  <si>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</si>
  <si>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</si>
  <si>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</si>
  <si>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80153</t>
  </si>
  <si>
    <t>209 834,49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</si>
  <si>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</si>
  <si>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</si>
  <si>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151 741,00</t>
  </si>
  <si>
    <t>2009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</si>
  <si>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</si>
  <si>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</si>
  <si>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10 209,76</t>
  </si>
  <si>
    <t>2059</t>
  </si>
  <si>
    <t>50 546,32</t>
  </si>
  <si>
    <t>194 830,00</t>
  </si>
  <si>
    <t>6310</t>
  </si>
  <si>
    <t>Dotacje celowe otrzymane z budżetu państwa na inwestycje i zakupy inwestycyjne z zakresu administracji rządowej oraz innych zadań zleconych gminom ustawami</t>
  </si>
  <si>
    <t>1 013 010,00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</si>
  <si>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</si>
  <si>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</si>
  <si>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250,00</t>
  </si>
  <si>
    <t>64 683,00</t>
  </si>
  <si>
    <t>50 918,00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</si>
  <si>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</si>
  <si>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</si>
  <si>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85214</t>
  </si>
  <si>
    <t>96 000,00</t>
  </si>
  <si>
    <t>85215</t>
  </si>
  <si>
    <t>18 500,00</t>
  </si>
  <si>
    <t>85216</t>
  </si>
  <si>
    <t>432 000,00</t>
  </si>
  <si>
    <t>85219</t>
  </si>
  <si>
    <t>177 253,00</t>
  </si>
  <si>
    <t>85228</t>
  </si>
  <si>
    <t>35 000,00</t>
  </si>
  <si>
    <t>417 000,00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</si>
  <si>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</si>
  <si>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</si>
  <si>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</si>
  <si>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</si>
  <si>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195 000,00</t>
  </si>
  <si>
    <t>853</t>
  </si>
  <si>
    <t>85395</t>
  </si>
  <si>
    <t>618 263,13</t>
  </si>
  <si>
    <t>22 115,44</t>
  </si>
  <si>
    <t>854</t>
  </si>
  <si>
    <t>85415</t>
  </si>
  <si>
    <t>114 414,00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</si>
  <si>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</si>
  <si>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</si>
  <si>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1 335,00</t>
  </si>
  <si>
    <t>855</t>
  </si>
  <si>
    <t>85501</t>
  </si>
  <si>
    <t>Świadczenie wychowawcze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</si>
  <si>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</si>
  <si>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</si>
  <si>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</si>
  <si>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</si>
  <si>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14 038 352,00</t>
  </si>
  <si>
    <t>85502</t>
  </si>
  <si>
    <t xml:space="preserve">Świadczenia rodzinne, świadczenie z funduszu alimentacyjnego oraz składki na ubezpieczenia emerytalne i rentowe z ubezpieczenia społecznego
</t>
  </si>
  <si>
    <t>5 000,00</t>
  </si>
  <si>
    <t>52 000,00</t>
  </si>
  <si>
    <t>7 703 368,00</t>
  </si>
  <si>
    <t>62 000,00</t>
  </si>
  <si>
    <t>85503</t>
  </si>
  <si>
    <t>300,00</t>
  </si>
  <si>
    <t>85504</t>
  </si>
  <si>
    <t>770 000,00</t>
  </si>
  <si>
    <t>40 240,00</t>
  </si>
  <si>
    <t>2690</t>
  </si>
  <si>
    <t>Środki z Funduszu Pracy otrzymane na realizację zadań wynikających z odrębnych ustaw</t>
  </si>
  <si>
    <t>15 825,00</t>
  </si>
  <si>
    <t>90002</t>
  </si>
  <si>
    <t>2 459 836,49</t>
  </si>
  <si>
    <t>4 000,00</t>
  </si>
  <si>
    <t>90019</t>
  </si>
  <si>
    <t>90095</t>
  </si>
  <si>
    <t>49 900,00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</si>
  <si>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</si>
  <si>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</si>
  <si>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171 793,00</t>
  </si>
  <si>
    <t>6320</t>
  </si>
  <si>
    <t>Dotacje celowe otrzymane z budżetu państwa na inwestycje i zakupy inwestycyjne realizowane przez gminę na podstawie porozumień z organami administracji rządowej</t>
  </si>
  <si>
    <t>12 000,00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</si>
  <si>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</si>
  <si>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</si>
  <si>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</si>
  <si>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</si>
  <si>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</si>
  <si>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</si>
  <si>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</si>
  <si>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4010</t>
  </si>
  <si>
    <t>6 919,50</t>
  </si>
  <si>
    <t>1 562,84</t>
  </si>
  <si>
    <t>219,56</t>
  </si>
  <si>
    <t>2 200,00</t>
  </si>
  <si>
    <t>28 106,73</t>
  </si>
  <si>
    <t>13 603,25</t>
  </si>
  <si>
    <t>4430</t>
  </si>
  <si>
    <t>869 844,12</t>
  </si>
  <si>
    <t>774,00</t>
  </si>
  <si>
    <t>4 500,00</t>
  </si>
  <si>
    <t>17 246,00</t>
  </si>
  <si>
    <t>4260</t>
  </si>
  <si>
    <t>480,00</t>
  </si>
  <si>
    <t>60004</t>
  </si>
  <si>
    <t>Dotacje celowe przekazane gminie na zadania bieżące realizowane na podstawie porozumień (umów) między jednostkami samorządu terytorialnego</t>
  </si>
  <si>
    <t>300 000,00</t>
  </si>
  <si>
    <t>2820</t>
  </si>
  <si>
    <t>83 800,00</t>
  </si>
  <si>
    <t>261 476,00</t>
  </si>
  <si>
    <t>Dotacja celowa na pomoc finansową udzielaną między jednostkami samorządu terytorialnego na dofinansowanie własnych zadań inwestycyjnych i zakupów inwestycyjnych</t>
  </si>
  <si>
    <t>41 584,76</t>
  </si>
  <si>
    <t>4270</t>
  </si>
  <si>
    <t>364 864,00</t>
  </si>
  <si>
    <t>1 336 741,45</t>
  </si>
  <si>
    <t>37 000,00</t>
  </si>
  <si>
    <t>3 377 400,00</t>
  </si>
  <si>
    <t>18 220,00</t>
  </si>
  <si>
    <t>27 350,00</t>
  </si>
  <si>
    <t>Opłaty z tytułu zakupu usług telekomunikacyjnych</t>
  </si>
  <si>
    <t>1 030,00</t>
  </si>
  <si>
    <t>70001</t>
  </si>
  <si>
    <t>Zakłady gospodarki mieszkaniowej</t>
  </si>
  <si>
    <t>439 855,35</t>
  </si>
  <si>
    <t>2650</t>
  </si>
  <si>
    <t>6 600,00</t>
  </si>
  <si>
    <t>109 000,00</t>
  </si>
  <si>
    <t>19 400,00</t>
  </si>
  <si>
    <t>89 000,00</t>
  </si>
  <si>
    <t>4500</t>
  </si>
  <si>
    <t>Pozostałe podatki na rzecz budżetów jednostek samorządu terytorialnego</t>
  </si>
  <si>
    <t>700,00</t>
  </si>
  <si>
    <t>4510</t>
  </si>
  <si>
    <t>Opłaty na rzecz budżetu państwa</t>
  </si>
  <si>
    <t>120,00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</si>
  <si>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</si>
  <si>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</si>
  <si>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</si>
  <si>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</si>
  <si>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</si>
  <si>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60 000,00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</si>
  <si>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</si>
  <si>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</si>
  <si>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</si>
  <si>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</si>
  <si>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</si>
  <si>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4 880,00</t>
  </si>
  <si>
    <t>2 753 455,50</t>
  </si>
  <si>
    <t>153 650,00</t>
  </si>
  <si>
    <t>710</t>
  </si>
  <si>
    <t>Działalność usługowa</t>
  </si>
  <si>
    <t>71004</t>
  </si>
  <si>
    <t>Plany zagospodarowania przestrzennego</t>
  </si>
  <si>
    <t>45 000,00</t>
  </si>
  <si>
    <t>71035</t>
  </si>
  <si>
    <t>Cmentarze</t>
  </si>
  <si>
    <t>3020</t>
  </si>
  <si>
    <t>Wydatki osobowe niezaliczone do wynagrodzeń</t>
  </si>
  <si>
    <t>125 711,64</t>
  </si>
  <si>
    <t>4040</t>
  </si>
  <si>
    <t>Dodatkowe wynagrodzenie roczne</t>
  </si>
  <si>
    <t>7 663,58</t>
  </si>
  <si>
    <t>22 342,42</t>
  </si>
  <si>
    <t>2 608,36</t>
  </si>
  <si>
    <t>12 960,60</t>
  </si>
  <si>
    <t>2 548,40</t>
  </si>
  <si>
    <t>4700</t>
  </si>
  <si>
    <t xml:space="preserve">Szkolenia pracowników niebędących członkami korpusu służby cywilnej </t>
  </si>
  <si>
    <t>2 497,00</t>
  </si>
  <si>
    <t>Rady gmin (miast i miast na prawach powiatu)</t>
  </si>
  <si>
    <t>3030</t>
  </si>
  <si>
    <t xml:space="preserve">Różne wydatki na rzecz osób fizycznych </t>
  </si>
  <si>
    <t>313 888,80</t>
  </si>
  <si>
    <t>4190</t>
  </si>
  <si>
    <t>Nagrody konkursowe</t>
  </si>
  <si>
    <t>30 284,00</t>
  </si>
  <si>
    <t>16 150,00</t>
  </si>
  <si>
    <t>4420</t>
  </si>
  <si>
    <t>Podróże służbowe zagraniczne</t>
  </si>
  <si>
    <t>30 000,00</t>
  </si>
  <si>
    <t>6 700,00</t>
  </si>
  <si>
    <t>2 777 143,20</t>
  </si>
  <si>
    <t>183 449,10</t>
  </si>
  <si>
    <t>449 987,83</t>
  </si>
  <si>
    <t>51 596,67</t>
  </si>
  <si>
    <t>4140</t>
  </si>
  <si>
    <t>Wpłaty na Państwowy Fundusz Rehabilitacji Osób Niepełnosprawnych</t>
  </si>
  <si>
    <t>16 695,00</t>
  </si>
  <si>
    <t>21 385,00</t>
  </si>
  <si>
    <t>147 928,41</t>
  </si>
  <si>
    <t>77 000,00</t>
  </si>
  <si>
    <t>55 600,00</t>
  </si>
  <si>
    <t>4280</t>
  </si>
  <si>
    <t>12 300,00</t>
  </si>
  <si>
    <t>311 415,00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</si>
  <si>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</si>
  <si>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</si>
  <si>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</si>
  <si>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</si>
  <si>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</si>
  <si>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</si>
  <si>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39 000,00</t>
  </si>
  <si>
    <t>28 000,00</t>
  </si>
  <si>
    <t>4440</t>
  </si>
  <si>
    <t>76 135,00</t>
  </si>
  <si>
    <t>39 445,79</t>
  </si>
  <si>
    <t>75053</t>
  </si>
  <si>
    <t>Wybory do rad gmin, rad powiatów i sejmików województw, wybory wójtów, burmistrzów i prezydentów miast  oraz referenda gminne, powiatowe i wojewódzkie</t>
  </si>
  <si>
    <t>20 384,43</t>
  </si>
  <si>
    <t>1 488,00</t>
  </si>
  <si>
    <t>21 852,00</t>
  </si>
  <si>
    <t>31 596,00</t>
  </si>
  <si>
    <t>143 905,69</t>
  </si>
  <si>
    <t>194,31</t>
  </si>
  <si>
    <t>75085</t>
  </si>
  <si>
    <t>Wspólna obsługa jednostek samorządu terytorialnego</t>
  </si>
  <si>
    <t>59,00</t>
  </si>
  <si>
    <t>597 182,08</t>
  </si>
  <si>
    <t>42 486,92</t>
  </si>
  <si>
    <t>100 112,00</t>
  </si>
  <si>
    <t>9 654,00</t>
  </si>
  <si>
    <t>16,00</t>
  </si>
  <si>
    <t>23 082,75</t>
  </si>
  <si>
    <t>1 600,00</t>
  </si>
  <si>
    <t>19 000,00</t>
  </si>
  <si>
    <t>490,00</t>
  </si>
  <si>
    <t>47 000,00</t>
  </si>
  <si>
    <t>2 920,00</t>
  </si>
  <si>
    <t>3 000,00</t>
  </si>
  <si>
    <t>175,25</t>
  </si>
  <si>
    <t>14 923,00</t>
  </si>
  <si>
    <t>16 000,00</t>
  </si>
  <si>
    <t>75095</t>
  </si>
  <si>
    <t>111 384,00</t>
  </si>
  <si>
    <t>4100</t>
  </si>
  <si>
    <t>Wynagrodzenia agencyjno-prowizyjne</t>
  </si>
  <si>
    <t>99 020,00</t>
  </si>
  <si>
    <t>2 955,23</t>
  </si>
  <si>
    <t>508,00</t>
  </si>
  <si>
    <t>36,77</t>
  </si>
  <si>
    <t>89 615,99</t>
  </si>
  <si>
    <t>2 562,50</t>
  </si>
  <si>
    <t>281,75</t>
  </si>
  <si>
    <t>34 747,00</t>
  </si>
  <si>
    <t>20 808,47</t>
  </si>
  <si>
    <t>76,54</t>
  </si>
  <si>
    <t>8 495,53</t>
  </si>
  <si>
    <t>982,22</t>
  </si>
  <si>
    <t>75411</t>
  </si>
  <si>
    <t>Komendy powiatowe Państwowej Straży Pożarnej</t>
  </si>
  <si>
    <t>9 300,00</t>
  </si>
  <si>
    <t>2300</t>
  </si>
  <si>
    <t>Wpłaty jednostek na państwowy fundusz celowy</t>
  </si>
  <si>
    <t>6170</t>
  </si>
  <si>
    <t>Wpłaty jednostek na państwowy fundusz celowy na finansowanie lub dofinansowanie zadań inwestycyjnych</t>
  </si>
  <si>
    <t>6 997,02</t>
  </si>
  <si>
    <t>919,34</t>
  </si>
  <si>
    <t>40 704,00</t>
  </si>
  <si>
    <t>930,00</t>
  </si>
  <si>
    <t>196 466,36</t>
  </si>
  <si>
    <t>6 500,00</t>
  </si>
  <si>
    <t>68 500,00</t>
  </si>
  <si>
    <t>52 900,00</t>
  </si>
  <si>
    <t>Dotacje celowe z budżetu na finansowanie lub dofinansowanie kosztów realizacji inwestycji i zakupów inwestycyjnych jednostek nie zaliczanych do sektora finansów publicznych</t>
  </si>
  <si>
    <t>9 000,00</t>
  </si>
  <si>
    <t>75414</t>
  </si>
  <si>
    <t>Obrona cywilna</t>
  </si>
  <si>
    <t>8 000,00</t>
  </si>
  <si>
    <t>75415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</si>
  <si>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</si>
  <si>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2 704,00</t>
  </si>
  <si>
    <t>388,00</t>
  </si>
  <si>
    <t>45 516,00</t>
  </si>
  <si>
    <t>12 392,00</t>
  </si>
  <si>
    <t>Straż gminna (miejska)</t>
  </si>
  <si>
    <t>9 830,00</t>
  </si>
  <si>
    <t>15 500,00</t>
  </si>
  <si>
    <t>2 500,00</t>
  </si>
  <si>
    <t>70 000,00</t>
  </si>
  <si>
    <t>757</t>
  </si>
  <si>
    <t>Obsługa długu publicznego</t>
  </si>
  <si>
    <t>340 400,00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</si>
  <si>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</si>
  <si>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</si>
  <si>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</si>
  <si>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</si>
  <si>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35 905,57</t>
  </si>
  <si>
    <t>2940</t>
  </si>
  <si>
    <t>Zwrot do budżetu państwa nienależnie pobranej subwencji ogólnej za lata poprzednie</t>
  </si>
  <si>
    <t>75818</t>
  </si>
  <si>
    <t>Rezerwy ogólne i celowe</t>
  </si>
  <si>
    <t>225 744,00</t>
  </si>
  <si>
    <t>4810</t>
  </si>
  <si>
    <t>Rezerwy</t>
  </si>
  <si>
    <t>2 165,00</t>
  </si>
  <si>
    <t>267 332,46</t>
  </si>
  <si>
    <t>8 691 323,59</t>
  </si>
  <si>
    <t>551 450,75</t>
  </si>
  <si>
    <t>1 572 977,74</t>
  </si>
  <si>
    <t>182 692,86</t>
  </si>
  <si>
    <t>50 716,00</t>
  </si>
  <si>
    <t>395 800,00</t>
  </si>
  <si>
    <t>4240</t>
  </si>
  <si>
    <t>134 500,00</t>
  </si>
  <si>
    <t>369 768,00</t>
  </si>
  <si>
    <t>352 426,32</t>
  </si>
  <si>
    <t>21 370,00</t>
  </si>
  <si>
    <t>240 833,25</t>
  </si>
  <si>
    <t>4330</t>
  </si>
  <si>
    <t>Zakup usług przez jednostki samorządu terytorialnego od innych jednostek samorządu terytorialnego</t>
  </si>
  <si>
    <t>38 425,00</t>
  </si>
  <si>
    <t>11 600,00</t>
  </si>
  <si>
    <t>9 599,75</t>
  </si>
  <si>
    <t>442 379,00</t>
  </si>
  <si>
    <t>4480</t>
  </si>
  <si>
    <t>Podatek od nieruchomości</t>
  </si>
  <si>
    <t>103,00</t>
  </si>
  <si>
    <t>1 210,00</t>
  </si>
  <si>
    <t>125 000,00</t>
  </si>
  <si>
    <t>16 171,00</t>
  </si>
  <si>
    <t>547 076,66</t>
  </si>
  <si>
    <t>34 452,48</t>
  </si>
  <si>
    <t>99 116,00</t>
  </si>
  <si>
    <t>11 228,00</t>
  </si>
  <si>
    <t>26 600,00</t>
  </si>
  <si>
    <t>13 281,00</t>
  </si>
  <si>
    <t>2 300,00</t>
  </si>
  <si>
    <t>1 380,00</t>
  </si>
  <si>
    <t>3 400,00</t>
  </si>
  <si>
    <t>25 746,00</t>
  </si>
  <si>
    <t>39 585,00</t>
  </si>
  <si>
    <t>2540</t>
  </si>
  <si>
    <t>1 293 495,52</t>
  </si>
  <si>
    <t>57 683,00</t>
  </si>
  <si>
    <t>2 459 082,94</t>
  </si>
  <si>
    <t>176 154,06</t>
  </si>
  <si>
    <t>465 925,14</t>
  </si>
  <si>
    <t>57 209,00</t>
  </si>
  <si>
    <t>138 868,00</t>
  </si>
  <si>
    <t>4220</t>
  </si>
  <si>
    <t>14 909,00</t>
  </si>
  <si>
    <t>249 000,00</t>
  </si>
  <si>
    <t>34 350,00</t>
  </si>
  <si>
    <t>7 700,00</t>
  </si>
  <si>
    <t>59 500,00</t>
  </si>
  <si>
    <t>6 100,00</t>
  </si>
  <si>
    <t>2 410,00</t>
  </si>
  <si>
    <t>137 573,00</t>
  </si>
  <si>
    <t>323,00</t>
  </si>
  <si>
    <t>80110</t>
  </si>
  <si>
    <t>2320</t>
  </si>
  <si>
    <t>Dotacje celowe przekazane dla powiatu na zadania bieżące realizowane na podstawie porozumień (umów) między jednostkami samorządu terytorialnego</t>
  </si>
  <si>
    <t>972 500,00</t>
  </si>
  <si>
    <t>386 865,00</t>
  </si>
  <si>
    <t>28 087,00</t>
  </si>
  <si>
    <t>1 017 512,00</t>
  </si>
  <si>
    <t>126 197,48</t>
  </si>
  <si>
    <t>196 016,00</t>
  </si>
  <si>
    <t>23 436,00</t>
  </si>
  <si>
    <t>119 792,00</t>
  </si>
  <si>
    <t>71 000,00</t>
  </si>
  <si>
    <t>1 070,00</t>
  </si>
  <si>
    <t>49 000,00</t>
  </si>
  <si>
    <t>1 200,00</t>
  </si>
  <si>
    <t>56 556,00</t>
  </si>
  <si>
    <t>80113</t>
  </si>
  <si>
    <t>Dowożenie uczniów do szkół</t>
  </si>
  <si>
    <t>901 785,00</t>
  </si>
  <si>
    <t>80146</t>
  </si>
  <si>
    <t>Dokształcanie i doskonalenie nauczycieli</t>
  </si>
  <si>
    <t>14 232,00</t>
  </si>
  <si>
    <t>271 400,00</t>
  </si>
  <si>
    <t>19 045,67</t>
  </si>
  <si>
    <t>45 562,00</t>
  </si>
  <si>
    <t>4 062,00</t>
  </si>
  <si>
    <t>27 100,00</t>
  </si>
  <si>
    <t>270,00</t>
  </si>
  <si>
    <t>9 995,00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</si>
  <si>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</si>
  <si>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</si>
  <si>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25 536,32</t>
  </si>
  <si>
    <t>5 483,00</t>
  </si>
  <si>
    <t>164 474,11</t>
  </si>
  <si>
    <t>10 795,89</t>
  </si>
  <si>
    <t>31 849,63</t>
  </si>
  <si>
    <t>5 395,05</t>
  </si>
  <si>
    <t>6 925,00</t>
  </si>
  <si>
    <t>2 966,00</t>
  </si>
  <si>
    <t>80150</t>
  </si>
  <si>
    <t>Realizacja zadań wymagających stosowania specjalnej organizacji nauki i metod pracy dla dzieci i młodzieży w szkołach podstawowych</t>
  </si>
  <si>
    <t>3 375,00</t>
  </si>
  <si>
    <t>390 296,34</t>
  </si>
  <si>
    <t>16 443,00</t>
  </si>
  <si>
    <t>60 541,00</t>
  </si>
  <si>
    <t>8 492,00</t>
  </si>
  <si>
    <t>14 600,00</t>
  </si>
  <si>
    <t>7 000,00</t>
  </si>
  <si>
    <t>11 871,00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</si>
  <si>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</si>
  <si>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</si>
  <si>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4 599,91</t>
  </si>
  <si>
    <t>790,75</t>
  </si>
  <si>
    <t>112,71</t>
  </si>
  <si>
    <t>7 672,50</t>
  </si>
  <si>
    <t>2 077,54</t>
  </si>
  <si>
    <t>200 084,45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</si>
  <si>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</si>
  <si>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152 993,44</t>
  </si>
  <si>
    <t>29 724,56</t>
  </si>
  <si>
    <t>26 500,00</t>
  </si>
  <si>
    <t>Dotacja celowa na pomoc finansową udzielaną między jednostkami samorządu terytorialnego na dofinansowanie własnych zadań bieżących</t>
  </si>
  <si>
    <t>3247</t>
  </si>
  <si>
    <t>8 060,40</t>
  </si>
  <si>
    <t>3249</t>
  </si>
  <si>
    <t>939,60</t>
  </si>
  <si>
    <t>4017</t>
  </si>
  <si>
    <t>284 925,59</t>
  </si>
  <si>
    <t>4019</t>
  </si>
  <si>
    <t>33 213,75</t>
  </si>
  <si>
    <t>983,26</t>
  </si>
  <si>
    <t>4117</t>
  </si>
  <si>
    <t>63 301,20</t>
  </si>
  <si>
    <t>4119</t>
  </si>
  <si>
    <t>7 379,00</t>
  </si>
  <si>
    <t>140,14</t>
  </si>
  <si>
    <t>4127</t>
  </si>
  <si>
    <t>9 258,43</t>
  </si>
  <si>
    <t>4129</t>
  </si>
  <si>
    <t>1 079,24</t>
  </si>
  <si>
    <t>5 720,00</t>
  </si>
  <si>
    <t>3 200,00</t>
  </si>
  <si>
    <t>4217</t>
  </si>
  <si>
    <t>24 501,47</t>
  </si>
  <si>
    <t>4219</t>
  </si>
  <si>
    <t>4 138,40</t>
  </si>
  <si>
    <t>4247</t>
  </si>
  <si>
    <t>105 733,52</t>
  </si>
  <si>
    <t>4249</t>
  </si>
  <si>
    <t>42 298,79</t>
  </si>
  <si>
    <t>22 944,00</t>
  </si>
  <si>
    <t>4307</t>
  </si>
  <si>
    <t>83 140,52</t>
  </si>
  <si>
    <t>4309</t>
  </si>
  <si>
    <t>13 913,30</t>
  </si>
  <si>
    <t>154 701,00</t>
  </si>
  <si>
    <t>Dotacje celowe z budżetu na finansowanie lub dofinansowanie kosztów realizacji inwestycji i zakupów inwestycyjnych innych jednostek sektora finansów publicznych</t>
  </si>
  <si>
    <t>85153</t>
  </si>
  <si>
    <t>2 240,00</t>
  </si>
  <si>
    <t>4 560,00</t>
  </si>
  <si>
    <t>85154</t>
  </si>
  <si>
    <t>48 000,00</t>
  </si>
  <si>
    <t>24 030,00</t>
  </si>
  <si>
    <t>4 432,61</t>
  </si>
  <si>
    <t>481,39</t>
  </si>
  <si>
    <t>146 939,00</t>
  </si>
  <si>
    <t>25 905,00</t>
  </si>
  <si>
    <t>113 037,00</t>
  </si>
  <si>
    <t>450,00</t>
  </si>
  <si>
    <t>1 050,00</t>
  </si>
  <si>
    <t>950,00</t>
  </si>
  <si>
    <t>120 000,00</t>
  </si>
  <si>
    <t>85202</t>
  </si>
  <si>
    <t>Domy pomocy społecznej</t>
  </si>
  <si>
    <t>582 500,00</t>
  </si>
  <si>
    <t>20 300,00</t>
  </si>
  <si>
    <t>3 471,00</t>
  </si>
  <si>
    <t>367,50</t>
  </si>
  <si>
    <t>140 101,00</t>
  </si>
  <si>
    <t>702,00</t>
  </si>
  <si>
    <t>26 162,50</t>
  </si>
  <si>
    <t>100,00</t>
  </si>
  <si>
    <t>4 126,00</t>
  </si>
  <si>
    <t>1 130 850,00</t>
  </si>
  <si>
    <t>85205</t>
  </si>
  <si>
    <t>Zadania w zakresie przeciwdziałania przemocy w rodzinie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</si>
  <si>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</si>
  <si>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</si>
  <si>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115 601,00</t>
  </si>
  <si>
    <t>487 500,00</t>
  </si>
  <si>
    <t>3110</t>
  </si>
  <si>
    <t>351 137,25</t>
  </si>
  <si>
    <t>362,75</t>
  </si>
  <si>
    <t>9 557,00</t>
  </si>
  <si>
    <t>949 057,75</t>
  </si>
  <si>
    <t>64 595,86</t>
  </si>
  <si>
    <t>165 265,41</t>
  </si>
  <si>
    <t>19 631,14</t>
  </si>
  <si>
    <t>500,00</t>
  </si>
  <si>
    <t>43 300,00</t>
  </si>
  <si>
    <t>24 000,00</t>
  </si>
  <si>
    <t>1 400,00</t>
  </si>
  <si>
    <t>154 214,14</t>
  </si>
  <si>
    <t>20 400,00</t>
  </si>
  <si>
    <t>14 000,00</t>
  </si>
  <si>
    <t>30 537,00</t>
  </si>
  <si>
    <t>723 000,00</t>
  </si>
  <si>
    <t>325 000,00</t>
  </si>
  <si>
    <t>85232</t>
  </si>
  <si>
    <t>150 000,00</t>
  </si>
  <si>
    <t>85295</t>
  </si>
  <si>
    <t>4 600,00</t>
  </si>
  <si>
    <t>3117</t>
  </si>
  <si>
    <t>143 330,74</t>
  </si>
  <si>
    <t>3119</t>
  </si>
  <si>
    <t>70 200,00</t>
  </si>
  <si>
    <t>111 345,16</t>
  </si>
  <si>
    <t>7 225,09</t>
  </si>
  <si>
    <t>28 256,28</t>
  </si>
  <si>
    <t>1 261,50</t>
  </si>
  <si>
    <t>3 643,04</t>
  </si>
  <si>
    <t>178,32</t>
  </si>
  <si>
    <t>4137</t>
  </si>
  <si>
    <t>7 122,36</t>
  </si>
  <si>
    <t>4177</t>
  </si>
  <si>
    <t>52 160,77</t>
  </si>
  <si>
    <t>8 992,69</t>
  </si>
  <si>
    <t>88,42</t>
  </si>
  <si>
    <t>4287</t>
  </si>
  <si>
    <t>354 659,81</t>
  </si>
  <si>
    <t>17 174,40</t>
  </si>
  <si>
    <t>4417</t>
  </si>
  <si>
    <t>4 509,47</t>
  </si>
  <si>
    <t>4419</t>
  </si>
  <si>
    <t>530,53</t>
  </si>
  <si>
    <t>4437</t>
  </si>
  <si>
    <t>85401</t>
  </si>
  <si>
    <t>Świetlice szkolne</t>
  </si>
  <si>
    <t>3 833,00</t>
  </si>
  <si>
    <t>566 800,00</t>
  </si>
  <si>
    <t>50 836,00</t>
  </si>
  <si>
    <t>97 190,00</t>
  </si>
  <si>
    <t>13 082,00</t>
  </si>
  <si>
    <t>27 053,00</t>
  </si>
  <si>
    <t>3240</t>
  </si>
  <si>
    <t>143 018,00</t>
  </si>
  <si>
    <t>3260</t>
  </si>
  <si>
    <t>Inne formy pomocy dla uczniów</t>
  </si>
  <si>
    <t>85416</t>
  </si>
  <si>
    <t>Pomoc materialna dla uczniów o charakterze motywacyjnym</t>
  </si>
  <si>
    <t>13 200,00</t>
  </si>
  <si>
    <t>13 827 961,00</t>
  </si>
  <si>
    <t>115 000,00</t>
  </si>
  <si>
    <t>7 422,68</t>
  </si>
  <si>
    <t>21 931,40</t>
  </si>
  <si>
    <t>2 588,00</t>
  </si>
  <si>
    <t>15 000,00</t>
  </si>
  <si>
    <t>36 278,92</t>
  </si>
  <si>
    <t>200,00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</si>
  <si>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</si>
  <si>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</si>
  <si>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</si>
  <si>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7 234 293,92</t>
  </si>
  <si>
    <t>155 443,25</t>
  </si>
  <si>
    <t>8 816,55</t>
  </si>
  <si>
    <t>288 188,39</t>
  </si>
  <si>
    <t>2 870,89</t>
  </si>
  <si>
    <t>36 000,00</t>
  </si>
  <si>
    <t>3 555,00</t>
  </si>
  <si>
    <t>250,19</t>
  </si>
  <si>
    <t>43,68</t>
  </si>
  <si>
    <t>6,13</t>
  </si>
  <si>
    <t>745 200,00</t>
  </si>
  <si>
    <t>113 431,00</t>
  </si>
  <si>
    <t>6 550,00</t>
  </si>
  <si>
    <t>20 961,40</t>
  </si>
  <si>
    <t>2 870,00</t>
  </si>
  <si>
    <t>1 992,60</t>
  </si>
  <si>
    <t>4 740,00</t>
  </si>
  <si>
    <t>85508</t>
  </si>
  <si>
    <t>Rodziny zastępcze</t>
  </si>
  <si>
    <t>153 128,00</t>
  </si>
  <si>
    <t>85510</t>
  </si>
  <si>
    <t>Działalność placówek opiekuńczo-wychowawczych</t>
  </si>
  <si>
    <t>160 000,00</t>
  </si>
  <si>
    <t>Gospodarka ściekowa i ochrona wód</t>
  </si>
  <si>
    <t>69 000,00</t>
  </si>
  <si>
    <t>148 369,73</t>
  </si>
  <si>
    <t>9 655,00</t>
  </si>
  <si>
    <t>25 694,93</t>
  </si>
  <si>
    <t>2 831,42</t>
  </si>
  <si>
    <t>29 000,00</t>
  </si>
  <si>
    <t>2 275 522,18</t>
  </si>
  <si>
    <t>4 446,00</t>
  </si>
  <si>
    <t>90003</t>
  </si>
  <si>
    <t>Oczyszczanie miast i wsi</t>
  </si>
  <si>
    <t>360 000,00</t>
  </si>
  <si>
    <t>40 909,93</t>
  </si>
  <si>
    <t>188 982,00</t>
  </si>
  <si>
    <t>171,90</t>
  </si>
  <si>
    <t>24,50</t>
  </si>
  <si>
    <t>3 196,40</t>
  </si>
  <si>
    <t>5 607,20</t>
  </si>
  <si>
    <t>244 042,85</t>
  </si>
  <si>
    <t>550 000,00</t>
  </si>
  <si>
    <t>375 000,00</t>
  </si>
  <si>
    <t>3 812,60</t>
  </si>
  <si>
    <t>543,39</t>
  </si>
  <si>
    <t>22 179,15</t>
  </si>
  <si>
    <t>167 000,00</t>
  </si>
  <si>
    <t>92105</t>
  </si>
  <si>
    <t>8 400,00</t>
  </si>
  <si>
    <t>638,00</t>
  </si>
  <si>
    <t>4 708,00</t>
  </si>
  <si>
    <t>2480</t>
  </si>
  <si>
    <t>1 482 250,00</t>
  </si>
  <si>
    <t>8 090,00</t>
  </si>
  <si>
    <t>64 049,24</t>
  </si>
  <si>
    <t>56 500,00</t>
  </si>
  <si>
    <t>35 703,56</t>
  </si>
  <si>
    <t>1 329,00</t>
  </si>
  <si>
    <t>18 858,83</t>
  </si>
  <si>
    <t>412 115,00</t>
  </si>
  <si>
    <t>669,20</t>
  </si>
  <si>
    <t>516 330,00</t>
  </si>
  <si>
    <t>309 000,00</t>
  </si>
  <si>
    <t>6 824 451,89</t>
  </si>
  <si>
    <t>1 204 315,05</t>
  </si>
  <si>
    <t>92120</t>
  </si>
  <si>
    <t>100 000,00</t>
  </si>
  <si>
    <t>2720</t>
  </si>
  <si>
    <t>92127</t>
  </si>
  <si>
    <t>Działalność dotycząca miejsc pamięci narodowej oraz ochrony pamięci walk i męczeństwa</t>
  </si>
  <si>
    <t>474,00</t>
  </si>
  <si>
    <t>2 640,00</t>
  </si>
  <si>
    <t>1 300,00</t>
  </si>
  <si>
    <t>46 122,42</t>
  </si>
  <si>
    <t>32 300,00</t>
  </si>
  <si>
    <t>10 314,00</t>
  </si>
  <si>
    <t>1 470,00</t>
  </si>
  <si>
    <t>143 700,00</t>
  </si>
  <si>
    <t>45 111,59</t>
  </si>
  <si>
    <t>255 000,00</t>
  </si>
  <si>
    <t>262 133,61</t>
  </si>
  <si>
    <t>170 000,00</t>
  </si>
  <si>
    <t>31 800,00</t>
  </si>
  <si>
    <t>89 092,64</t>
  </si>
  <si>
    <t>71 140,00</t>
  </si>
  <si>
    <t>8 500,00</t>
  </si>
  <si>
    <t>Plan na dzień 31.12.2018r.</t>
  </si>
  <si>
    <t>Plan na dzień 01.01.018r.</t>
  </si>
  <si>
    <t>Zmiany</t>
  </si>
  <si>
    <t>Wykonanie wydatków
na dzień:
31.12.2018r.</t>
  </si>
  <si>
    <t>wydatki, które nie wygasają 
z upływem roku 2018</t>
  </si>
  <si>
    <t>Zobowiązania niewymagalne</t>
  </si>
  <si>
    <t>Załącznik nr 2 do sprawozdania opisowego</t>
  </si>
  <si>
    <t>ZMIANY W PLANIE WYDATKÓW GMINY ROGOŹNO ORAZ WYKONANIE WYDATKÓW</t>
  </si>
  <si>
    <t>za okres od początku roku do dnia 31 grudnia 2018 roku</t>
  </si>
  <si>
    <t>Wydatki funduszu sołeckiego</t>
  </si>
  <si>
    <t>ZMIANY W PLANIE DOCHODÓW GMINY ROGOŹNO ORAZ WYKONANIE DOCHODÓW</t>
  </si>
  <si>
    <t>ogółem</t>
  </si>
  <si>
    <t>w tym:
wymagalne</t>
  </si>
  <si>
    <t>nadpłaty</t>
  </si>
  <si>
    <t>Wpływy z podostalych odsetek</t>
  </si>
  <si>
    <t>020</t>
  </si>
  <si>
    <t>Leśnictwo</t>
  </si>
  <si>
    <t>02001</t>
  </si>
  <si>
    <t>Gospodarka leśna</t>
  </si>
  <si>
    <t>0870</t>
  </si>
  <si>
    <t>Wpływy z tytułu kosztów egzekucyjnych, opłaty komorniczej i kosztów upomnienia</t>
  </si>
  <si>
    <t>Wpłiwy z odsetek za nieterminoweych wpłat z tytułu podatków i opłat</t>
  </si>
  <si>
    <t>.0870</t>
  </si>
  <si>
    <t>Wpływy ze sprzedaży składników majątkowych</t>
  </si>
  <si>
    <t>0840</t>
  </si>
  <si>
    <t>Wpływy ze sprzedaży wyrobów</t>
  </si>
  <si>
    <t>Utrzymanie murawy na boisku sportowym  - 700 zl - wyk. 702,52 zł  i montaż urządzeń do ćwiczeń w siłowni zewnętrznej na boisku - 5.000 zł- wyk. 4.477,20</t>
  </si>
  <si>
    <t>Organizacja imprez kulturalnych - 1.919,28 zł - wyk. 1.721,93 zł
Zakup tablicy wolnostojacej - 900,00 zł - wyk. 900 zł</t>
  </si>
  <si>
    <t>Wsparcie działalności przedszkola</t>
  </si>
  <si>
    <t>Zakup wyposażenia i bieżące utrzymanie  sali wiejskiej  - 500 zł+6.009= plan 6.509zł - wyk. 6.348,25 zł
- Zagospodarowanie terenu wokół Amfiteatru i sali wiejskiej - 4.744,36-274,-= plan 4.470,36 zł - wyk. 4.470 zł</t>
  </si>
  <si>
    <t>Utrzymanie i wyposażenie świetlicy wiejskiej - zakup usług 2.500,- (-) 1.822,30= plan 677,70 zł - wyk. 349 zł
 - wykonanie monitoringu przy Amfiteatrze i sali wiejskiej - 8.000 zł - 2.652,70,-= plan  5.347,30 zł - wyk. 5.347,30 zł</t>
  </si>
  <si>
    <t>Równanie dróg gruntowych - plan i wyk. 2.000 zł;
Wykoszenie i wyczyszczenie rowów przy doodze słomowskiej 1.000 zł - wyk. 891,75zł</t>
  </si>
  <si>
    <t>Zakup wyposażenia dla OSP w Pruscach - 4.000,00 zł - wyk. 3.999,96 zł
Wykonanie tarasu-wiaty jednospadowej za sala OSP - 6.500,00 zł - 6.500 zł= 0,00 zł
- zakup stołu pinpongowego 1.000 zł - wyk. 1.000 zł</t>
  </si>
  <si>
    <t>Utrzymanie boiska i terenów zielonych - .2500,00 zł - wyk. 2.499,03 zł
Zakup kosiarki dla wsi Międzylesie - 2.500,00 zł - wyk. 2.500 zł</t>
  </si>
  <si>
    <t>Nasza świetlica nośnikiem kultury:
- gospodzarz obiektu  plan i wykonanie 3.000,-
- usługa muzyczna - plan i wykonanie 1.390 zł</t>
  </si>
  <si>
    <t>Utrzymanie porządku, czystości w świetlicy wiejskiej, wokół świetlicy na placu zabaw - 300,00 zł
Zakup szafy do sali wiejskiej - plan i wykonanie 600,00 zł</t>
  </si>
  <si>
    <t>Organizacja imprez kulturalno – sportowych - 1.000,00 zł - wyk. 966,05 zł
Wspacie Grupy Gospodyń Wiejskich - 500,00 zł - wyk. 477 zł</t>
  </si>
  <si>
    <t>Organizacja imprez kulturalno – sportowych - 2.000,00 zł - wyk. 1.998,27 zł
Zakup tablicy informacyjnej - 3.000,00 zł- 100,- =2.900 zl - wyk. 2.900 zł</t>
  </si>
  <si>
    <t>Organizacja imprez o charakterze kulturalno-sportowym - 2.500,00 zł - wyk. 2.443,15 zł
Zakup wieńca dożynkowego - 500,00 zł - wyk. 496,80 zł
Zakup materiałów do wykonania tablic informacyjnych - 1.200,00 zł - wyk. 1.070 zł</t>
  </si>
  <si>
    <t>Utrzymanie boiska sportowego - 700,00 - wyk. 702,52
Zakup i montaż urządzeń do ćwiczeń w siłowni zewnętrznej na boisku - 5.000,00- wyk. 4.477,20</t>
  </si>
  <si>
    <t>Utrzymanie boisk wiejskich - 5.500,00 zł - wyk. 5.479,65 zł
Zakup elementu siełowni zewnętrznej na boisko wiejskie w Siernikach - 4.000,00 zł+ 4.000 zł= 8.000 zł - wyk. 7.773,60 zł</t>
  </si>
  <si>
    <t>Załącznik nr 12 do sprawozdania opisowego</t>
  </si>
  <si>
    <t>Realizacja przedsięwzięć w ramach funduszu sołeckiego w 2018 roku</t>
  </si>
  <si>
    <t>Nadwyżka z lat poprzednich wg stanu na dzień:  31.12.2017 roku</t>
  </si>
  <si>
    <t>Rozliczenie dochodów i wydatków wg stanu na dzień 31.12.2018r.</t>
  </si>
  <si>
    <t>Nadwyżka  środków z opłat i kar za korzystanie ze środkowiska:</t>
  </si>
  <si>
    <t xml:space="preserve">                                                        Załacznik Nr 12 do </t>
  </si>
  <si>
    <t>Należności wymagalne</t>
  </si>
  <si>
    <t>Nadpłaty</t>
  </si>
  <si>
    <t>Wpływy z innych lokalnych opłat pobiernaych przez jednostki samorządu terytorialnego na podstawie odrębnych ustaw</t>
  </si>
  <si>
    <t>Odsetki od nieterminowych wpłat z tytułu podatków i opłat</t>
  </si>
  <si>
    <t>% wykonania biorąc pod uwagę zobowiazania</t>
  </si>
  <si>
    <t>przesyłki pocztowe</t>
  </si>
  <si>
    <t>Przeglądy i konserwacje sprzętu</t>
  </si>
  <si>
    <t>aktualizacja  dwóch systemów oprogramowania (opieka autorska)</t>
  </si>
  <si>
    <t>dzierżawa pojemników</t>
  </si>
  <si>
    <t>Roma Król</t>
  </si>
  <si>
    <t>Paweł Ohradka</t>
  </si>
  <si>
    <t>Składki na ubezpieczenie społeczne</t>
  </si>
  <si>
    <t>Magdziarz Beata =30683,76+2546,91</t>
  </si>
  <si>
    <t>Grabowska =28084,80+2518,72</t>
  </si>
  <si>
    <t>Rutkowska Zenona =29790+2450+2450,55</t>
  </si>
  <si>
    <t xml:space="preserve">straż miesjka - </t>
  </si>
  <si>
    <t>Straż Miejska</t>
  </si>
  <si>
    <t xml:space="preserve">w tym: </t>
  </si>
  <si>
    <t xml:space="preserve">za 2013 rok - (+) </t>
  </si>
  <si>
    <t xml:space="preserve">za 2014 rok - (+) </t>
  </si>
  <si>
    <t>Plan  2018 roku</t>
  </si>
  <si>
    <t xml:space="preserve">
wymagalne</t>
  </si>
  <si>
    <t>dodatkowy odbiór odpadów</t>
  </si>
  <si>
    <t>obsługa systemu - odbiór odpadów - umowa INTZ.272.5.2017</t>
  </si>
  <si>
    <t>Zobowiązania ogółem:</t>
  </si>
  <si>
    <t xml:space="preserve">Magdziarz Beata </t>
  </si>
  <si>
    <t xml:space="preserve">Grabowska Paulina </t>
  </si>
  <si>
    <t>Rutkowska Zenona 3/4 etatu</t>
  </si>
  <si>
    <t>Grabowska Paulina</t>
  </si>
  <si>
    <t xml:space="preserve">Rutkowska Zenona 3/4 etatu </t>
  </si>
  <si>
    <t xml:space="preserve">Grabowska </t>
  </si>
  <si>
    <t xml:space="preserve">Rutkowska Zenona </t>
  </si>
  <si>
    <t>za 2015 rok</t>
  </si>
  <si>
    <t xml:space="preserve">za 2017 rok </t>
  </si>
  <si>
    <t>za 2016 rok</t>
  </si>
  <si>
    <t xml:space="preserve"> (+)</t>
  </si>
  <si>
    <t xml:space="preserve"> (-) </t>
  </si>
  <si>
    <t xml:space="preserve"> (-)</t>
  </si>
  <si>
    <t>za 2018 rok</t>
  </si>
  <si>
    <t>Nadwyżka za okres od 1 lipca 2013 roku do dnia 31-12-2018 roku z rozliczenia systemu gospodarowania odpadami komunalnymi wyniosła narastająco 365.864,39 zł uwzględniając wykonane dochody i wydatki,</t>
  </si>
  <si>
    <t>Nadwyżka narastająco:</t>
  </si>
  <si>
    <t>selektywne deklaracje - 11 zł - miesięcznie</t>
  </si>
  <si>
    <t>nieselektywne deklaracje - 20 zl miesięcznie</t>
  </si>
  <si>
    <t>nieruchomości letniskowe selektywny odbiór -220 zł rocznie</t>
  </si>
  <si>
    <t>nieruchomości letniskowe nieselektywny odbiór -360 zł rocznie</t>
  </si>
  <si>
    <t>Załącznik nr 13 do sprawozdania opisowego</t>
  </si>
  <si>
    <t>PLANOWANO DOCHODY wg n/w stawek</t>
  </si>
  <si>
    <t>Plan 2018</t>
  </si>
  <si>
    <t>0580</t>
  </si>
  <si>
    <t>Wpływy z tytułu grzywien i innych kar pienięznych od osób prawnych i innych jednostek organizacyjnych</t>
  </si>
  <si>
    <t>0620</t>
  </si>
  <si>
    <t>Wpływy z opłat za zezwolenia, akredytacje oraz opłaty ewidencyjne, w tym opłaty za częstotliwości</t>
  </si>
  <si>
    <t>6257</t>
  </si>
  <si>
    <t>Plan na dzień: 31.12.2018r.</t>
  </si>
  <si>
    <t>Plan na dzień: 01.01.018r.</t>
  </si>
  <si>
    <t>Dochody wykonane 
na dzień: 31.12.2018r.</t>
  </si>
  <si>
    <t>Załącznik nr 1 do sprwozdania opisowego</t>
  </si>
  <si>
    <t>Wydatki bieżące</t>
  </si>
  <si>
    <t>1)</t>
  </si>
  <si>
    <t>wydatki jednostek budżetowych</t>
  </si>
  <si>
    <t>2)</t>
  </si>
  <si>
    <t>dotacje na zadania bieżace</t>
  </si>
  <si>
    <t>3)</t>
  </si>
  <si>
    <t>świadczenia na rzecz osób fizycznych</t>
  </si>
  <si>
    <t>4)</t>
  </si>
  <si>
    <t>obsługa długu - odsetki od kredytów i pożyczek</t>
  </si>
  <si>
    <t>5)</t>
  </si>
  <si>
    <t>wydatki na programy finansowane z udziałem środków, o których mowa w art. 5 ust.1 pkt 2 i 3 ustawy</t>
  </si>
  <si>
    <t>Wydatki majątkowe</t>
  </si>
  <si>
    <t>dotacje przekazane z budżetu na zadania majątkowe</t>
  </si>
  <si>
    <t>Dochody bieżące</t>
  </si>
  <si>
    <t>udziały w podatku dochodowym od osób fizycznych</t>
  </si>
  <si>
    <t>udziały w podatku dochodowym od osób prawnych</t>
  </si>
  <si>
    <t>podatki i opłaty</t>
  </si>
  <si>
    <t>subwencja ogólna</t>
  </si>
  <si>
    <t>dotacje i środki na cele bieżące</t>
  </si>
  <si>
    <t>a) dotacje na programy finansowe z udziałem środków, o których mowa w art.. 5 ust.1 pkt 2 i 3 w części związanej z realizacją zadań bieżących gminy</t>
  </si>
  <si>
    <t xml:space="preserve">6) </t>
  </si>
  <si>
    <t>pozostałe  dochody</t>
  </si>
  <si>
    <t>ze sprzedaży majątku</t>
  </si>
  <si>
    <t>wpływy z przekształcenia prawa użytkowania wieczystego przysługujęcego osobom fizycznym w prawo własności</t>
  </si>
  <si>
    <t>dotacje i środkina inwestycje</t>
  </si>
  <si>
    <t>a) dotacje na programy finansowe z udziałem środków, o których mowa w art.. 5 ust.1 pkt 2 i 3 w części związanej z realizacją zadań majątkowych gminy</t>
  </si>
  <si>
    <t xml:space="preserve">     a) wynagrodzenia i składki od nich naliczone</t>
  </si>
  <si>
    <t xml:space="preserve">     b) wydatki związane z realizacją statutowych 
        zadań</t>
  </si>
  <si>
    <t>Dochody majątkowe</t>
  </si>
  <si>
    <t>pozostałe wydatki inwestycyjne</t>
  </si>
  <si>
    <t>wydatki na zakupy inwestycyjne</t>
  </si>
  <si>
    <t xml:space="preserve">     c) dotacje na zadania bieżące</t>
  </si>
  <si>
    <t xml:space="preserve">     d) świadczenia na rzecz osób fizycznych</t>
  </si>
  <si>
    <t xml:space="preserve">przygotowanie terenu pod pojemniki w Nienawiszczu i wymiana  pojemnków w punkcie zbiorczym Pruśce-Stare-Nienawiszcz  </t>
  </si>
  <si>
    <t>b) Ośrodeki pomocy spolecznej</t>
  </si>
  <si>
    <t>c) Adminstracja  wraz z obsługą systemu
     gospodarki odpadami</t>
  </si>
  <si>
    <t>d) Pozostałe działy, rozdziały</t>
  </si>
  <si>
    <t xml:space="preserve"> w tym na projekty:</t>
  </si>
  <si>
    <t xml:space="preserve">b) „Poprawa dostępu do usług społecznych” </t>
  </si>
  <si>
    <t>c) „Aktywniej w Rogoźnie- kompleksowy program aktywizacji dla mieszkańców Gminy Rogoźno”</t>
  </si>
  <si>
    <t xml:space="preserve">a) „Powiedz mi, a zapomnę. Pokaż mi, 
     a zapamiętam. Pozwól mi zrobić, 
     a zrozumiem"- nowe kompetencje
     uczniów i nauczycieli w Gminie Rogoźno </t>
  </si>
  <si>
    <t>RAZEM PLAN: Dział 700 Rozdział 70001</t>
  </si>
  <si>
    <t>RAZEM WYKONANIE: 
Dział 700 Rozdział 70001</t>
  </si>
  <si>
    <t>RAZEM PLAN: Dział 852 Rozdział 85232</t>
  </si>
  <si>
    <t>RAZEM WYKONANIE:
 Dział 852 Rozdział 85232</t>
  </si>
  <si>
    <t>OGÓŁEM PLAN:</t>
  </si>
  <si>
    <t>OGÓŁEM WYKONANIE:</t>
  </si>
  <si>
    <t>% WYKONANIA</t>
  </si>
  <si>
    <t>1</t>
  </si>
  <si>
    <t>Dofinsansowanie przebudowy drogi powiatowej nr 2030P na odcinku ul. Za Jeziorem w Rogoźnie na długości  0,7 km</t>
  </si>
  <si>
    <t xml:space="preserve">Dofinansowanie przebudowy chodnika przy drodze nr 2027P w Rogoźnie przy ul. Wojska Polskiego </t>
  </si>
  <si>
    <t>Dofinansowanie przebudowy drogi powiatowej 2020P na odcinku od drogi krajowej nr 11 w m. Tarnowo do m. Karolewo</t>
  </si>
  <si>
    <t>Zakup gruntów i nieruchomości przy ul. Fabrycznej</t>
  </si>
  <si>
    <t>Załącznik nr 14 do sprawozdania opisowego</t>
  </si>
  <si>
    <t>ZMIANY W PLANIE WYDATKÓW GMINY ROGOŹNO ORAZ WYKONANIE WYDATKÓW Z TYTUŁU WYNAGRODZEŃ I POCHODNYCH OD NICH NALICZONE</t>
  </si>
  <si>
    <t>6690</t>
  </si>
  <si>
    <t>Wpływy ze zwrotów dotacjji oraz płatności, dotyczące dochodów majątkowych</t>
  </si>
  <si>
    <t xml:space="preserve">     1) wynagrodzenia i składki od nich 
          naliczone związane z wydatkami 
          jednostek budżetowych</t>
  </si>
  <si>
    <t>a) Jednostki systemu oświaty wraz z Centrum 
     Usług Wspólnych</t>
  </si>
  <si>
    <t xml:space="preserve">     2) wynagrodzenia i składki od nich 
         naliczone ze środków, o których
         mowa w art. 5 ust.1 pkt 2 i 3 ustawy</t>
  </si>
  <si>
    <t>Załącznik nr 3 do sprawozdania opisowego</t>
  </si>
  <si>
    <t xml:space="preserve">Załącznik nr 7 do sprawozdania opisowego </t>
  </si>
  <si>
    <t xml:space="preserve">Załącznik nr 8 do sprawozdania opisowego </t>
  </si>
  <si>
    <t>Załącznik nr 9 do sprawozdania opisowego</t>
  </si>
  <si>
    <t>Planowane i wykonane dochody i wydatki  z tytułu opłat za gospodarowanie 
odpadami komunalnymi w 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</si>
</sst>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???"/>
    <numFmt numFmtId="166" formatCode="?????"/>
    <numFmt numFmtId="167" formatCode="????"/>
    <numFmt numFmtId="168" formatCode="_-* #,##0.00\ _z_ł_-;\-* #,##0.00\ _z_ł_-;_-* \-??\ _z_ł_-;_-@_-"/>
    <numFmt numFmtId="169" formatCode="0000"/>
    <numFmt numFmtId="170" formatCode="?"/>
    <numFmt numFmtId="171" formatCode="#,##0.00\ [$zł-415];[Red]\-#,##0.00\ [$zł-415]"/>
    <numFmt numFmtId="172" formatCode="#,##0.00\ &quot;zł&quot;"/>
    <numFmt numFmtId="173" formatCode="#,##0.0"/>
  </numFmts>
  <fonts count="15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 CE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b/>
      <sz val="9"/>
      <name val="Times New Roman"/>
      <family val="1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0"/>
      <color indexed="12"/>
      <name val="Times New Roman"/>
      <family val="1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7.5"/>
      <name val="Arial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i/>
      <sz val="10"/>
      <name val="Arial CE"/>
      <charset val="238"/>
    </font>
    <font>
      <b/>
      <i/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i/>
      <sz val="10"/>
      <name val="Arial CE"/>
      <family val="2"/>
      <charset val="238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vertAlign val="superscript"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7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8.25"/>
      <color indexed="8"/>
      <name val="Arial"/>
      <family val="2"/>
      <charset val="238"/>
    </font>
    <font>
      <sz val="8.5"/>
      <name val="Arial"/>
      <family val="2"/>
      <charset val="238"/>
    </font>
    <font>
      <b/>
      <sz val="8.2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.5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5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.5"/>
      <name val="Arial"/>
      <family val="2"/>
      <charset val="238"/>
    </font>
    <font>
      <sz val="8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7"/>
      <color indexed="8"/>
      <name val="Arial"/>
      <family val="2"/>
      <charset val="204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1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0"/>
      <color rgb="FF0070C0"/>
      <name val="Arial CE"/>
      <charset val="238"/>
    </font>
    <font>
      <b/>
      <sz val="8"/>
      <color rgb="FF0070C0"/>
      <name val="Arial CE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u/>
      <sz val="12"/>
      <name val="Arial CE"/>
      <charset val="238"/>
    </font>
    <font>
      <b/>
      <sz val="10"/>
      <color rgb="FFFF0000"/>
      <name val="Arial CE"/>
      <charset val="238"/>
    </font>
    <font>
      <b/>
      <sz val="9"/>
      <color rgb="FFFF0000"/>
      <name val="Arial CE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  <font>
      <i/>
      <sz val="8"/>
      <color rgb="FFFF0000"/>
      <name val="Arial CE"/>
      <charset val="238"/>
    </font>
    <font>
      <b/>
      <sz val="9"/>
      <color rgb="FFFF0000"/>
      <name val="Arial"/>
      <family val="2"/>
      <charset val="238"/>
    </font>
    <font>
      <sz val="7"/>
      <name val="Arial"/>
      <family val="2"/>
      <charset val="238"/>
    </font>
    <font>
      <b/>
      <sz val="6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7.5"/>
      <color indexed="8"/>
      <name val="Arial"/>
      <family val="2"/>
      <charset val="238"/>
    </font>
    <font>
      <b/>
      <sz val="9.5"/>
      <color indexed="8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i/>
      <sz val="7.5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8.5"/>
      <color indexed="8"/>
      <name val="Arial"/>
      <family val="2"/>
      <charset val="238"/>
    </font>
    <font>
      <b/>
      <i/>
      <sz val="9"/>
      <color rgb="FF0070C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sz val="8"/>
      <color rgb="FF00B050"/>
      <name val="Arial"/>
      <family val="2"/>
      <charset val="238"/>
    </font>
    <font>
      <b/>
      <i/>
      <sz val="8.5"/>
      <color rgb="FF00B050"/>
      <name val="Arial"/>
      <family val="2"/>
      <charset val="238"/>
    </font>
    <font>
      <b/>
      <sz val="8.5"/>
      <color rgb="FF0070C0"/>
      <name val="Arial"/>
      <family val="2"/>
      <charset val="238"/>
    </font>
    <font>
      <i/>
      <sz val="7.5"/>
      <color rgb="FF00B050"/>
      <name val="Arial"/>
      <family val="2"/>
      <charset val="238"/>
    </font>
    <font>
      <b/>
      <sz val="8.5"/>
      <color rgb="FF00B050"/>
      <name val="Arial"/>
      <family val="2"/>
      <charset val="238"/>
    </font>
    <font>
      <b/>
      <sz val="8"/>
      <color rgb="FF00B050"/>
      <name val="Arial"/>
      <family val="2"/>
      <charset val="238"/>
    </font>
    <font>
      <i/>
      <sz val="8"/>
      <color rgb="FF002060"/>
      <name val="Arial"/>
      <family val="2"/>
      <charset val="238"/>
    </font>
    <font>
      <i/>
      <sz val="8.5"/>
      <color rgb="FF002060"/>
      <name val="Arial"/>
      <family val="2"/>
      <charset val="238"/>
    </font>
    <font>
      <b/>
      <i/>
      <sz val="8.5"/>
      <color indexed="8"/>
      <name val="Arial"/>
      <family val="2"/>
      <charset val="238"/>
    </font>
    <font>
      <sz val="11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rgb="FF00FF00"/>
        <bgColor indexed="0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3" fillId="0" borderId="0"/>
    <xf numFmtId="0" fontId="6" fillId="0" borderId="0" applyNumberFormat="0" applyFill="0" applyBorder="0" applyAlignment="0" applyProtection="0">
      <alignment vertical="top"/>
    </xf>
    <xf numFmtId="44" fontId="2" fillId="0" borderId="0" applyFont="0" applyFill="0" applyBorder="0" applyAlignment="0" applyProtection="0"/>
    <xf numFmtId="0" fontId="19" fillId="8" borderId="0" applyNumberFormat="0" applyBorder="0" applyAlignment="0" applyProtection="0"/>
    <xf numFmtId="0" fontId="21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20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22" fillId="0" borderId="0" applyNumberFormat="0" applyFill="0" applyBorder="0" applyAlignment="0" applyProtection="0">
      <alignment vertical="top"/>
    </xf>
    <xf numFmtId="0" fontId="19" fillId="0" borderId="0"/>
    <xf numFmtId="0" fontId="19" fillId="0" borderId="0"/>
    <xf numFmtId="0" fontId="6" fillId="0" borderId="0" applyNumberFormat="0" applyFill="0" applyBorder="0" applyAlignment="0" applyProtection="0">
      <alignment vertical="top"/>
    </xf>
    <xf numFmtId="0" fontId="1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3" fillId="0" borderId="0"/>
    <xf numFmtId="0" fontId="19" fillId="0" borderId="0"/>
    <xf numFmtId="168" fontId="20" fillId="0" borderId="0" applyFill="0" applyBorder="0" applyAlignment="0" applyProtection="0"/>
    <xf numFmtId="0" fontId="3" fillId="0" borderId="0"/>
    <xf numFmtId="0" fontId="19" fillId="0" borderId="0"/>
    <xf numFmtId="0" fontId="3" fillId="0" borderId="0"/>
    <xf numFmtId="0" fontId="2" fillId="0" borderId="0"/>
    <xf numFmtId="0" fontId="2" fillId="0" borderId="0"/>
    <xf numFmtId="0" fontId="114" fillId="0" borderId="0" applyNumberFormat="0" applyFill="0" applyBorder="0" applyAlignment="0" applyProtection="0">
      <alignment vertical="top"/>
    </xf>
  </cellStyleXfs>
  <cellXfs count="2288">
    <xf numFmtId="0" fontId="0" fillId="0" borderId="0" xfId="0"/>
    <xf numFmtId="0" fontId="2" fillId="0" borderId="0" xfId="1"/>
    <xf numFmtId="0" fontId="4" fillId="0" borderId="0" xfId="2" applyFont="1"/>
    <xf numFmtId="0" fontId="5" fillId="0" borderId="0" xfId="1" applyFont="1"/>
    <xf numFmtId="0" fontId="6" fillId="0" borderId="0" xfId="3" applyAlignment="1"/>
    <xf numFmtId="0" fontId="7" fillId="0" borderId="0" xfId="2" applyFont="1" applyAlignment="1">
      <alignment vertical="top" wrapText="1"/>
    </xf>
    <xf numFmtId="43" fontId="9" fillId="0" borderId="3" xfId="1" applyNumberFormat="1" applyFont="1" applyFill="1" applyBorder="1" applyAlignment="1">
      <alignment horizontal="center" vertical="center" wrapText="1"/>
    </xf>
    <xf numFmtId="0" fontId="9" fillId="2" borderId="4" xfId="1" quotePrefix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center" vertical="top" wrapText="1"/>
    </xf>
    <xf numFmtId="4" fontId="9" fillId="2" borderId="6" xfId="1" applyNumberFormat="1" applyFont="1" applyFill="1" applyBorder="1" applyAlignment="1">
      <alignment horizontal="right" vertical="top" wrapText="1"/>
    </xf>
    <xf numFmtId="0" fontId="10" fillId="0" borderId="7" xfId="1" applyFont="1" applyBorder="1" applyAlignment="1">
      <alignment horizontal="center" vertical="top" wrapText="1"/>
    </xf>
    <xf numFmtId="0" fontId="11" fillId="3" borderId="6" xfId="1" quotePrefix="1" applyFont="1" applyFill="1" applyBorder="1" applyAlignment="1">
      <alignment horizontal="center" vertical="top" wrapText="1"/>
    </xf>
    <xf numFmtId="0" fontId="10" fillId="3" borderId="6" xfId="1" applyFont="1" applyFill="1" applyBorder="1" applyAlignment="1">
      <alignment horizontal="center" vertical="top" wrapText="1"/>
    </xf>
    <xf numFmtId="0" fontId="11" fillId="3" borderId="6" xfId="1" applyFont="1" applyFill="1" applyBorder="1" applyAlignment="1">
      <alignment vertical="top" wrapText="1"/>
    </xf>
    <xf numFmtId="4" fontId="11" fillId="3" borderId="6" xfId="1" applyNumberFormat="1" applyFont="1" applyFill="1" applyBorder="1" applyAlignment="1">
      <alignment horizontal="right" vertical="top" wrapText="1"/>
    </xf>
    <xf numFmtId="0" fontId="10" fillId="0" borderId="8" xfId="1" applyFont="1" applyBorder="1" applyAlignment="1">
      <alignment horizontal="center" vertical="top" wrapText="1"/>
    </xf>
    <xf numFmtId="0" fontId="12" fillId="0" borderId="6" xfId="1" applyFont="1" applyBorder="1" applyAlignment="1">
      <alignment horizontal="center" vertical="top" wrapText="1"/>
    </xf>
    <xf numFmtId="0" fontId="2" fillId="0" borderId="4" xfId="1" applyBorder="1"/>
    <xf numFmtId="4" fontId="12" fillId="0" borderId="9" xfId="1" applyNumberFormat="1" applyFont="1" applyBorder="1" applyAlignment="1">
      <alignment horizontal="right" vertical="top" wrapText="1"/>
    </xf>
    <xf numFmtId="4" fontId="13" fillId="0" borderId="4" xfId="1" applyNumberFormat="1" applyFont="1" applyBorder="1" applyAlignment="1">
      <alignment vertical="top"/>
    </xf>
    <xf numFmtId="4" fontId="14" fillId="0" borderId="4" xfId="1" applyNumberFormat="1" applyFont="1" applyBorder="1" applyAlignment="1">
      <alignment vertical="top"/>
    </xf>
    <xf numFmtId="0" fontId="10" fillId="0" borderId="9" xfId="1" applyFont="1" applyBorder="1" applyAlignment="1">
      <alignment horizontal="center" vertical="top" wrapText="1"/>
    </xf>
    <xf numFmtId="0" fontId="9" fillId="2" borderId="4" xfId="1" applyFont="1" applyFill="1" applyBorder="1" applyAlignment="1">
      <alignment horizontal="center" vertical="top" wrapText="1"/>
    </xf>
    <xf numFmtId="0" fontId="11" fillId="3" borderId="6" xfId="1" applyFont="1" applyFill="1" applyBorder="1" applyAlignment="1">
      <alignment horizontal="center" vertical="top" wrapText="1"/>
    </xf>
    <xf numFmtId="0" fontId="15" fillId="4" borderId="4" xfId="1" applyFont="1" applyFill="1" applyBorder="1" applyAlignment="1">
      <alignment horizontal="center" vertical="top" wrapText="1"/>
    </xf>
    <xf numFmtId="0" fontId="8" fillId="4" borderId="4" xfId="1" applyFont="1" applyFill="1" applyBorder="1" applyAlignment="1">
      <alignment horizontal="center" vertical="top" wrapText="1"/>
    </xf>
    <xf numFmtId="0" fontId="16" fillId="4" borderId="6" xfId="1" applyFont="1" applyFill="1" applyBorder="1" applyAlignment="1">
      <alignment horizontal="center" vertical="top" wrapText="1"/>
    </xf>
    <xf numFmtId="4" fontId="17" fillId="4" borderId="6" xfId="1" applyNumberFormat="1" applyFont="1" applyFill="1" applyBorder="1" applyAlignment="1">
      <alignment horizontal="right" vertical="center" wrapText="1"/>
    </xf>
    <xf numFmtId="0" fontId="11" fillId="5" borderId="10" xfId="1" applyFont="1" applyFill="1" applyBorder="1" applyAlignment="1">
      <alignment horizontal="center" vertical="top" wrapText="1"/>
    </xf>
    <xf numFmtId="0" fontId="12" fillId="5" borderId="6" xfId="1" applyFont="1" applyFill="1" applyBorder="1" applyAlignment="1">
      <alignment horizontal="center" vertical="top" wrapText="1"/>
    </xf>
    <xf numFmtId="4" fontId="13" fillId="5" borderId="6" xfId="1" applyNumberFormat="1" applyFont="1" applyFill="1" applyBorder="1" applyAlignment="1">
      <alignment vertical="center"/>
    </xf>
    <xf numFmtId="0" fontId="12" fillId="0" borderId="9" xfId="1" applyFont="1" applyBorder="1" applyAlignment="1">
      <alignment horizontal="center" vertical="top" wrapText="1"/>
    </xf>
    <xf numFmtId="4" fontId="14" fillId="0" borderId="7" xfId="1" applyNumberFormat="1" applyFont="1" applyBorder="1" applyAlignment="1">
      <alignment vertical="top"/>
    </xf>
    <xf numFmtId="0" fontId="11" fillId="3" borderId="4" xfId="1" applyFont="1" applyFill="1" applyBorder="1" applyAlignment="1">
      <alignment horizontal="center" vertical="top" wrapText="1"/>
    </xf>
    <xf numFmtId="0" fontId="10" fillId="3" borderId="5" xfId="1" applyFont="1" applyFill="1" applyBorder="1" applyAlignment="1">
      <alignment horizontal="center" vertical="top" wrapText="1"/>
    </xf>
    <xf numFmtId="4" fontId="11" fillId="3" borderId="5" xfId="1" applyNumberFormat="1" applyFont="1" applyFill="1" applyBorder="1" applyAlignment="1">
      <alignment horizontal="right" vertical="top" wrapText="1"/>
    </xf>
    <xf numFmtId="4" fontId="11" fillId="0" borderId="9" xfId="1" applyNumberFormat="1" applyFont="1" applyBorder="1" applyAlignment="1">
      <alignment horizontal="right" vertical="top" wrapText="1"/>
    </xf>
    <xf numFmtId="4" fontId="15" fillId="4" borderId="4" xfId="1" applyNumberFormat="1" applyFont="1" applyFill="1" applyBorder="1" applyAlignment="1">
      <alignment horizontal="right" vertical="top" wrapText="1"/>
    </xf>
    <xf numFmtId="4" fontId="17" fillId="4" borderId="4" xfId="1" applyNumberFormat="1" applyFont="1" applyFill="1" applyBorder="1" applyAlignment="1">
      <alignment horizontal="right" vertical="top" wrapText="1"/>
    </xf>
    <xf numFmtId="0" fontId="10" fillId="2" borderId="6" xfId="1" applyFont="1" applyFill="1" applyBorder="1" applyAlignment="1">
      <alignment horizontal="center" vertical="top" wrapText="1"/>
    </xf>
    <xf numFmtId="4" fontId="18" fillId="0" borderId="4" xfId="1" applyNumberFormat="1" applyFont="1" applyBorder="1" applyAlignment="1">
      <alignment vertical="top"/>
    </xf>
    <xf numFmtId="4" fontId="12" fillId="0" borderId="4" xfId="1" applyNumberFormat="1" applyFont="1" applyBorder="1" applyAlignment="1">
      <alignment horizontal="right" vertical="top" wrapText="1"/>
    </xf>
    <xf numFmtId="4" fontId="12" fillId="0" borderId="5" xfId="1" applyNumberFormat="1" applyFont="1" applyBorder="1" applyAlignment="1">
      <alignment horizontal="right" vertical="top" wrapText="1"/>
    </xf>
    <xf numFmtId="0" fontId="10" fillId="0" borderId="10" xfId="1" applyFont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4" fontId="12" fillId="3" borderId="4" xfId="1" applyNumberFormat="1" applyFont="1" applyFill="1" applyBorder="1" applyAlignment="1">
      <alignment horizontal="right" vertical="top" wrapText="1"/>
    </xf>
    <xf numFmtId="4" fontId="14" fillId="0" borderId="4" xfId="1" applyNumberFormat="1" applyFont="1" applyBorder="1" applyAlignment="1">
      <alignment vertical="center"/>
    </xf>
    <xf numFmtId="4" fontId="9" fillId="2" borderId="4" xfId="1" applyNumberFormat="1" applyFont="1" applyFill="1" applyBorder="1" applyAlignment="1">
      <alignment horizontal="right" vertical="top" wrapText="1"/>
    </xf>
    <xf numFmtId="4" fontId="12" fillId="3" borderId="6" xfId="1" applyNumberFormat="1" applyFont="1" applyFill="1" applyBorder="1" applyAlignment="1">
      <alignment horizontal="right" vertical="top" wrapText="1"/>
    </xf>
    <xf numFmtId="0" fontId="12" fillId="0" borderId="4" xfId="1" applyFont="1" applyBorder="1" applyAlignment="1">
      <alignment horizontal="center" vertical="top" wrapText="1"/>
    </xf>
    <xf numFmtId="0" fontId="12" fillId="6" borderId="6" xfId="1" applyFont="1" applyFill="1" applyBorder="1" applyAlignment="1">
      <alignment horizontal="center" vertical="top" wrapText="1"/>
    </xf>
    <xf numFmtId="4" fontId="14" fillId="0" borderId="4" xfId="1" applyNumberFormat="1" applyFont="1" applyBorder="1" applyAlignment="1">
      <alignment horizontal="right" vertical="top"/>
    </xf>
    <xf numFmtId="0" fontId="12" fillId="0" borderId="11" xfId="1" applyFont="1" applyBorder="1" applyAlignment="1">
      <alignment vertical="top" wrapText="1"/>
    </xf>
    <xf numFmtId="0" fontId="12" fillId="6" borderId="9" xfId="1" applyFont="1" applyFill="1" applyBorder="1" applyAlignment="1">
      <alignment horizontal="center" vertical="top" wrapText="1"/>
    </xf>
    <xf numFmtId="0" fontId="12" fillId="0" borderId="0" xfId="1" applyFont="1" applyBorder="1" applyAlignment="1">
      <alignment vertical="top" wrapText="1"/>
    </xf>
    <xf numFmtId="0" fontId="12" fillId="3" borderId="4" xfId="1" applyFont="1" applyFill="1" applyBorder="1" applyAlignment="1">
      <alignment horizontal="center" vertical="top" wrapText="1"/>
    </xf>
    <xf numFmtId="4" fontId="13" fillId="0" borderId="8" xfId="1" applyNumberFormat="1" applyFont="1" applyBorder="1" applyAlignment="1">
      <alignment vertical="top"/>
    </xf>
    <xf numFmtId="4" fontId="13" fillId="0" borderId="4" xfId="1" applyNumberFormat="1" applyFont="1" applyBorder="1" applyAlignment="1">
      <alignment vertical="top" wrapText="1"/>
    </xf>
    <xf numFmtId="0" fontId="12" fillId="6" borderId="12" xfId="1" applyFont="1" applyFill="1" applyBorder="1" applyAlignment="1">
      <alignment horizontal="center" vertical="top" wrapText="1"/>
    </xf>
    <xf numFmtId="4" fontId="12" fillId="0" borderId="14" xfId="1" applyNumberFormat="1" applyFont="1" applyBorder="1" applyAlignment="1">
      <alignment horizontal="right" vertical="top" wrapText="1"/>
    </xf>
    <xf numFmtId="4" fontId="13" fillId="0" borderId="12" xfId="1" applyNumberFormat="1" applyFont="1" applyBorder="1" applyAlignment="1">
      <alignment vertical="top"/>
    </xf>
    <xf numFmtId="0" fontId="2" fillId="0" borderId="15" xfId="1" applyBorder="1" applyAlignment="1">
      <alignment vertical="center"/>
    </xf>
    <xf numFmtId="0" fontId="2" fillId="0" borderId="3" xfId="1" applyBorder="1" applyAlignment="1">
      <alignment vertical="center"/>
    </xf>
    <xf numFmtId="0" fontId="5" fillId="0" borderId="0" xfId="1" applyFont="1" applyAlignment="1">
      <alignment vertical="center"/>
    </xf>
    <xf numFmtId="4" fontId="2" fillId="0" borderId="0" xfId="1" applyNumberFormat="1"/>
    <xf numFmtId="0" fontId="15" fillId="0" borderId="8" xfId="1" applyFont="1" applyFill="1" applyBorder="1" applyAlignment="1">
      <alignment horizontal="center" vertical="center" wrapText="1"/>
    </xf>
    <xf numFmtId="4" fontId="15" fillId="0" borderId="15" xfId="1" applyNumberFormat="1" applyFont="1" applyBorder="1" applyAlignment="1">
      <alignment vertical="center"/>
    </xf>
    <xf numFmtId="0" fontId="23" fillId="0" borderId="8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164" fontId="13" fillId="3" borderId="6" xfId="1" applyNumberFormat="1" applyFont="1" applyFill="1" applyBorder="1" applyAlignment="1">
      <alignment horizontal="right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right" vertical="center" wrapText="1"/>
    </xf>
    <xf numFmtId="164" fontId="13" fillId="0" borderId="9" xfId="1" applyNumberFormat="1" applyFont="1" applyFill="1" applyBorder="1" applyAlignment="1">
      <alignment horizontal="right" vertical="center" wrapText="1"/>
    </xf>
    <xf numFmtId="164" fontId="13" fillId="3" borderId="4" xfId="1" applyNumberFormat="1" applyFont="1" applyFill="1" applyBorder="1" applyAlignment="1">
      <alignment horizontal="right" vertical="center" wrapText="1"/>
    </xf>
    <xf numFmtId="4" fontId="13" fillId="3" borderId="4" xfId="1" applyNumberFormat="1" applyFont="1" applyFill="1" applyBorder="1" applyAlignment="1">
      <alignment horizontal="right" vertical="center" wrapText="1"/>
    </xf>
    <xf numFmtId="0" fontId="9" fillId="6" borderId="8" xfId="1" applyFont="1" applyFill="1" applyBorder="1" applyAlignment="1">
      <alignment horizontal="center" vertical="center" wrapText="1"/>
    </xf>
    <xf numFmtId="0" fontId="23" fillId="3" borderId="6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6" borderId="6" xfId="1" applyFont="1" applyFill="1" applyBorder="1" applyAlignment="1">
      <alignment horizontal="center" vertical="center" wrapText="1"/>
    </xf>
    <xf numFmtId="0" fontId="23" fillId="6" borderId="8" xfId="1" applyFont="1" applyFill="1" applyBorder="1" applyAlignment="1">
      <alignment horizontal="center" vertical="center" wrapText="1"/>
    </xf>
    <xf numFmtId="0" fontId="23" fillId="6" borderId="10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164" fontId="13" fillId="3" borderId="5" xfId="1" applyNumberFormat="1" applyFont="1" applyFill="1" applyBorder="1" applyAlignment="1">
      <alignment horizontal="right" vertical="center" wrapText="1"/>
    </xf>
    <xf numFmtId="164" fontId="13" fillId="0" borderId="4" xfId="1" applyNumberFormat="1" applyFont="1" applyFill="1" applyBorder="1" applyAlignment="1">
      <alignment horizontal="right" vertical="center" wrapText="1"/>
    </xf>
    <xf numFmtId="164" fontId="13" fillId="0" borderId="5" xfId="1" applyNumberFormat="1" applyFont="1" applyFill="1" applyBorder="1" applyAlignment="1">
      <alignment horizontal="right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3" fillId="3" borderId="10" xfId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vertical="top" wrapText="1"/>
    </xf>
    <xf numFmtId="0" fontId="11" fillId="3" borderId="10" xfId="1" applyFont="1" applyFill="1" applyBorder="1" applyAlignment="1">
      <alignment horizontal="center" vertical="top" wrapText="1"/>
    </xf>
    <xf numFmtId="10" fontId="13" fillId="3" borderId="4" xfId="1" applyNumberFormat="1" applyFont="1" applyFill="1" applyBorder="1" applyAlignment="1">
      <alignment horizontal="right" vertical="center" wrapText="1"/>
    </xf>
    <xf numFmtId="10" fontId="13" fillId="3" borderId="5" xfId="1" applyNumberFormat="1" applyFont="1" applyFill="1" applyBorder="1" applyAlignment="1">
      <alignment horizontal="right" vertical="center" wrapText="1"/>
    </xf>
    <xf numFmtId="0" fontId="12" fillId="0" borderId="7" xfId="1" applyFont="1" applyBorder="1" applyAlignment="1">
      <alignment horizontal="center" vertical="top" wrapText="1"/>
    </xf>
    <xf numFmtId="0" fontId="2" fillId="0" borderId="7" xfId="1" applyBorder="1"/>
    <xf numFmtId="0" fontId="15" fillId="7" borderId="2" xfId="1" applyFont="1" applyFill="1" applyBorder="1" applyAlignment="1">
      <alignment horizontal="center" vertical="top" wrapText="1"/>
    </xf>
    <xf numFmtId="164" fontId="13" fillId="0" borderId="23" xfId="1" applyNumberFormat="1" applyFont="1" applyFill="1" applyBorder="1" applyAlignment="1">
      <alignment horizontal="right" vertical="center" wrapText="1"/>
    </xf>
    <xf numFmtId="0" fontId="9" fillId="7" borderId="2" xfId="1" applyFont="1" applyFill="1" applyBorder="1" applyAlignment="1">
      <alignment horizontal="center" vertical="center" wrapText="1"/>
    </xf>
    <xf numFmtId="0" fontId="10" fillId="7" borderId="22" xfId="1" applyFont="1" applyFill="1" applyBorder="1" applyAlignment="1">
      <alignment horizontal="center" vertical="center" wrapText="1"/>
    </xf>
    <xf numFmtId="4" fontId="9" fillId="7" borderId="22" xfId="1" applyNumberFormat="1" applyFont="1" applyFill="1" applyBorder="1" applyAlignment="1">
      <alignment horizontal="right" vertical="center" wrapText="1"/>
    </xf>
    <xf numFmtId="0" fontId="23" fillId="7" borderId="2" xfId="1" applyFont="1" applyFill="1" applyBorder="1" applyAlignment="1">
      <alignment horizontal="center" vertical="center" wrapText="1"/>
    </xf>
    <xf numFmtId="0" fontId="23" fillId="7" borderId="22" xfId="1" applyFont="1" applyFill="1" applyBorder="1" applyAlignment="1">
      <alignment horizontal="center" vertical="center" wrapText="1"/>
    </xf>
    <xf numFmtId="164" fontId="9" fillId="7" borderId="22" xfId="1" applyNumberFormat="1" applyFont="1" applyFill="1" applyBorder="1" applyAlignment="1">
      <alignment horizontal="right" vertical="center" wrapText="1"/>
    </xf>
    <xf numFmtId="164" fontId="15" fillId="7" borderId="22" xfId="1" applyNumberFormat="1" applyFont="1" applyFill="1" applyBorder="1" applyAlignment="1">
      <alignment horizontal="right" vertical="center" wrapText="1"/>
    </xf>
    <xf numFmtId="0" fontId="11" fillId="7" borderId="2" xfId="1" applyFont="1" applyFill="1" applyBorder="1" applyAlignment="1">
      <alignment horizontal="center" vertical="center" wrapText="1"/>
    </xf>
    <xf numFmtId="164" fontId="15" fillId="7" borderId="2" xfId="1" applyNumberFormat="1" applyFont="1" applyFill="1" applyBorder="1" applyAlignment="1">
      <alignment horizontal="right" vertical="center" wrapText="1"/>
    </xf>
    <xf numFmtId="4" fontId="15" fillId="7" borderId="2" xfId="1" applyNumberFormat="1" applyFont="1" applyFill="1" applyBorder="1" applyAlignment="1">
      <alignment horizontal="right" vertical="center" wrapText="1"/>
    </xf>
    <xf numFmtId="0" fontId="13" fillId="7" borderId="2" xfId="1" applyFont="1" applyFill="1" applyBorder="1" applyAlignment="1">
      <alignment horizontal="center" vertical="center" wrapText="1"/>
    </xf>
    <xf numFmtId="0" fontId="13" fillId="7" borderId="22" xfId="1" applyFont="1" applyFill="1" applyBorder="1" applyAlignment="1">
      <alignment horizontal="center" vertical="center" wrapText="1"/>
    </xf>
    <xf numFmtId="164" fontId="13" fillId="7" borderId="22" xfId="1" applyNumberFormat="1" applyFont="1" applyFill="1" applyBorder="1" applyAlignment="1">
      <alignment horizontal="right" vertical="center" wrapText="1"/>
    </xf>
    <xf numFmtId="0" fontId="6" fillId="0" borderId="4" xfId="3" applyBorder="1" applyAlignment="1"/>
    <xf numFmtId="4" fontId="9" fillId="2" borderId="19" xfId="1" applyNumberFormat="1" applyFont="1" applyFill="1" applyBorder="1" applyAlignment="1">
      <alignment horizontal="right" vertical="top" wrapText="1"/>
    </xf>
    <xf numFmtId="10" fontId="2" fillId="0" borderId="4" xfId="1" applyNumberFormat="1" applyBorder="1"/>
    <xf numFmtId="0" fontId="6" fillId="0" borderId="7" xfId="3" applyBorder="1" applyAlignment="1"/>
    <xf numFmtId="10" fontId="15" fillId="0" borderId="15" xfId="1" applyNumberFormat="1" applyFont="1" applyBorder="1" applyAlignment="1">
      <alignment vertical="center"/>
    </xf>
    <xf numFmtId="10" fontId="6" fillId="0" borderId="0" xfId="3" applyNumberFormat="1" applyAlignment="1"/>
    <xf numFmtId="0" fontId="12" fillId="0" borderId="10" xfId="1" applyFont="1" applyBorder="1" applyAlignment="1">
      <alignment horizontal="center" vertical="top" wrapText="1"/>
    </xf>
    <xf numFmtId="0" fontId="6" fillId="0" borderId="4" xfId="3" applyBorder="1" applyAlignment="1">
      <alignment vertical="top"/>
    </xf>
    <xf numFmtId="4" fontId="6" fillId="0" borderId="4" xfId="3" applyNumberFormat="1" applyBorder="1" applyAlignment="1">
      <alignment vertical="top"/>
    </xf>
    <xf numFmtId="0" fontId="28" fillId="0" borderId="4" xfId="1" applyFont="1" applyBorder="1" applyAlignment="1">
      <alignment vertical="top"/>
    </xf>
    <xf numFmtId="4" fontId="13" fillId="6" borderId="9" xfId="1" applyNumberFormat="1" applyFont="1" applyFill="1" applyBorder="1" applyAlignment="1">
      <alignment horizontal="right" vertical="top" wrapText="1"/>
    </xf>
    <xf numFmtId="4" fontId="6" fillId="0" borderId="7" xfId="3" applyNumberFormat="1" applyBorder="1" applyAlignment="1">
      <alignment vertical="top"/>
    </xf>
    <xf numFmtId="0" fontId="2" fillId="0" borderId="10" xfId="1" applyBorder="1"/>
    <xf numFmtId="4" fontId="6" fillId="0" borderId="10" xfId="3" applyNumberFormat="1" applyBorder="1" applyAlignment="1">
      <alignment vertical="top"/>
    </xf>
    <xf numFmtId="0" fontId="6" fillId="0" borderId="4" xfId="3" applyBorder="1" applyAlignment="1">
      <alignment vertical="top" wrapText="1"/>
    </xf>
    <xf numFmtId="4" fontId="24" fillId="0" borderId="3" xfId="1" applyNumberFormat="1" applyFont="1" applyBorder="1" applyAlignment="1">
      <alignment vertical="center"/>
    </xf>
    <xf numFmtId="0" fontId="2" fillId="0" borderId="0" xfId="1" applyBorder="1" applyAlignment="1">
      <alignment vertical="center"/>
    </xf>
    <xf numFmtId="0" fontId="24" fillId="0" borderId="0" xfId="1" applyFont="1" applyBorder="1" applyAlignment="1">
      <alignment horizontal="right" vertical="center"/>
    </xf>
    <xf numFmtId="4" fontId="24" fillId="0" borderId="0" xfId="1" applyNumberFormat="1" applyFont="1" applyBorder="1" applyAlignment="1">
      <alignment vertical="center"/>
    </xf>
    <xf numFmtId="10" fontId="24" fillId="0" borderId="0" xfId="1" applyNumberFormat="1" applyFont="1" applyBorder="1" applyAlignment="1">
      <alignment vertical="center"/>
    </xf>
    <xf numFmtId="4" fontId="30" fillId="0" borderId="0" xfId="3" applyNumberFormat="1" applyFont="1" applyBorder="1" applyAlignment="1"/>
    <xf numFmtId="0" fontId="31" fillId="0" borderId="0" xfId="3" applyFont="1" applyBorder="1" applyAlignment="1"/>
    <xf numFmtId="43" fontId="9" fillId="6" borderId="4" xfId="1" applyNumberFormat="1" applyFont="1" applyFill="1" applyBorder="1" applyAlignment="1">
      <alignment vertical="center" wrapText="1"/>
    </xf>
    <xf numFmtId="0" fontId="25" fillId="0" borderId="22" xfId="1" applyFont="1" applyBorder="1" applyAlignment="1">
      <alignment vertical="top" wrapText="1"/>
    </xf>
    <xf numFmtId="0" fontId="15" fillId="7" borderId="4" xfId="1" applyFont="1" applyFill="1" applyBorder="1" applyAlignment="1">
      <alignment horizontal="center" vertical="center" wrapText="1"/>
    </xf>
    <xf numFmtId="0" fontId="13" fillId="0" borderId="16" xfId="1" applyFont="1" applyBorder="1" applyAlignment="1">
      <alignment vertical="center" wrapText="1"/>
    </xf>
    <xf numFmtId="43" fontId="9" fillId="6" borderId="22" xfId="1" applyNumberFormat="1" applyFont="1" applyFill="1" applyBorder="1" applyAlignment="1">
      <alignment vertical="center" wrapText="1"/>
    </xf>
    <xf numFmtId="0" fontId="3" fillId="0" borderId="0" xfId="43"/>
    <xf numFmtId="0" fontId="32" fillId="0" borderId="0" xfId="43" applyFont="1"/>
    <xf numFmtId="0" fontId="33" fillId="9" borderId="36" xfId="43" applyFont="1" applyFill="1" applyBorder="1" applyAlignment="1">
      <alignment horizontal="right" vertical="top"/>
    </xf>
    <xf numFmtId="0" fontId="33" fillId="9" borderId="37" xfId="43" applyFont="1" applyFill="1" applyBorder="1" applyAlignment="1">
      <alignment horizontal="right" vertical="top"/>
    </xf>
    <xf numFmtId="0" fontId="33" fillId="9" borderId="37" xfId="43" applyFont="1" applyFill="1" applyBorder="1" applyAlignment="1">
      <alignment horizontal="right" vertical="center"/>
    </xf>
    <xf numFmtId="0" fontId="3" fillId="0" borderId="0" xfId="2"/>
    <xf numFmtId="0" fontId="39" fillId="0" borderId="0" xfId="2" applyFont="1"/>
    <xf numFmtId="0" fontId="3" fillId="0" borderId="0" xfId="2" applyAlignment="1">
      <alignment vertical="center"/>
    </xf>
    <xf numFmtId="49" fontId="5" fillId="0" borderId="29" xfId="2" applyNumberFormat="1" applyFont="1" applyBorder="1" applyAlignment="1">
      <alignment horizontal="center" vertical="top" wrapText="1"/>
    </xf>
    <xf numFmtId="49" fontId="3" fillId="0" borderId="29" xfId="2" applyNumberFormat="1" applyFont="1" applyBorder="1" applyAlignment="1">
      <alignment horizontal="left" vertical="top" wrapText="1"/>
    </xf>
    <xf numFmtId="49" fontId="3" fillId="0" borderId="29" xfId="2" applyNumberFormat="1" applyFont="1" applyBorder="1" applyAlignment="1">
      <alignment horizontal="center" vertical="center"/>
    </xf>
    <xf numFmtId="4" fontId="3" fillId="0" borderId="39" xfId="2" applyNumberFormat="1" applyFont="1" applyBorder="1" applyAlignment="1">
      <alignment horizontal="right" vertical="center"/>
    </xf>
    <xf numFmtId="4" fontId="3" fillId="0" borderId="40" xfId="2" applyNumberFormat="1" applyFont="1" applyBorder="1" applyAlignment="1">
      <alignment horizontal="right" vertical="center"/>
    </xf>
    <xf numFmtId="0" fontId="39" fillId="0" borderId="43" xfId="2" applyFont="1" applyBorder="1" applyAlignment="1">
      <alignment horizontal="left" vertical="top" wrapText="1"/>
    </xf>
    <xf numFmtId="0" fontId="39" fillId="0" borderId="44" xfId="2" applyFont="1" applyBorder="1" applyAlignment="1">
      <alignment horizontal="left" vertical="top" wrapText="1"/>
    </xf>
    <xf numFmtId="49" fontId="5" fillId="0" borderId="31" xfId="2" applyNumberFormat="1" applyFont="1" applyBorder="1" applyAlignment="1">
      <alignment horizontal="center" vertical="top" wrapText="1"/>
    </xf>
    <xf numFmtId="49" fontId="3" fillId="0" borderId="31" xfId="2" applyNumberFormat="1" applyFont="1" applyBorder="1" applyAlignment="1">
      <alignment horizontal="left" vertical="top" wrapText="1"/>
    </xf>
    <xf numFmtId="49" fontId="3" fillId="0" borderId="31" xfId="2" applyNumberFormat="1" applyFont="1" applyBorder="1" applyAlignment="1">
      <alignment horizontal="center" vertical="center"/>
    </xf>
    <xf numFmtId="49" fontId="5" fillId="0" borderId="35" xfId="2" applyNumberFormat="1" applyFont="1" applyBorder="1" applyAlignment="1">
      <alignment horizontal="center" vertical="top" wrapText="1"/>
    </xf>
    <xf numFmtId="4" fontId="36" fillId="0" borderId="35" xfId="2" applyNumberFormat="1" applyFont="1" applyBorder="1" applyAlignment="1">
      <alignment horizontal="right" vertical="center"/>
    </xf>
    <xf numFmtId="49" fontId="36" fillId="0" borderId="45" xfId="2" applyNumberFormat="1" applyFont="1" applyBorder="1" applyAlignment="1">
      <alignment horizontal="left" vertical="top" wrapText="1"/>
    </xf>
    <xf numFmtId="49" fontId="36" fillId="0" borderId="0" xfId="2" applyNumberFormat="1" applyFont="1" applyBorder="1" applyAlignment="1">
      <alignment horizontal="center" vertical="center"/>
    </xf>
    <xf numFmtId="4" fontId="36" fillId="0" borderId="45" xfId="2" applyNumberFormat="1" applyFont="1" applyBorder="1" applyAlignment="1">
      <alignment horizontal="right" vertical="center"/>
    </xf>
    <xf numFmtId="0" fontId="41" fillId="0" borderId="35" xfId="2" applyFont="1" applyBorder="1" applyAlignment="1">
      <alignment horizontal="left" vertical="top" wrapText="1"/>
    </xf>
    <xf numFmtId="49" fontId="5" fillId="0" borderId="44" xfId="2" applyNumberFormat="1" applyFont="1" applyBorder="1" applyAlignment="1">
      <alignment horizontal="center" vertical="top" wrapText="1"/>
    </xf>
    <xf numFmtId="49" fontId="36" fillId="0" borderId="47" xfId="2" applyNumberFormat="1" applyFont="1" applyBorder="1" applyAlignment="1">
      <alignment horizontal="left" vertical="top" wrapText="1"/>
    </xf>
    <xf numFmtId="49" fontId="36" fillId="0" borderId="11" xfId="2" applyNumberFormat="1" applyFont="1" applyBorder="1" applyAlignment="1">
      <alignment horizontal="center" vertical="center"/>
    </xf>
    <xf numFmtId="4" fontId="36" fillId="0" borderId="47" xfId="2" applyNumberFormat="1" applyFont="1" applyBorder="1" applyAlignment="1">
      <alignment horizontal="right" vertical="center"/>
    </xf>
    <xf numFmtId="4" fontId="36" fillId="0" borderId="44" xfId="2" applyNumberFormat="1" applyFont="1" applyBorder="1" applyAlignment="1">
      <alignment horizontal="right" vertical="center"/>
    </xf>
    <xf numFmtId="0" fontId="41" fillId="0" borderId="44" xfId="2" applyFont="1" applyBorder="1" applyAlignment="1">
      <alignment horizontal="left" vertical="top" wrapText="1"/>
    </xf>
    <xf numFmtId="49" fontId="5" fillId="0" borderId="49" xfId="2" applyNumberFormat="1" applyFont="1" applyBorder="1" applyAlignment="1">
      <alignment horizontal="center" vertical="top" wrapText="1"/>
    </xf>
    <xf numFmtId="49" fontId="3" fillId="0" borderId="49" xfId="2" applyNumberFormat="1" applyFont="1" applyBorder="1" applyAlignment="1">
      <alignment horizontal="left" vertical="top" wrapText="1"/>
    </xf>
    <xf numFmtId="49" fontId="3" fillId="0" borderId="49" xfId="2" applyNumberFormat="1" applyFont="1" applyBorder="1" applyAlignment="1">
      <alignment horizontal="center" vertical="center"/>
    </xf>
    <xf numFmtId="4" fontId="3" fillId="0" borderId="50" xfId="2" applyNumberFormat="1" applyFont="1" applyBorder="1" applyAlignment="1">
      <alignment horizontal="right" vertical="center"/>
    </xf>
    <xf numFmtId="0" fontId="39" fillId="0" borderId="49" xfId="2" applyFont="1" applyBorder="1" applyAlignment="1">
      <alignment horizontal="left" vertical="top" wrapText="1"/>
    </xf>
    <xf numFmtId="49" fontId="5" fillId="0" borderId="33" xfId="2" applyNumberFormat="1" applyFont="1" applyBorder="1" applyAlignment="1">
      <alignment horizontal="center" vertical="top" wrapText="1"/>
    </xf>
    <xf numFmtId="49" fontId="3" fillId="0" borderId="44" xfId="2" applyNumberFormat="1" applyFont="1" applyBorder="1" applyAlignment="1">
      <alignment horizontal="center" vertical="center"/>
    </xf>
    <xf numFmtId="4" fontId="3" fillId="0" borderId="44" xfId="2" applyNumberFormat="1" applyFont="1" applyBorder="1" applyAlignment="1">
      <alignment horizontal="right" vertical="center"/>
    </xf>
    <xf numFmtId="4" fontId="3" fillId="0" borderId="47" xfId="2" applyNumberFormat="1" applyFont="1" applyBorder="1" applyAlignment="1">
      <alignment horizontal="right" vertical="center"/>
    </xf>
    <xf numFmtId="49" fontId="3" fillId="0" borderId="51" xfId="2" applyNumberFormat="1" applyFont="1" applyBorder="1" applyAlignment="1">
      <alignment horizontal="left" vertical="top" wrapText="1"/>
    </xf>
    <xf numFmtId="49" fontId="3" fillId="0" borderId="51" xfId="2" applyNumberFormat="1" applyFont="1" applyBorder="1" applyAlignment="1">
      <alignment horizontal="center" vertical="center"/>
    </xf>
    <xf numFmtId="4" fontId="3" fillId="0" borderId="52" xfId="2" applyNumberFormat="1" applyFont="1" applyBorder="1" applyAlignment="1">
      <alignment horizontal="right" vertical="center"/>
    </xf>
    <xf numFmtId="49" fontId="3" fillId="0" borderId="44" xfId="2" applyNumberFormat="1" applyFont="1" applyBorder="1" applyAlignment="1">
      <alignment horizontal="left" vertical="top" wrapText="1"/>
    </xf>
    <xf numFmtId="49" fontId="2" fillId="0" borderId="44" xfId="2" applyNumberFormat="1" applyFont="1" applyBorder="1" applyAlignment="1">
      <alignment horizontal="center" vertical="center"/>
    </xf>
    <xf numFmtId="0" fontId="2" fillId="0" borderId="44" xfId="2" applyFont="1" applyBorder="1" applyAlignment="1">
      <alignment horizontal="left" vertical="top" wrapText="1"/>
    </xf>
    <xf numFmtId="4" fontId="2" fillId="0" borderId="44" xfId="2" applyNumberFormat="1" applyFont="1" applyBorder="1" applyAlignment="1">
      <alignment horizontal="right" vertical="center"/>
    </xf>
    <xf numFmtId="0" fontId="3" fillId="0" borderId="44" xfId="2" applyFont="1" applyBorder="1" applyAlignment="1">
      <alignment horizontal="left" vertical="top" wrapText="1"/>
    </xf>
    <xf numFmtId="49" fontId="3" fillId="0" borderId="44" xfId="2" applyNumberFormat="1" applyBorder="1" applyAlignment="1">
      <alignment horizontal="center" vertical="center"/>
    </xf>
    <xf numFmtId="0" fontId="3" fillId="0" borderId="35" xfId="2" applyFont="1" applyBorder="1" applyAlignment="1">
      <alignment horizontal="left" vertical="top" wrapText="1"/>
    </xf>
    <xf numFmtId="49" fontId="3" fillId="0" borderId="35" xfId="2" applyNumberFormat="1" applyBorder="1" applyAlignment="1">
      <alignment horizontal="center" vertical="center"/>
    </xf>
    <xf numFmtId="4" fontId="3" fillId="0" borderId="35" xfId="2" applyNumberFormat="1" applyFont="1" applyBorder="1" applyAlignment="1">
      <alignment horizontal="right" vertical="center"/>
    </xf>
    <xf numFmtId="0" fontId="39" fillId="0" borderId="4" xfId="2" applyFont="1" applyBorder="1" applyAlignment="1">
      <alignment horizontal="left" vertical="top" wrapText="1"/>
    </xf>
    <xf numFmtId="4" fontId="3" fillId="0" borderId="10" xfId="2" applyNumberFormat="1" applyFont="1" applyBorder="1" applyAlignment="1">
      <alignment horizontal="right" vertical="center"/>
    </xf>
    <xf numFmtId="0" fontId="39" fillId="0" borderId="10" xfId="2" applyFont="1" applyBorder="1" applyAlignment="1">
      <alignment horizontal="left" vertical="top" wrapText="1"/>
    </xf>
    <xf numFmtId="0" fontId="3" fillId="0" borderId="10" xfId="2" applyFont="1" applyBorder="1" applyAlignment="1">
      <alignment horizontal="left" vertical="top" wrapText="1"/>
    </xf>
    <xf numFmtId="49" fontId="3" fillId="0" borderId="10" xfId="2" applyNumberFormat="1" applyBorder="1" applyAlignment="1">
      <alignment horizontal="center" vertical="center"/>
    </xf>
    <xf numFmtId="0" fontId="2" fillId="0" borderId="10" xfId="2" applyFont="1" applyBorder="1" applyAlignment="1">
      <alignment horizontal="left" vertical="top" wrapText="1"/>
    </xf>
    <xf numFmtId="0" fontId="2" fillId="0" borderId="54" xfId="2" applyFont="1" applyBorder="1" applyAlignment="1">
      <alignment horizontal="left" vertical="top" wrapText="1"/>
    </xf>
    <xf numFmtId="49" fontId="2" fillId="0" borderId="10" xfId="2" applyNumberFormat="1" applyFont="1" applyBorder="1" applyAlignment="1">
      <alignment horizontal="center" vertical="center"/>
    </xf>
    <xf numFmtId="4" fontId="2" fillId="0" borderId="10" xfId="2" applyNumberFormat="1" applyFont="1" applyBorder="1" applyAlignment="1">
      <alignment horizontal="right" vertical="center"/>
    </xf>
    <xf numFmtId="4" fontId="2" fillId="0" borderId="48" xfId="2" applyNumberFormat="1" applyFont="1" applyBorder="1" applyAlignment="1">
      <alignment horizontal="right" vertical="center"/>
    </xf>
    <xf numFmtId="0" fontId="2" fillId="0" borderId="4" xfId="2" applyFont="1" applyBorder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" fontId="2" fillId="0" borderId="4" xfId="2" applyNumberFormat="1" applyFont="1" applyBorder="1" applyAlignment="1">
      <alignment horizontal="right" vertical="center"/>
    </xf>
    <xf numFmtId="4" fontId="3" fillId="0" borderId="54" xfId="2" applyNumberFormat="1" applyFont="1" applyBorder="1" applyAlignment="1">
      <alignment horizontal="right" vertical="center"/>
    </xf>
    <xf numFmtId="0" fontId="2" fillId="0" borderId="8" xfId="2" applyFont="1" applyBorder="1" applyAlignment="1">
      <alignment horizontal="left" vertical="top" wrapText="1"/>
    </xf>
    <xf numFmtId="49" fontId="3" fillId="0" borderId="8" xfId="2" applyNumberFormat="1" applyBorder="1" applyAlignment="1">
      <alignment horizontal="center" vertical="center"/>
    </xf>
    <xf numFmtId="4" fontId="3" fillId="0" borderId="8" xfId="2" applyNumberFormat="1" applyFont="1" applyBorder="1" applyAlignment="1">
      <alignment horizontal="right" vertical="center"/>
    </xf>
    <xf numFmtId="0" fontId="39" fillId="0" borderId="56" xfId="2" applyFont="1" applyBorder="1" applyAlignment="1">
      <alignment horizontal="left" vertical="top" wrapText="1"/>
    </xf>
    <xf numFmtId="49" fontId="5" fillId="0" borderId="57" xfId="2" applyNumberFormat="1" applyFont="1" applyBorder="1" applyAlignment="1">
      <alignment horizontal="center" vertical="top" wrapText="1"/>
    </xf>
    <xf numFmtId="49" fontId="36" fillId="0" borderId="8" xfId="2" applyNumberFormat="1" applyFont="1" applyBorder="1" applyAlignment="1">
      <alignment horizontal="center" vertical="center"/>
    </xf>
    <xf numFmtId="4" fontId="36" fillId="0" borderId="8" xfId="2" applyNumberFormat="1" applyFont="1" applyBorder="1" applyAlignment="1">
      <alignment horizontal="right" vertical="center"/>
    </xf>
    <xf numFmtId="4" fontId="36" fillId="0" borderId="0" xfId="2" applyNumberFormat="1" applyFont="1" applyBorder="1" applyAlignment="1">
      <alignment horizontal="right" vertical="center"/>
    </xf>
    <xf numFmtId="0" fontId="39" fillId="0" borderId="8" xfId="2" applyFont="1" applyBorder="1" applyAlignment="1">
      <alignment horizontal="left" vertical="top" wrapText="1"/>
    </xf>
    <xf numFmtId="0" fontId="3" fillId="0" borderId="8" xfId="2" applyFont="1" applyBorder="1" applyAlignment="1">
      <alignment horizontal="left" vertical="top" wrapText="1"/>
    </xf>
    <xf numFmtId="4" fontId="44" fillId="0" borderId="8" xfId="2" applyNumberFormat="1" applyFont="1" applyBorder="1" applyAlignment="1">
      <alignment horizontal="right" vertical="center"/>
    </xf>
    <xf numFmtId="49" fontId="36" fillId="0" borderId="10" xfId="2" applyNumberFormat="1" applyFont="1" applyBorder="1" applyAlignment="1">
      <alignment horizontal="center" vertical="center"/>
    </xf>
    <xf numFmtId="4" fontId="36" fillId="0" borderId="10" xfId="2" applyNumberFormat="1" applyFont="1" applyBorder="1" applyAlignment="1">
      <alignment horizontal="right" vertical="center"/>
    </xf>
    <xf numFmtId="4" fontId="44" fillId="0" borderId="10" xfId="2" applyNumberFormat="1" applyFont="1" applyBorder="1" applyAlignment="1">
      <alignment horizontal="right" vertical="center"/>
    </xf>
    <xf numFmtId="4" fontId="3" fillId="0" borderId="57" xfId="2" applyNumberFormat="1" applyFont="1" applyBorder="1" applyAlignment="1">
      <alignment horizontal="right" vertical="center"/>
    </xf>
    <xf numFmtId="0" fontId="39" fillId="0" borderId="58" xfId="2" applyFont="1" applyBorder="1" applyAlignment="1">
      <alignment horizontal="left" vertical="top" wrapText="1"/>
    </xf>
    <xf numFmtId="49" fontId="36" fillId="0" borderId="35" xfId="2" applyNumberFormat="1" applyFont="1" applyBorder="1" applyAlignment="1">
      <alignment horizontal="center" vertical="center"/>
    </xf>
    <xf numFmtId="49" fontId="36" fillId="0" borderId="44" xfId="2" applyNumberFormat="1" applyFont="1" applyBorder="1" applyAlignment="1">
      <alignment horizontal="center" vertical="center"/>
    </xf>
    <xf numFmtId="49" fontId="5" fillId="0" borderId="59" xfId="2" applyNumberFormat="1" applyFont="1" applyBorder="1" applyAlignment="1">
      <alignment horizontal="center" vertical="top" wrapText="1"/>
    </xf>
    <xf numFmtId="0" fontId="36" fillId="0" borderId="10" xfId="2" applyFont="1" applyBorder="1" applyAlignment="1">
      <alignment horizontal="left" vertical="top" wrapText="1"/>
    </xf>
    <xf numFmtId="4" fontId="3" fillId="0" borderId="0" xfId="2" applyNumberFormat="1"/>
    <xf numFmtId="0" fontId="3" fillId="0" borderId="0" xfId="2" applyFont="1"/>
    <xf numFmtId="0" fontId="3" fillId="0" borderId="0" xfId="2" applyFont="1" applyAlignment="1">
      <alignment wrapText="1"/>
    </xf>
    <xf numFmtId="0" fontId="45" fillId="0" borderId="0" xfId="43" applyFont="1"/>
    <xf numFmtId="0" fontId="6" fillId="0" borderId="0" xfId="7" applyAlignment="1"/>
    <xf numFmtId="0" fontId="4" fillId="0" borderId="0" xfId="2" applyFont="1" applyAlignment="1"/>
    <xf numFmtId="0" fontId="7" fillId="0" borderId="0" xfId="2" applyFont="1" applyAlignment="1">
      <alignment wrapText="1"/>
    </xf>
    <xf numFmtId="0" fontId="46" fillId="0" borderId="0" xfId="43" applyFont="1" applyAlignment="1">
      <alignment horizontal="center" vertical="center"/>
    </xf>
    <xf numFmtId="0" fontId="47" fillId="0" borderId="0" xfId="43" applyFont="1"/>
    <xf numFmtId="0" fontId="49" fillId="0" borderId="61" xfId="43" applyFont="1" applyBorder="1" applyAlignment="1">
      <alignment horizontal="center" vertical="center"/>
    </xf>
    <xf numFmtId="0" fontId="49" fillId="0" borderId="29" xfId="43" applyFont="1" applyBorder="1" applyAlignment="1">
      <alignment horizontal="center" vertical="center"/>
    </xf>
    <xf numFmtId="0" fontId="50" fillId="0" borderId="62" xfId="43" applyFont="1" applyBorder="1" applyAlignment="1">
      <alignment horizontal="center" vertical="center"/>
    </xf>
    <xf numFmtId="0" fontId="51" fillId="0" borderId="39" xfId="43" applyFont="1" applyBorder="1" applyAlignment="1">
      <alignment horizontal="center" vertical="center"/>
    </xf>
    <xf numFmtId="49" fontId="52" fillId="0" borderId="39" xfId="43" applyNumberFormat="1" applyFont="1" applyBorder="1" applyAlignment="1">
      <alignment horizontal="center" vertical="center" wrapText="1"/>
    </xf>
    <xf numFmtId="0" fontId="53" fillId="0" borderId="4" xfId="43" applyFont="1" applyBorder="1" applyAlignment="1">
      <alignment horizontal="center" vertical="center"/>
    </xf>
    <xf numFmtId="0" fontId="51" fillId="0" borderId="63" xfId="43" applyFont="1" applyBorder="1" applyAlignment="1">
      <alignment horizontal="left" vertical="center" wrapText="1"/>
    </xf>
    <xf numFmtId="4" fontId="52" fillId="0" borderId="65" xfId="43" applyNumberFormat="1" applyFont="1" applyBorder="1" applyAlignment="1">
      <alignment horizontal="right" vertical="center" wrapText="1"/>
    </xf>
    <xf numFmtId="0" fontId="54" fillId="0" borderId="67" xfId="43" applyFont="1" applyBorder="1" applyAlignment="1">
      <alignment vertical="center" wrapText="1"/>
    </xf>
    <xf numFmtId="4" fontId="19" fillId="0" borderId="38" xfId="43" applyNumberFormat="1" applyFont="1" applyBorder="1" applyAlignment="1">
      <alignment horizontal="right" vertical="center" wrapText="1"/>
    </xf>
    <xf numFmtId="165" fontId="55" fillId="10" borderId="61" xfId="43" applyNumberFormat="1" applyFont="1" applyFill="1" applyBorder="1" applyAlignment="1">
      <alignment horizontal="left" vertical="top" wrapText="1"/>
    </xf>
    <xf numFmtId="0" fontId="45" fillId="10" borderId="29" xfId="43" applyFont="1" applyFill="1" applyBorder="1" applyAlignment="1">
      <alignment vertical="top" wrapText="1"/>
    </xf>
    <xf numFmtId="0" fontId="45" fillId="10" borderId="62" xfId="43" applyFont="1" applyFill="1" applyBorder="1" applyAlignment="1">
      <alignment vertical="top" wrapText="1"/>
    </xf>
    <xf numFmtId="0" fontId="55" fillId="10" borderId="39" xfId="43" applyFont="1" applyFill="1" applyBorder="1" applyAlignment="1">
      <alignment horizontal="left" vertical="top" wrapText="1"/>
    </xf>
    <xf numFmtId="4" fontId="56" fillId="10" borderId="39" xfId="43" applyNumberFormat="1" applyFont="1" applyFill="1" applyBorder="1" applyAlignment="1">
      <alignment horizontal="right" vertical="top" wrapText="1"/>
    </xf>
    <xf numFmtId="166" fontId="46" fillId="11" borderId="29" xfId="43" applyNumberFormat="1" applyFont="1" applyFill="1" applyBorder="1" applyAlignment="1">
      <alignment horizontal="left" vertical="top" wrapText="1"/>
    </xf>
    <xf numFmtId="0" fontId="45" fillId="11" borderId="62" xfId="43" applyFont="1" applyFill="1" applyBorder="1" applyAlignment="1">
      <alignment vertical="top" wrapText="1"/>
    </xf>
    <xf numFmtId="0" fontId="46" fillId="11" borderId="39" xfId="43" applyFont="1" applyFill="1" applyBorder="1" applyAlignment="1">
      <alignment horizontal="left" vertical="top" wrapText="1"/>
    </xf>
    <xf numFmtId="4" fontId="57" fillId="11" borderId="39" xfId="43" applyNumberFormat="1" applyFont="1" applyFill="1" applyBorder="1" applyAlignment="1">
      <alignment horizontal="right" vertical="top" wrapText="1"/>
    </xf>
    <xf numFmtId="0" fontId="45" fillId="0" borderId="31" xfId="43" applyFont="1" applyBorder="1" applyAlignment="1">
      <alignment vertical="top" wrapText="1"/>
    </xf>
    <xf numFmtId="167" fontId="46" fillId="0" borderId="62" xfId="43" applyNumberFormat="1" applyFont="1" applyBorder="1" applyAlignment="1">
      <alignment horizontal="left" vertical="top" wrapText="1"/>
    </xf>
    <xf numFmtId="0" fontId="46" fillId="0" borderId="39" xfId="43" applyFont="1" applyBorder="1" applyAlignment="1">
      <alignment horizontal="left" vertical="top" wrapText="1"/>
    </xf>
    <xf numFmtId="4" fontId="57" fillId="0" borderId="39" xfId="43" applyNumberFormat="1" applyFont="1" applyBorder="1" applyAlignment="1">
      <alignment horizontal="right" vertical="top" wrapText="1"/>
    </xf>
    <xf numFmtId="4" fontId="45" fillId="0" borderId="4" xfId="43" applyNumberFormat="1" applyFont="1" applyBorder="1" applyAlignment="1">
      <alignment vertical="top" wrapText="1"/>
    </xf>
    <xf numFmtId="0" fontId="45" fillId="11" borderId="72" xfId="43" applyFont="1" applyFill="1" applyBorder="1" applyAlignment="1">
      <alignment vertical="top" wrapText="1"/>
    </xf>
    <xf numFmtId="0" fontId="46" fillId="11" borderId="40" xfId="43" applyFont="1" applyFill="1" applyBorder="1" applyAlignment="1">
      <alignment horizontal="left" vertical="top" wrapText="1"/>
    </xf>
    <xf numFmtId="4" fontId="57" fillId="11" borderId="40" xfId="43" applyNumberFormat="1" applyFont="1" applyFill="1" applyBorder="1" applyAlignment="1">
      <alignment horizontal="right" vertical="top" wrapText="1"/>
    </xf>
    <xf numFmtId="0" fontId="45" fillId="0" borderId="37" xfId="43" applyFont="1" applyBorder="1" applyAlignment="1">
      <alignment vertical="top" wrapText="1"/>
    </xf>
    <xf numFmtId="167" fontId="46" fillId="0" borderId="75" xfId="43" applyNumberFormat="1" applyFont="1" applyBorder="1" applyAlignment="1">
      <alignment horizontal="left" vertical="top" wrapText="1"/>
    </xf>
    <xf numFmtId="0" fontId="46" fillId="0" borderId="76" xfId="43" applyFont="1" applyBorder="1" applyAlignment="1">
      <alignment horizontal="left" vertical="top" wrapText="1"/>
    </xf>
    <xf numFmtId="4" fontId="57" fillId="0" borderId="40" xfId="43" applyNumberFormat="1" applyFont="1" applyBorder="1" applyAlignment="1">
      <alignment horizontal="right" vertical="top" wrapText="1"/>
    </xf>
    <xf numFmtId="4" fontId="45" fillId="0" borderId="7" xfId="43" applyNumberFormat="1" applyFont="1" applyBorder="1" applyAlignment="1">
      <alignment vertical="top" wrapText="1"/>
    </xf>
    <xf numFmtId="0" fontId="47" fillId="0" borderId="16" xfId="43" applyFont="1" applyBorder="1" applyAlignment="1">
      <alignment vertical="center" wrapText="1"/>
    </xf>
    <xf numFmtId="4" fontId="19" fillId="0" borderId="77" xfId="43" applyNumberFormat="1" applyFont="1" applyBorder="1" applyAlignment="1">
      <alignment vertical="center" wrapText="1"/>
    </xf>
    <xf numFmtId="0" fontId="56" fillId="7" borderId="4" xfId="43" applyFont="1" applyFill="1" applyBorder="1" applyAlignment="1">
      <alignment horizontal="left" vertical="center" wrapText="1"/>
    </xf>
    <xf numFmtId="0" fontId="57" fillId="7" borderId="4" xfId="43" applyFont="1" applyFill="1" applyBorder="1" applyAlignment="1">
      <alignment horizontal="left" vertical="center" wrapText="1"/>
    </xf>
    <xf numFmtId="4" fontId="56" fillId="7" borderId="25" xfId="43" applyNumberFormat="1" applyFont="1" applyFill="1" applyBorder="1" applyAlignment="1">
      <alignment vertical="center" wrapText="1"/>
    </xf>
    <xf numFmtId="0" fontId="45" fillId="3" borderId="4" xfId="43" applyFont="1" applyFill="1" applyBorder="1" applyAlignment="1">
      <alignment horizontal="left" vertical="center" wrapText="1"/>
    </xf>
    <xf numFmtId="4" fontId="57" fillId="3" borderId="68" xfId="43" applyNumberFormat="1" applyFont="1" applyFill="1" applyBorder="1" applyAlignment="1">
      <alignment vertical="center" wrapText="1"/>
    </xf>
    <xf numFmtId="4" fontId="57" fillId="3" borderId="4" xfId="43" applyNumberFormat="1" applyFont="1" applyFill="1" applyBorder="1" applyAlignment="1">
      <alignment vertical="center" wrapText="1"/>
    </xf>
    <xf numFmtId="0" fontId="47" fillId="0" borderId="7" xfId="43" applyFont="1" applyBorder="1" applyAlignment="1">
      <alignment horizontal="center" vertical="center" wrapText="1"/>
    </xf>
    <xf numFmtId="0" fontId="45" fillId="0" borderId="4" xfId="43" applyFont="1" applyBorder="1" applyAlignment="1">
      <alignment horizontal="left" vertical="top" wrapText="1"/>
    </xf>
    <xf numFmtId="0" fontId="46" fillId="0" borderId="52" xfId="43" applyFont="1" applyBorder="1" applyAlignment="1">
      <alignment horizontal="left" vertical="top" wrapText="1"/>
    </xf>
    <xf numFmtId="4" fontId="57" fillId="0" borderId="41" xfId="43" applyNumberFormat="1" applyFont="1" applyBorder="1" applyAlignment="1">
      <alignment vertical="top" wrapText="1"/>
    </xf>
    <xf numFmtId="4" fontId="57" fillId="0" borderId="4" xfId="43" applyNumberFormat="1" applyFont="1" applyBorder="1" applyAlignment="1">
      <alignment vertical="top" wrapText="1"/>
    </xf>
    <xf numFmtId="4" fontId="58" fillId="0" borderId="4" xfId="7" applyNumberFormat="1" applyFont="1" applyBorder="1" applyAlignment="1">
      <alignment vertical="top" wrapText="1"/>
    </xf>
    <xf numFmtId="0" fontId="56" fillId="7" borderId="68" xfId="43" applyFont="1" applyFill="1" applyBorder="1" applyAlignment="1">
      <alignment horizontal="left" vertical="center" wrapText="1"/>
    </xf>
    <xf numFmtId="4" fontId="56" fillId="7" borderId="41" xfId="43" applyNumberFormat="1" applyFont="1" applyFill="1" applyBorder="1" applyAlignment="1">
      <alignment horizontal="right" vertical="center" wrapText="1"/>
    </xf>
    <xf numFmtId="4" fontId="56" fillId="7" borderId="4" xfId="43" applyNumberFormat="1" applyFont="1" applyFill="1" applyBorder="1" applyAlignment="1">
      <alignment horizontal="right" vertical="center" wrapText="1"/>
    </xf>
    <xf numFmtId="0" fontId="52" fillId="6" borderId="7" xfId="43" applyFont="1" applyFill="1" applyBorder="1" applyAlignment="1">
      <alignment horizontal="center" vertical="center" wrapText="1"/>
    </xf>
    <xf numFmtId="0" fontId="57" fillId="3" borderId="5" xfId="43" applyFont="1" applyFill="1" applyBorder="1" applyAlignment="1">
      <alignment horizontal="left" vertical="center" wrapText="1"/>
    </xf>
    <xf numFmtId="0" fontId="57" fillId="3" borderId="4" xfId="43" applyFont="1" applyFill="1" applyBorder="1" applyAlignment="1">
      <alignment horizontal="left" vertical="top" wrapText="1"/>
    </xf>
    <xf numFmtId="0" fontId="58" fillId="3" borderId="4" xfId="43" applyFont="1" applyFill="1" applyBorder="1" applyAlignment="1">
      <alignment horizontal="left" vertical="top" wrapText="1"/>
    </xf>
    <xf numFmtId="4" fontId="57" fillId="3" borderId="25" xfId="43" applyNumberFormat="1" applyFont="1" applyFill="1" applyBorder="1" applyAlignment="1">
      <alignment vertical="center" wrapText="1"/>
    </xf>
    <xf numFmtId="0" fontId="52" fillId="6" borderId="8" xfId="43" applyFont="1" applyFill="1" applyBorder="1" applyAlignment="1">
      <alignment horizontal="center" vertical="center" wrapText="1"/>
    </xf>
    <xf numFmtId="0" fontId="56" fillId="6" borderId="5" xfId="43" applyFont="1" applyFill="1" applyBorder="1" applyAlignment="1">
      <alignment horizontal="left" vertical="center" wrapText="1"/>
    </xf>
    <xf numFmtId="0" fontId="57" fillId="6" borderId="4" xfId="43" applyFont="1" applyFill="1" applyBorder="1" applyAlignment="1">
      <alignment horizontal="left" vertical="top" wrapText="1"/>
    </xf>
    <xf numFmtId="0" fontId="46" fillId="0" borderId="47" xfId="43" applyFont="1" applyBorder="1" applyAlignment="1">
      <alignment horizontal="left" vertical="top" wrapText="1"/>
    </xf>
    <xf numFmtId="4" fontId="57" fillId="6" borderId="25" xfId="43" applyNumberFormat="1" applyFont="1" applyFill="1" applyBorder="1" applyAlignment="1">
      <alignment vertical="top" wrapText="1"/>
    </xf>
    <xf numFmtId="0" fontId="45" fillId="3" borderId="68" xfId="43" applyFont="1" applyFill="1" applyBorder="1" applyAlignment="1">
      <alignment horizontal="left" vertical="center" wrapText="1"/>
    </xf>
    <xf numFmtId="4" fontId="57" fillId="3" borderId="41" xfId="43" applyNumberFormat="1" applyFont="1" applyFill="1" applyBorder="1" applyAlignment="1">
      <alignment vertical="center" wrapText="1"/>
    </xf>
    <xf numFmtId="0" fontId="47" fillId="0" borderId="4" xfId="43" applyFont="1" applyBorder="1" applyAlignment="1">
      <alignment horizontal="left" vertical="center" wrapText="1"/>
    </xf>
    <xf numFmtId="0" fontId="45" fillId="0" borderId="51" xfId="43" applyFont="1" applyBorder="1" applyAlignment="1">
      <alignment vertical="top" wrapText="1"/>
    </xf>
    <xf numFmtId="167" fontId="46" fillId="0" borderId="79" xfId="43" applyNumberFormat="1" applyFont="1" applyBorder="1" applyAlignment="1">
      <alignment horizontal="left" vertical="top" wrapText="1"/>
    </xf>
    <xf numFmtId="4" fontId="57" fillId="0" borderId="52" xfId="43" applyNumberFormat="1" applyFont="1" applyBorder="1" applyAlignment="1">
      <alignment horizontal="right" vertical="top" wrapText="1"/>
    </xf>
    <xf numFmtId="0" fontId="56" fillId="6" borderId="16" xfId="43" applyFont="1" applyFill="1" applyBorder="1" applyAlignment="1">
      <alignment horizontal="center" vertical="center" wrapText="1"/>
    </xf>
    <xf numFmtId="0" fontId="45" fillId="3" borderId="49" xfId="43" applyFont="1" applyFill="1" applyBorder="1" applyAlignment="1">
      <alignment horizontal="left" vertical="top" wrapText="1"/>
    </xf>
    <xf numFmtId="167" fontId="46" fillId="3" borderId="54" xfId="43" applyNumberFormat="1" applyFont="1" applyFill="1" applyBorder="1" applyAlignment="1">
      <alignment horizontal="left" vertical="top" wrapText="1"/>
    </xf>
    <xf numFmtId="0" fontId="46" fillId="3" borderId="4" xfId="43" applyFont="1" applyFill="1" applyBorder="1" applyAlignment="1">
      <alignment horizontal="left" vertical="top" wrapText="1"/>
    </xf>
    <xf numFmtId="4" fontId="57" fillId="3" borderId="4" xfId="43" applyNumberFormat="1" applyFont="1" applyFill="1" applyBorder="1" applyAlignment="1">
      <alignment horizontal="right" vertical="top" wrapText="1"/>
    </xf>
    <xf numFmtId="4" fontId="45" fillId="3" borderId="4" xfId="43" applyNumberFormat="1" applyFont="1" applyFill="1" applyBorder="1" applyAlignment="1">
      <alignment vertical="top" wrapText="1"/>
    </xf>
    <xf numFmtId="0" fontId="56" fillId="6" borderId="67" xfId="43" applyFont="1" applyFill="1" applyBorder="1" applyAlignment="1">
      <alignment horizontal="center" vertical="center" wrapText="1"/>
    </xf>
    <xf numFmtId="0" fontId="45" fillId="0" borderId="35" xfId="43" applyFont="1" applyBorder="1" applyAlignment="1">
      <alignment vertical="top" wrapText="1"/>
    </xf>
    <xf numFmtId="167" fontId="46" fillId="0" borderId="0" xfId="43" applyNumberFormat="1" applyFont="1" applyBorder="1" applyAlignment="1">
      <alignment horizontal="left" vertical="top" wrapText="1"/>
    </xf>
    <xf numFmtId="4" fontId="57" fillId="0" borderId="10" xfId="43" applyNumberFormat="1" applyFont="1" applyBorder="1" applyAlignment="1">
      <alignment horizontal="right" vertical="top" wrapText="1"/>
    </xf>
    <xf numFmtId="4" fontId="45" fillId="0" borderId="10" xfId="43" applyNumberFormat="1" applyFont="1" applyBorder="1" applyAlignment="1">
      <alignment vertical="top" wrapText="1"/>
    </xf>
    <xf numFmtId="0" fontId="55" fillId="10" borderId="41" xfId="43" applyFont="1" applyFill="1" applyBorder="1" applyAlignment="1">
      <alignment horizontal="left" vertical="top" wrapText="1"/>
    </xf>
    <xf numFmtId="4" fontId="56" fillId="10" borderId="41" xfId="43" applyNumberFormat="1" applyFont="1" applyFill="1" applyBorder="1" applyAlignment="1">
      <alignment horizontal="right" vertical="top" wrapText="1"/>
    </xf>
    <xf numFmtId="0" fontId="45" fillId="0" borderId="71" xfId="43" applyFont="1" applyFill="1" applyBorder="1" applyAlignment="1">
      <alignment vertical="top" wrapText="1"/>
    </xf>
    <xf numFmtId="166" fontId="46" fillId="11" borderId="51" xfId="43" applyNumberFormat="1" applyFont="1" applyFill="1" applyBorder="1" applyAlignment="1">
      <alignment horizontal="left" vertical="top" wrapText="1"/>
    </xf>
    <xf numFmtId="0" fontId="45" fillId="11" borderId="79" xfId="43" applyFont="1" applyFill="1" applyBorder="1" applyAlignment="1">
      <alignment vertical="top" wrapText="1"/>
    </xf>
    <xf numFmtId="0" fontId="46" fillId="11" borderId="52" xfId="43" applyFont="1" applyFill="1" applyBorder="1" applyAlignment="1">
      <alignment horizontal="left" vertical="top" wrapText="1"/>
    </xf>
    <xf numFmtId="4" fontId="57" fillId="11" borderId="52" xfId="43" applyNumberFormat="1" applyFont="1" applyFill="1" applyBorder="1" applyAlignment="1">
      <alignment horizontal="right" vertical="top" wrapText="1"/>
    </xf>
    <xf numFmtId="0" fontId="45" fillId="0" borderId="56" xfId="43" applyFont="1" applyBorder="1" applyAlignment="1">
      <alignment vertical="top" wrapText="1"/>
    </xf>
    <xf numFmtId="0" fontId="45" fillId="0" borderId="44" xfId="43" applyFont="1" applyBorder="1" applyAlignment="1">
      <alignment vertical="top" wrapText="1"/>
    </xf>
    <xf numFmtId="167" fontId="46" fillId="0" borderId="44" xfId="43" applyNumberFormat="1" applyFont="1" applyBorder="1" applyAlignment="1">
      <alignment horizontal="left" vertical="top" wrapText="1"/>
    </xf>
    <xf numFmtId="4" fontId="57" fillId="0" borderId="47" xfId="43" applyNumberFormat="1" applyFont="1" applyBorder="1" applyAlignment="1">
      <alignment horizontal="right" vertical="top" wrapText="1"/>
    </xf>
    <xf numFmtId="0" fontId="59" fillId="10" borderId="80" xfId="43" applyFont="1" applyFill="1" applyBorder="1" applyAlignment="1">
      <alignment horizontal="left" vertical="top" wrapText="1"/>
    </xf>
    <xf numFmtId="0" fontId="45" fillId="10" borderId="49" xfId="43" applyFont="1" applyFill="1" applyBorder="1" applyAlignment="1">
      <alignment vertical="top" wrapText="1"/>
    </xf>
    <xf numFmtId="167" fontId="46" fillId="10" borderId="55" xfId="43" applyNumberFormat="1" applyFont="1" applyFill="1" applyBorder="1" applyAlignment="1">
      <alignment horizontal="left" vertical="top" wrapText="1"/>
    </xf>
    <xf numFmtId="0" fontId="55" fillId="10" borderId="50" xfId="43" applyFont="1" applyFill="1" applyBorder="1" applyAlignment="1">
      <alignment horizontal="left" vertical="top" wrapText="1"/>
    </xf>
    <xf numFmtId="4" fontId="56" fillId="10" borderId="50" xfId="43" applyNumberFormat="1" applyFont="1" applyFill="1" applyBorder="1" applyAlignment="1">
      <alignment horizontal="right" vertical="top" wrapText="1"/>
    </xf>
    <xf numFmtId="0" fontId="45" fillId="11" borderId="49" xfId="43" applyFont="1" applyFill="1" applyBorder="1" applyAlignment="1">
      <alignment horizontal="left" vertical="top" wrapText="1"/>
    </xf>
    <xf numFmtId="167" fontId="46" fillId="11" borderId="54" xfId="43" applyNumberFormat="1" applyFont="1" applyFill="1" applyBorder="1" applyAlignment="1">
      <alignment horizontal="left" vertical="top" wrapText="1"/>
    </xf>
    <xf numFmtId="0" fontId="46" fillId="11" borderId="50" xfId="43" applyFont="1" applyFill="1" applyBorder="1" applyAlignment="1">
      <alignment horizontal="left" vertical="top" wrapText="1"/>
    </xf>
    <xf numFmtId="4" fontId="57" fillId="11" borderId="50" xfId="43" applyNumberFormat="1" applyFont="1" applyFill="1" applyBorder="1" applyAlignment="1">
      <alignment horizontal="right" vertical="top" wrapText="1"/>
    </xf>
    <xf numFmtId="0" fontId="45" fillId="0" borderId="33" xfId="43" applyFont="1" applyBorder="1" applyAlignment="1">
      <alignment vertical="top" wrapText="1"/>
    </xf>
    <xf numFmtId="167" fontId="46" fillId="0" borderId="81" xfId="43" applyNumberFormat="1" applyFont="1" applyBorder="1" applyAlignment="1">
      <alignment horizontal="left" vertical="top" wrapText="1"/>
    </xf>
    <xf numFmtId="0" fontId="46" fillId="0" borderId="41" xfId="43" applyFont="1" applyBorder="1" applyAlignment="1">
      <alignment horizontal="left" vertical="top" wrapText="1"/>
    </xf>
    <xf numFmtId="4" fontId="57" fillId="0" borderId="41" xfId="43" applyNumberFormat="1" applyFont="1" applyBorder="1" applyAlignment="1">
      <alignment horizontal="right" vertical="top" wrapText="1"/>
    </xf>
    <xf numFmtId="0" fontId="45" fillId="11" borderId="51" xfId="43" applyFont="1" applyFill="1" applyBorder="1" applyAlignment="1">
      <alignment horizontal="left" vertical="top" wrapText="1"/>
    </xf>
    <xf numFmtId="167" fontId="46" fillId="11" borderId="82" xfId="43" applyNumberFormat="1" applyFont="1" applyFill="1" applyBorder="1" applyAlignment="1">
      <alignment horizontal="left" vertical="top" wrapText="1"/>
    </xf>
    <xf numFmtId="167" fontId="46" fillId="0" borderId="48" xfId="43" applyNumberFormat="1" applyFont="1" applyBorder="1" applyAlignment="1">
      <alignment horizontal="left" vertical="top" wrapText="1"/>
    </xf>
    <xf numFmtId="0" fontId="56" fillId="7" borderId="4" xfId="43" applyFont="1" applyFill="1" applyBorder="1" applyAlignment="1">
      <alignment horizontal="left" vertical="top" wrapText="1"/>
    </xf>
    <xf numFmtId="0" fontId="45" fillId="7" borderId="4" xfId="43" applyFont="1" applyFill="1" applyBorder="1" applyAlignment="1">
      <alignment vertical="top" wrapText="1"/>
    </xf>
    <xf numFmtId="167" fontId="46" fillId="7" borderId="4" xfId="43" applyNumberFormat="1" applyFont="1" applyFill="1" applyBorder="1" applyAlignment="1">
      <alignment horizontal="left" vertical="top" wrapText="1"/>
    </xf>
    <xf numFmtId="0" fontId="60" fillId="7" borderId="4" xfId="43" applyFont="1" applyFill="1" applyBorder="1" applyAlignment="1">
      <alignment horizontal="left" vertical="top" wrapText="1"/>
    </xf>
    <xf numFmtId="4" fontId="57" fillId="7" borderId="25" xfId="43" applyNumberFormat="1" applyFont="1" applyFill="1" applyBorder="1" applyAlignment="1">
      <alignment horizontal="right" vertical="top" wrapText="1"/>
    </xf>
    <xf numFmtId="0" fontId="45" fillId="3" borderId="4" xfId="43" applyFont="1" applyFill="1" applyBorder="1" applyAlignment="1">
      <alignment horizontal="left" vertical="top" wrapText="1"/>
    </xf>
    <xf numFmtId="167" fontId="46" fillId="3" borderId="4" xfId="43" applyNumberFormat="1" applyFont="1" applyFill="1" applyBorder="1" applyAlignment="1">
      <alignment horizontal="left" vertical="top" wrapText="1"/>
    </xf>
    <xf numFmtId="0" fontId="60" fillId="3" borderId="4" xfId="43" applyFont="1" applyFill="1" applyBorder="1" applyAlignment="1">
      <alignment horizontal="left" vertical="top" wrapText="1"/>
    </xf>
    <xf numFmtId="4" fontId="57" fillId="3" borderId="25" xfId="43" applyNumberFormat="1" applyFont="1" applyFill="1" applyBorder="1" applyAlignment="1">
      <alignment horizontal="right" vertical="top" wrapText="1"/>
    </xf>
    <xf numFmtId="0" fontId="45" fillId="0" borderId="4" xfId="43" applyFont="1" applyBorder="1" applyAlignment="1">
      <alignment vertical="top" wrapText="1"/>
    </xf>
    <xf numFmtId="167" fontId="46" fillId="0" borderId="4" xfId="43" applyNumberFormat="1" applyFont="1" applyBorder="1" applyAlignment="1">
      <alignment horizontal="left" vertical="top" wrapText="1"/>
    </xf>
    <xf numFmtId="0" fontId="46" fillId="0" borderId="4" xfId="43" applyFont="1" applyBorder="1" applyAlignment="1">
      <alignment horizontal="left" vertical="top" wrapText="1"/>
    </xf>
    <xf numFmtId="4" fontId="57" fillId="0" borderId="25" xfId="43" applyNumberFormat="1" applyFont="1" applyBorder="1" applyAlignment="1">
      <alignment horizontal="right" vertical="top" wrapText="1"/>
    </xf>
    <xf numFmtId="0" fontId="45" fillId="13" borderId="29" xfId="43" applyFont="1" applyFill="1" applyBorder="1" applyAlignment="1">
      <alignment horizontal="left" vertical="top" wrapText="1"/>
    </xf>
    <xf numFmtId="0" fontId="45" fillId="0" borderId="43" xfId="43" applyFont="1" applyBorder="1" applyAlignment="1">
      <alignment vertical="top" wrapText="1"/>
    </xf>
    <xf numFmtId="0" fontId="47" fillId="0" borderId="83" xfId="43" applyFont="1" applyFill="1" applyBorder="1" applyAlignment="1">
      <alignment vertical="center" wrapText="1"/>
    </xf>
    <xf numFmtId="165" fontId="55" fillId="10" borderId="42" xfId="43" applyNumberFormat="1" applyFont="1" applyFill="1" applyBorder="1" applyAlignment="1">
      <alignment horizontal="left" vertical="top" wrapText="1"/>
    </xf>
    <xf numFmtId="0" fontId="45" fillId="0" borderId="29" xfId="43" applyFont="1" applyBorder="1" applyAlignment="1">
      <alignment vertical="top" wrapText="1"/>
    </xf>
    <xf numFmtId="0" fontId="47" fillId="0" borderId="67" xfId="43" applyFont="1" applyFill="1" applyBorder="1" applyAlignment="1">
      <alignment horizontal="left" vertical="center" wrapText="1"/>
    </xf>
    <xf numFmtId="4" fontId="19" fillId="0" borderId="41" xfId="43" applyNumberFormat="1" applyFont="1" applyBorder="1" applyAlignment="1">
      <alignment vertical="center" wrapText="1"/>
    </xf>
    <xf numFmtId="165" fontId="55" fillId="10" borderId="61" xfId="43" quotePrefix="1" applyNumberFormat="1" applyFont="1" applyFill="1" applyBorder="1" applyAlignment="1">
      <alignment horizontal="left" vertical="top" wrapText="1"/>
    </xf>
    <xf numFmtId="166" fontId="46" fillId="11" borderId="29" xfId="43" quotePrefix="1" applyNumberFormat="1" applyFont="1" applyFill="1" applyBorder="1" applyAlignment="1">
      <alignment horizontal="left" vertical="top" wrapText="1"/>
    </xf>
    <xf numFmtId="0" fontId="45" fillId="0" borderId="4" xfId="43" applyFont="1" applyFill="1" applyBorder="1" applyAlignment="1">
      <alignment horizontal="left" vertical="top" wrapText="1"/>
    </xf>
    <xf numFmtId="0" fontId="46" fillId="0" borderId="25" xfId="43" applyFont="1" applyBorder="1" applyAlignment="1">
      <alignment horizontal="left" vertical="top" wrapText="1"/>
    </xf>
    <xf numFmtId="0" fontId="56" fillId="7" borderId="10" xfId="43" applyFont="1" applyFill="1" applyBorder="1" applyAlignment="1">
      <alignment horizontal="left" vertical="center" wrapText="1"/>
    </xf>
    <xf numFmtId="0" fontId="56" fillId="7" borderId="53" xfId="43" applyFont="1" applyFill="1" applyBorder="1" applyAlignment="1">
      <alignment horizontal="left" vertical="center" wrapText="1"/>
    </xf>
    <xf numFmtId="4" fontId="56" fillId="7" borderId="41" xfId="43" applyNumberFormat="1" applyFont="1" applyFill="1" applyBorder="1" applyAlignment="1">
      <alignment vertical="center" wrapText="1"/>
    </xf>
    <xf numFmtId="0" fontId="45" fillId="3" borderId="25" xfId="43" applyFont="1" applyFill="1" applyBorder="1" applyAlignment="1">
      <alignment horizontal="left" vertical="center" wrapText="1"/>
    </xf>
    <xf numFmtId="0" fontId="45" fillId="0" borderId="7" xfId="43" applyFont="1" applyFill="1" applyBorder="1" applyAlignment="1">
      <alignment horizontal="left" vertical="center" wrapText="1"/>
    </xf>
    <xf numFmtId="0" fontId="45" fillId="0" borderId="7" xfId="43" applyFont="1" applyFill="1" applyBorder="1" applyAlignment="1">
      <alignment horizontal="left" vertical="top" wrapText="1"/>
    </xf>
    <xf numFmtId="0" fontId="46" fillId="0" borderId="24" xfId="43" applyFont="1" applyBorder="1" applyAlignment="1">
      <alignment horizontal="left" vertical="top" wrapText="1"/>
    </xf>
    <xf numFmtId="4" fontId="57" fillId="0" borderId="45" xfId="43" applyNumberFormat="1" applyFont="1" applyBorder="1" applyAlignment="1">
      <alignment vertical="top" wrapText="1"/>
    </xf>
    <xf numFmtId="0" fontId="46" fillId="0" borderId="40" xfId="43" applyFont="1" applyBorder="1" applyAlignment="1">
      <alignment horizontal="left" vertical="top" wrapText="1"/>
    </xf>
    <xf numFmtId="4" fontId="57" fillId="0" borderId="24" xfId="43" applyNumberFormat="1" applyFont="1" applyBorder="1" applyAlignment="1">
      <alignment vertical="top" wrapText="1"/>
    </xf>
    <xf numFmtId="4" fontId="61" fillId="0" borderId="4" xfId="7" applyNumberFormat="1" applyFont="1" applyBorder="1" applyAlignment="1">
      <alignment vertical="top" wrapText="1"/>
    </xf>
    <xf numFmtId="0" fontId="52" fillId="7" borderId="4" xfId="43" applyFont="1" applyFill="1" applyBorder="1" applyAlignment="1">
      <alignment horizontal="center" vertical="center" wrapText="1"/>
    </xf>
    <xf numFmtId="0" fontId="56" fillId="3" borderId="4" xfId="43" applyFont="1" applyFill="1" applyBorder="1" applyAlignment="1">
      <alignment horizontal="left" vertical="top" wrapText="1"/>
    </xf>
    <xf numFmtId="0" fontId="6" fillId="6" borderId="0" xfId="7" applyFill="1" applyAlignment="1"/>
    <xf numFmtId="4" fontId="57" fillId="6" borderId="25" xfId="43" applyNumberFormat="1" applyFont="1" applyFill="1" applyBorder="1" applyAlignment="1">
      <alignment vertical="center" wrapText="1"/>
    </xf>
    <xf numFmtId="0" fontId="47" fillId="0" borderId="8" xfId="43" applyFont="1" applyFill="1" applyBorder="1" applyAlignment="1">
      <alignment vertical="center" wrapText="1"/>
    </xf>
    <xf numFmtId="0" fontId="45" fillId="3" borderId="5" xfId="43" applyFont="1" applyFill="1" applyBorder="1" applyAlignment="1">
      <alignment horizontal="left" vertical="center" wrapText="1"/>
    </xf>
    <xf numFmtId="0" fontId="45" fillId="0" borderId="8" xfId="43" applyFont="1" applyFill="1" applyBorder="1" applyAlignment="1">
      <alignment vertical="center" wrapText="1"/>
    </xf>
    <xf numFmtId="4" fontId="57" fillId="0" borderId="25" xfId="43" applyNumberFormat="1" applyFont="1" applyBorder="1" applyAlignment="1">
      <alignment vertical="top" wrapText="1"/>
    </xf>
    <xf numFmtId="0" fontId="47" fillId="0" borderId="10" xfId="43" applyFont="1" applyFill="1" applyBorder="1" applyAlignment="1">
      <alignment vertical="center" wrapText="1"/>
    </xf>
    <xf numFmtId="0" fontId="45" fillId="0" borderId="0" xfId="43" applyFont="1" applyFill="1" applyBorder="1" applyAlignment="1">
      <alignment horizontal="center" vertical="center" wrapText="1"/>
    </xf>
    <xf numFmtId="165" fontId="55" fillId="10" borderId="67" xfId="43" applyNumberFormat="1" applyFont="1" applyFill="1" applyBorder="1" applyAlignment="1">
      <alignment horizontal="left" vertical="top" wrapText="1"/>
    </xf>
    <xf numFmtId="0" fontId="45" fillId="10" borderId="4" xfId="43" applyFont="1" applyFill="1" applyBorder="1" applyAlignment="1">
      <alignment vertical="top" wrapText="1"/>
    </xf>
    <xf numFmtId="0" fontId="45" fillId="10" borderId="81" xfId="43" applyFont="1" applyFill="1" applyBorder="1" applyAlignment="1">
      <alignment vertical="top" wrapText="1"/>
    </xf>
    <xf numFmtId="0" fontId="45" fillId="0" borderId="71" xfId="43" applyFont="1" applyFill="1" applyBorder="1" applyAlignment="1">
      <alignment horizontal="left" vertical="top" wrapText="1"/>
    </xf>
    <xf numFmtId="166" fontId="46" fillId="11" borderId="33" xfId="43" applyNumberFormat="1" applyFont="1" applyFill="1" applyBorder="1" applyAlignment="1">
      <alignment horizontal="left" vertical="top" wrapText="1"/>
    </xf>
    <xf numFmtId="0" fontId="45" fillId="0" borderId="56" xfId="43" applyFont="1" applyBorder="1" applyAlignment="1">
      <alignment horizontal="left" vertical="top" wrapText="1"/>
    </xf>
    <xf numFmtId="167" fontId="46" fillId="0" borderId="72" xfId="43" applyNumberFormat="1" applyFont="1" applyBorder="1" applyAlignment="1">
      <alignment horizontal="left" vertical="top" wrapText="1"/>
    </xf>
    <xf numFmtId="0" fontId="45" fillId="0" borderId="16" xfId="43" applyFont="1" applyBorder="1" applyAlignment="1">
      <alignment horizontal="left" vertical="top" wrapText="1"/>
    </xf>
    <xf numFmtId="0" fontId="45" fillId="0" borderId="85" xfId="43" applyFont="1" applyBorder="1" applyAlignment="1">
      <alignment vertical="top" wrapText="1"/>
    </xf>
    <xf numFmtId="167" fontId="46" fillId="0" borderId="46" xfId="43" applyNumberFormat="1" applyFont="1" applyBorder="1" applyAlignment="1">
      <alignment horizontal="left" vertical="top" wrapText="1"/>
    </xf>
    <xf numFmtId="0" fontId="46" fillId="0" borderId="86" xfId="43" applyFont="1" applyBorder="1" applyAlignment="1">
      <alignment horizontal="left" vertical="top" wrapText="1"/>
    </xf>
    <xf numFmtId="4" fontId="57" fillId="0" borderId="87" xfId="43" applyNumberFormat="1" applyFont="1" applyBorder="1" applyAlignment="1">
      <alignment horizontal="right" vertical="top" wrapText="1"/>
    </xf>
    <xf numFmtId="0" fontId="56" fillId="7" borderId="4" xfId="43" applyFont="1" applyFill="1" applyBorder="1" applyAlignment="1">
      <alignment vertical="top" wrapText="1"/>
    </xf>
    <xf numFmtId="167" fontId="60" fillId="7" borderId="4" xfId="43" applyNumberFormat="1" applyFont="1" applyFill="1" applyBorder="1" applyAlignment="1">
      <alignment horizontal="left" vertical="top" wrapText="1"/>
    </xf>
    <xf numFmtId="4" fontId="56" fillId="7" borderId="25" xfId="43" applyNumberFormat="1" applyFont="1" applyFill="1" applyBorder="1" applyAlignment="1">
      <alignment horizontal="right" vertical="top" wrapText="1"/>
    </xf>
    <xf numFmtId="0" fontId="56" fillId="6" borderId="58" xfId="43" applyFont="1" applyFill="1" applyBorder="1" applyAlignment="1">
      <alignment vertical="top" wrapText="1"/>
    </xf>
    <xf numFmtId="0" fontId="57" fillId="3" borderId="49" xfId="43" applyFont="1" applyFill="1" applyBorder="1" applyAlignment="1">
      <alignment horizontal="left" vertical="top" wrapText="1"/>
    </xf>
    <xf numFmtId="167" fontId="58" fillId="3" borderId="55" xfId="43" applyNumberFormat="1" applyFont="1" applyFill="1" applyBorder="1" applyAlignment="1">
      <alignment horizontal="left" vertical="top" wrapText="1"/>
    </xf>
    <xf numFmtId="0" fontId="58" fillId="3" borderId="50" xfId="43" applyFont="1" applyFill="1" applyBorder="1" applyAlignment="1">
      <alignment horizontal="left" vertical="top" wrapText="1"/>
    </xf>
    <xf numFmtId="4" fontId="57" fillId="3" borderId="50" xfId="43" applyNumberFormat="1" applyFont="1" applyFill="1" applyBorder="1" applyAlignment="1">
      <alignment horizontal="right" vertical="top" wrapText="1"/>
    </xf>
    <xf numFmtId="0" fontId="56" fillId="6" borderId="56" xfId="43" applyFont="1" applyFill="1" applyBorder="1" applyAlignment="1">
      <alignment vertical="top" wrapText="1"/>
    </xf>
    <xf numFmtId="0" fontId="57" fillId="6" borderId="49" xfId="43" applyFont="1" applyFill="1" applyBorder="1" applyAlignment="1">
      <alignment horizontal="left" vertical="top" wrapText="1"/>
    </xf>
    <xf numFmtId="4" fontId="57" fillId="6" borderId="50" xfId="43" applyNumberFormat="1" applyFont="1" applyFill="1" applyBorder="1" applyAlignment="1">
      <alignment horizontal="right" vertical="top" wrapText="1"/>
    </xf>
    <xf numFmtId="167" fontId="46" fillId="3" borderId="55" xfId="43" applyNumberFormat="1" applyFont="1" applyFill="1" applyBorder="1" applyAlignment="1">
      <alignment horizontal="left" vertical="top" wrapText="1"/>
    </xf>
    <xf numFmtId="0" fontId="46" fillId="3" borderId="50" xfId="43" applyFont="1" applyFill="1" applyBorder="1" applyAlignment="1">
      <alignment horizontal="left" vertical="top" wrapText="1"/>
    </xf>
    <xf numFmtId="0" fontId="56" fillId="6" borderId="88" xfId="43" applyFont="1" applyFill="1" applyBorder="1" applyAlignment="1">
      <alignment vertical="top" wrapText="1"/>
    </xf>
    <xf numFmtId="0" fontId="45" fillId="0" borderId="89" xfId="43" applyFont="1" applyBorder="1" applyAlignment="1">
      <alignment vertical="top" wrapText="1"/>
    </xf>
    <xf numFmtId="4" fontId="57" fillId="0" borderId="86" xfId="43" applyNumberFormat="1" applyFont="1" applyBorder="1" applyAlignment="1">
      <alignment horizontal="right" vertical="top" wrapText="1"/>
    </xf>
    <xf numFmtId="0" fontId="45" fillId="10" borderId="90" xfId="43" applyFont="1" applyFill="1" applyBorder="1" applyAlignment="1">
      <alignment vertical="top" wrapText="1"/>
    </xf>
    <xf numFmtId="0" fontId="45" fillId="10" borderId="91" xfId="43" applyFont="1" applyFill="1" applyBorder="1" applyAlignment="1">
      <alignment vertical="top" wrapText="1"/>
    </xf>
    <xf numFmtId="0" fontId="55" fillId="10" borderId="92" xfId="43" applyFont="1" applyFill="1" applyBorder="1" applyAlignment="1">
      <alignment horizontal="left" vertical="top" wrapText="1"/>
    </xf>
    <xf numFmtId="4" fontId="56" fillId="10" borderId="92" xfId="43" applyNumberFormat="1" applyFont="1" applyFill="1" applyBorder="1" applyAlignment="1">
      <alignment horizontal="right" vertical="top" wrapText="1"/>
    </xf>
    <xf numFmtId="0" fontId="45" fillId="11" borderId="81" xfId="43" applyFont="1" applyFill="1" applyBorder="1" applyAlignment="1">
      <alignment vertical="top" wrapText="1"/>
    </xf>
    <xf numFmtId="0" fontId="46" fillId="11" borderId="41" xfId="43" applyFont="1" applyFill="1" applyBorder="1" applyAlignment="1">
      <alignment horizontal="left" vertical="top" wrapText="1"/>
    </xf>
    <xf numFmtId="4" fontId="57" fillId="11" borderId="41" xfId="43" applyNumberFormat="1" applyFont="1" applyFill="1" applyBorder="1" applyAlignment="1">
      <alignment horizontal="right" vertical="top" wrapText="1"/>
    </xf>
    <xf numFmtId="0" fontId="45" fillId="0" borderId="74" xfId="43" applyFont="1" applyBorder="1" applyAlignment="1">
      <alignment vertical="top" wrapText="1"/>
    </xf>
    <xf numFmtId="0" fontId="45" fillId="0" borderId="60" xfId="43" applyFont="1" applyBorder="1" applyAlignment="1">
      <alignment vertical="top" wrapText="1"/>
    </xf>
    <xf numFmtId="4" fontId="52" fillId="0" borderId="96" xfId="43" applyNumberFormat="1" applyFont="1" applyBorder="1" applyAlignment="1">
      <alignment horizontal="right" vertical="center" wrapText="1"/>
    </xf>
    <xf numFmtId="0" fontId="49" fillId="0" borderId="61" xfId="43" applyFont="1" applyBorder="1" applyAlignment="1">
      <alignment horizontal="center" vertical="center" wrapText="1"/>
    </xf>
    <xf numFmtId="0" fontId="49" fillId="0" borderId="29" xfId="43" applyFont="1" applyBorder="1" applyAlignment="1">
      <alignment horizontal="center" vertical="center" wrapText="1"/>
    </xf>
    <xf numFmtId="0" fontId="50" fillId="0" borderId="62" xfId="43" applyFont="1" applyBorder="1" applyAlignment="1">
      <alignment horizontal="center" vertical="center" wrapText="1"/>
    </xf>
    <xf numFmtId="0" fontId="51" fillId="0" borderId="39" xfId="43" applyFont="1" applyBorder="1" applyAlignment="1">
      <alignment horizontal="center" vertical="center" wrapText="1"/>
    </xf>
    <xf numFmtId="49" fontId="56" fillId="0" borderId="39" xfId="43" applyNumberFormat="1" applyFont="1" applyBorder="1" applyAlignment="1">
      <alignment horizontal="center" vertical="center" wrapText="1"/>
    </xf>
    <xf numFmtId="0" fontId="53" fillId="0" borderId="4" xfId="43" applyFont="1" applyBorder="1" applyAlignment="1">
      <alignment horizontal="center" vertical="center" wrapText="1"/>
    </xf>
    <xf numFmtId="4" fontId="53" fillId="0" borderId="65" xfId="43" applyNumberFormat="1" applyFont="1" applyBorder="1" applyAlignment="1">
      <alignment horizontal="right" vertical="center" wrapText="1"/>
    </xf>
    <xf numFmtId="0" fontId="47" fillId="0" borderId="101" xfId="43" applyFont="1" applyBorder="1" applyAlignment="1">
      <alignment vertical="center" wrapText="1"/>
    </xf>
    <xf numFmtId="4" fontId="47" fillId="0" borderId="77" xfId="43" applyNumberFormat="1" applyFont="1" applyBorder="1" applyAlignment="1">
      <alignment vertical="center" wrapText="1"/>
    </xf>
    <xf numFmtId="0" fontId="45" fillId="11" borderId="44" xfId="43" applyFont="1" applyFill="1" applyBorder="1" applyAlignment="1">
      <alignment horizontal="left" vertical="top" wrapText="1"/>
    </xf>
    <xf numFmtId="167" fontId="46" fillId="11" borderId="11" xfId="43" applyNumberFormat="1" applyFont="1" applyFill="1" applyBorder="1" applyAlignment="1">
      <alignment horizontal="left" vertical="top" wrapText="1"/>
    </xf>
    <xf numFmtId="0" fontId="46" fillId="11" borderId="47" xfId="43" applyFont="1" applyFill="1" applyBorder="1" applyAlignment="1">
      <alignment horizontal="left" vertical="top" wrapText="1"/>
    </xf>
    <xf numFmtId="4" fontId="57" fillId="11" borderId="47" xfId="43" applyNumberFormat="1" applyFont="1" applyFill="1" applyBorder="1" applyAlignment="1">
      <alignment horizontal="right" vertical="top" wrapText="1"/>
    </xf>
    <xf numFmtId="0" fontId="59" fillId="12" borderId="7" xfId="43" applyFont="1" applyFill="1" applyBorder="1" applyAlignment="1">
      <alignment horizontal="center" vertical="top" wrapText="1"/>
    </xf>
    <xf numFmtId="0" fontId="45" fillId="3" borderId="4" xfId="43" applyFont="1" applyFill="1" applyBorder="1" applyAlignment="1">
      <alignment vertical="top" wrapText="1"/>
    </xf>
    <xf numFmtId="0" fontId="59" fillId="12" borderId="8" xfId="43" applyFont="1" applyFill="1" applyBorder="1" applyAlignment="1">
      <alignment horizontal="center" vertical="top" wrapText="1"/>
    </xf>
    <xf numFmtId="4" fontId="57" fillId="0" borderId="4" xfId="43" applyNumberFormat="1" applyFont="1" applyBorder="1" applyAlignment="1">
      <alignment horizontal="right" vertical="top" wrapText="1"/>
    </xf>
    <xf numFmtId="0" fontId="59" fillId="12" borderId="56" xfId="43" applyFont="1" applyFill="1" applyBorder="1" applyAlignment="1">
      <alignment horizontal="left" vertical="top" wrapText="1"/>
    </xf>
    <xf numFmtId="0" fontId="59" fillId="12" borderId="10" xfId="43" applyFont="1" applyFill="1" applyBorder="1" applyAlignment="1">
      <alignment horizontal="left" vertical="top" wrapText="1"/>
    </xf>
    <xf numFmtId="0" fontId="51" fillId="0" borderId="104" xfId="43" applyFont="1" applyBorder="1" applyAlignment="1">
      <alignment horizontal="left" vertical="center" wrapText="1"/>
    </xf>
    <xf numFmtId="4" fontId="56" fillId="0" borderId="104" xfId="43" applyNumberFormat="1" applyFont="1" applyBorder="1" applyAlignment="1">
      <alignment horizontal="right" vertical="center" wrapText="1"/>
    </xf>
    <xf numFmtId="0" fontId="31" fillId="0" borderId="87" xfId="43" applyFont="1" applyBorder="1" applyAlignment="1">
      <alignment horizontal="left" vertical="center" wrapText="1"/>
    </xf>
    <xf numFmtId="4" fontId="57" fillId="0" borderId="53" xfId="43" applyNumberFormat="1" applyFont="1" applyBorder="1" applyAlignment="1">
      <alignment horizontal="right" vertical="center" wrapText="1"/>
    </xf>
    <xf numFmtId="0" fontId="30" fillId="7" borderId="4" xfId="43" applyFont="1" applyFill="1" applyBorder="1" applyAlignment="1">
      <alignment horizontal="left" vertical="center" wrapText="1"/>
    </xf>
    <xf numFmtId="0" fontId="52" fillId="7" borderId="25" xfId="43" applyFont="1" applyFill="1" applyBorder="1" applyAlignment="1">
      <alignment horizontal="left" vertical="center" wrapText="1"/>
    </xf>
    <xf numFmtId="0" fontId="52" fillId="7" borderId="4" xfId="43" applyFont="1" applyFill="1" applyBorder="1" applyAlignment="1">
      <alignment horizontal="left" vertical="center" wrapText="1"/>
    </xf>
    <xf numFmtId="0" fontId="52" fillId="7" borderId="11" xfId="43" applyFont="1" applyFill="1" applyBorder="1" applyAlignment="1">
      <alignment horizontal="left" vertical="center" wrapText="1"/>
    </xf>
    <xf numFmtId="4" fontId="56" fillId="7" borderId="53" xfId="43" applyNumberFormat="1" applyFont="1" applyFill="1" applyBorder="1" applyAlignment="1">
      <alignment horizontal="right" vertical="center" wrapText="1"/>
    </xf>
    <xf numFmtId="0" fontId="45" fillId="0" borderId="0" xfId="43" applyFont="1" applyAlignment="1">
      <alignment vertical="top"/>
    </xf>
    <xf numFmtId="0" fontId="47" fillId="3" borderId="4" xfId="43" applyFont="1" applyFill="1" applyBorder="1" applyAlignment="1">
      <alignment horizontal="left" vertical="center" wrapText="1"/>
    </xf>
    <xf numFmtId="4" fontId="57" fillId="3" borderId="4" xfId="43" applyNumberFormat="1" applyFont="1" applyFill="1" applyBorder="1" applyAlignment="1">
      <alignment horizontal="right" vertical="center" wrapText="1"/>
    </xf>
    <xf numFmtId="0" fontId="58" fillId="0" borderId="7" xfId="43" applyFont="1" applyBorder="1" applyAlignment="1">
      <alignment horizontal="left" vertical="center" wrapText="1"/>
    </xf>
    <xf numFmtId="0" fontId="45" fillId="0" borderId="24" xfId="43" applyFont="1" applyBorder="1" applyAlignment="1">
      <alignment horizontal="left" vertical="top" wrapText="1"/>
    </xf>
    <xf numFmtId="0" fontId="60" fillId="7" borderId="4" xfId="43" applyFont="1" applyFill="1" applyBorder="1" applyAlignment="1">
      <alignment horizontal="left" vertical="center" wrapText="1"/>
    </xf>
    <xf numFmtId="0" fontId="59" fillId="12" borderId="7" xfId="43" applyFont="1" applyFill="1" applyBorder="1" applyAlignment="1">
      <alignment horizontal="left" vertical="top" wrapText="1"/>
    </xf>
    <xf numFmtId="0" fontId="58" fillId="3" borderId="4" xfId="43" applyFont="1" applyFill="1" applyBorder="1" applyAlignment="1">
      <alignment horizontal="left" vertical="center" wrapText="1"/>
    </xf>
    <xf numFmtId="0" fontId="59" fillId="12" borderId="8" xfId="43" applyFont="1" applyFill="1" applyBorder="1" applyAlignment="1">
      <alignment horizontal="left" vertical="top" wrapText="1"/>
    </xf>
    <xf numFmtId="0" fontId="58" fillId="0" borderId="4" xfId="43" applyFont="1" applyBorder="1" applyAlignment="1">
      <alignment horizontal="left" vertical="center" wrapText="1"/>
    </xf>
    <xf numFmtId="0" fontId="45" fillId="0" borderId="25" xfId="43" applyFont="1" applyBorder="1" applyAlignment="1">
      <alignment horizontal="left" vertical="top" wrapText="1"/>
    </xf>
    <xf numFmtId="0" fontId="45" fillId="0" borderId="7" xfId="43" applyFont="1" applyBorder="1" applyAlignment="1">
      <alignment vertical="top" wrapText="1"/>
    </xf>
    <xf numFmtId="4" fontId="52" fillId="0" borderId="86" xfId="43" applyNumberFormat="1" applyFont="1" applyBorder="1" applyAlignment="1">
      <alignment vertical="center" wrapText="1"/>
    </xf>
    <xf numFmtId="4" fontId="52" fillId="0" borderId="25" xfId="43" applyNumberFormat="1" applyFont="1" applyBorder="1" applyAlignment="1">
      <alignment vertical="center" wrapText="1"/>
    </xf>
    <xf numFmtId="0" fontId="19" fillId="0" borderId="0" xfId="44"/>
    <xf numFmtId="0" fontId="19" fillId="0" borderId="0" xfId="44" applyAlignment="1">
      <alignment vertical="center"/>
    </xf>
    <xf numFmtId="0" fontId="56" fillId="0" borderId="29" xfId="44" applyFont="1" applyBorder="1" applyAlignment="1">
      <alignment horizontal="center" vertical="center" wrapText="1"/>
    </xf>
    <xf numFmtId="0" fontId="29" fillId="0" borderId="29" xfId="44" applyFont="1" applyBorder="1" applyAlignment="1">
      <alignment horizontal="left" vertical="center" wrapText="1"/>
    </xf>
    <xf numFmtId="0" fontId="29" fillId="0" borderId="29" xfId="44" applyFont="1" applyBorder="1" applyAlignment="1">
      <alignment horizontal="center" vertical="center"/>
    </xf>
    <xf numFmtId="0" fontId="29" fillId="0" borderId="62" xfId="44" applyFont="1" applyBorder="1" applyAlignment="1">
      <alignment horizontal="center" vertical="center"/>
    </xf>
    <xf numFmtId="0" fontId="19" fillId="0" borderId="31" xfId="44" applyFont="1" applyBorder="1" applyAlignment="1">
      <alignment vertical="center"/>
    </xf>
    <xf numFmtId="0" fontId="57" fillId="0" borderId="89" xfId="44" applyFont="1" applyBorder="1" applyAlignment="1">
      <alignment vertical="center" wrapText="1"/>
    </xf>
    <xf numFmtId="168" fontId="57" fillId="0" borderId="46" xfId="44" applyNumberFormat="1" applyFont="1" applyBorder="1" applyAlignment="1">
      <alignment horizontal="center" vertical="center" wrapText="1"/>
    </xf>
    <xf numFmtId="168" fontId="57" fillId="0" borderId="89" xfId="44" applyNumberFormat="1" applyFont="1" applyBorder="1" applyAlignment="1">
      <alignment horizontal="center" vertical="center" wrapText="1"/>
    </xf>
    <xf numFmtId="164" fontId="57" fillId="0" borderId="89" xfId="44" applyNumberFormat="1" applyFont="1" applyBorder="1" applyAlignment="1">
      <alignment horizontal="center" vertical="center" wrapText="1"/>
    </xf>
    <xf numFmtId="0" fontId="19" fillId="0" borderId="89" xfId="44" applyFont="1" applyBorder="1" applyAlignment="1">
      <alignment vertical="center"/>
    </xf>
    <xf numFmtId="0" fontId="63" fillId="0" borderId="89" xfId="44" applyFont="1" applyBorder="1" applyAlignment="1">
      <alignment vertical="center" wrapText="1"/>
    </xf>
    <xf numFmtId="164" fontId="63" fillId="0" borderId="46" xfId="44" applyNumberFormat="1" applyFont="1" applyBorder="1" applyAlignment="1">
      <alignment horizontal="right" vertical="center" wrapText="1"/>
    </xf>
    <xf numFmtId="0" fontId="64" fillId="0" borderId="100" xfId="0" applyFont="1" applyBorder="1" applyAlignment="1">
      <alignment vertical="top" wrapText="1"/>
    </xf>
    <xf numFmtId="0" fontId="64" fillId="0" borderId="100" xfId="14" applyFont="1" applyBorder="1" applyAlignment="1">
      <alignment vertical="center" wrapText="1"/>
    </xf>
    <xf numFmtId="164" fontId="57" fillId="0" borderId="46" xfId="44" applyNumberFormat="1" applyFont="1" applyBorder="1" applyAlignment="1">
      <alignment horizontal="center" vertical="center" wrapText="1"/>
    </xf>
    <xf numFmtId="0" fontId="64" fillId="0" borderId="100" xfId="14" applyFont="1" applyBorder="1" applyAlignment="1">
      <alignment vertical="top" wrapText="1"/>
    </xf>
    <xf numFmtId="0" fontId="19" fillId="0" borderId="106" xfId="44" applyFont="1" applyBorder="1" applyAlignment="1">
      <alignment vertical="center"/>
    </xf>
    <xf numFmtId="0" fontId="19" fillId="0" borderId="89" xfId="44" applyFont="1" applyBorder="1" applyAlignment="1">
      <alignment vertical="top"/>
    </xf>
    <xf numFmtId="168" fontId="63" fillId="0" borderId="46" xfId="44" applyNumberFormat="1" applyFont="1" applyBorder="1" applyAlignment="1">
      <alignment horizontal="center" vertical="center" wrapText="1"/>
    </xf>
    <xf numFmtId="0" fontId="67" fillId="0" borderId="89" xfId="44" applyFont="1" applyBorder="1" applyAlignment="1">
      <alignment vertical="center" wrapText="1"/>
    </xf>
    <xf numFmtId="168" fontId="67" fillId="0" borderId="89" xfId="44" applyNumberFormat="1" applyFont="1" applyBorder="1" applyAlignment="1">
      <alignment horizontal="center" vertical="center" wrapText="1"/>
    </xf>
    <xf numFmtId="168" fontId="29" fillId="0" borderId="46" xfId="44" applyNumberFormat="1" applyFont="1" applyBorder="1" applyAlignment="1">
      <alignment horizontal="center" vertical="center" wrapText="1"/>
    </xf>
    <xf numFmtId="168" fontId="29" fillId="0" borderId="89" xfId="44" applyNumberFormat="1" applyFont="1" applyBorder="1" applyAlignment="1">
      <alignment horizontal="center" vertical="center" wrapText="1"/>
    </xf>
    <xf numFmtId="164" fontId="29" fillId="0" borderId="89" xfId="44" applyNumberFormat="1" applyFont="1" applyBorder="1" applyAlignment="1">
      <alignment horizontal="center" vertical="center" wrapText="1"/>
    </xf>
    <xf numFmtId="0" fontId="68" fillId="0" borderId="33" xfId="44" applyFont="1" applyBorder="1" applyAlignment="1">
      <alignment vertical="center" wrapText="1"/>
    </xf>
    <xf numFmtId="168" fontId="69" fillId="0" borderId="81" xfId="44" applyNumberFormat="1" applyFont="1" applyBorder="1" applyAlignment="1">
      <alignment horizontal="center" vertical="center" wrapText="1"/>
    </xf>
    <xf numFmtId="168" fontId="29" fillId="0" borderId="81" xfId="44" applyNumberFormat="1" applyFont="1" applyBorder="1" applyAlignment="1">
      <alignment horizontal="center" vertical="center" wrapText="1"/>
    </xf>
    <xf numFmtId="168" fontId="29" fillId="0" borderId="33" xfId="44" applyNumberFormat="1" applyFont="1" applyBorder="1" applyAlignment="1">
      <alignment horizontal="center" vertical="center" wrapText="1"/>
    </xf>
    <xf numFmtId="164" fontId="29" fillId="0" borderId="44" xfId="44" applyNumberFormat="1" applyFont="1" applyBorder="1" applyAlignment="1">
      <alignment horizontal="center" vertical="center" wrapText="1"/>
    </xf>
    <xf numFmtId="168" fontId="47" fillId="0" borderId="0" xfId="45" applyFont="1" applyFill="1" applyBorder="1" applyAlignment="1" applyProtection="1"/>
    <xf numFmtId="0" fontId="47" fillId="0" borderId="0" xfId="46" applyFont="1"/>
    <xf numFmtId="0" fontId="71" fillId="0" borderId="0" xfId="46" applyFont="1" applyBorder="1" applyAlignment="1">
      <alignment horizontal="center"/>
    </xf>
    <xf numFmtId="0" fontId="4" fillId="0" borderId="0" xfId="46" applyFont="1"/>
    <xf numFmtId="0" fontId="72" fillId="0" borderId="0" xfId="46" applyFont="1" applyBorder="1" applyAlignment="1">
      <alignment horizontal="left"/>
    </xf>
    <xf numFmtId="168" fontId="73" fillId="0" borderId="0" xfId="45" applyFont="1" applyFill="1" applyBorder="1" applyAlignment="1" applyProtection="1">
      <alignment horizontal="right" vertical="center"/>
    </xf>
    <xf numFmtId="168" fontId="53" fillId="0" borderId="0" xfId="45" applyFont="1" applyFill="1" applyBorder="1" applyAlignment="1" applyProtection="1">
      <alignment horizontal="center" vertical="center"/>
    </xf>
    <xf numFmtId="168" fontId="47" fillId="0" borderId="0" xfId="45" applyFont="1" applyFill="1" applyBorder="1" applyAlignment="1" applyProtection="1">
      <alignment horizontal="center"/>
    </xf>
    <xf numFmtId="0" fontId="19" fillId="0" borderId="0" xfId="19" applyFont="1" applyAlignment="1">
      <alignment horizontal="center" vertical="center"/>
    </xf>
    <xf numFmtId="168" fontId="53" fillId="0" borderId="0" xfId="45" applyFont="1" applyFill="1" applyBorder="1" applyAlignment="1" applyProtection="1">
      <alignment horizontal="center"/>
    </xf>
    <xf numFmtId="168" fontId="48" fillId="0" borderId="0" xfId="45" applyFont="1" applyFill="1" applyBorder="1" applyAlignment="1" applyProtection="1">
      <alignment horizontal="center"/>
    </xf>
    <xf numFmtId="168" fontId="75" fillId="0" borderId="29" xfId="45" applyFont="1" applyFill="1" applyBorder="1" applyAlignment="1" applyProtection="1">
      <alignment horizontal="center" vertical="center"/>
    </xf>
    <xf numFmtId="168" fontId="75" fillId="0" borderId="31" xfId="45" applyFont="1" applyFill="1" applyBorder="1" applyAlignment="1" applyProtection="1">
      <alignment horizontal="center" vertical="center"/>
    </xf>
    <xf numFmtId="168" fontId="4" fillId="0" borderId="29" xfId="45" applyFont="1" applyFill="1" applyBorder="1" applyAlignment="1" applyProtection="1">
      <alignment vertical="center"/>
    </xf>
    <xf numFmtId="168" fontId="51" fillId="0" borderId="39" xfId="45" applyFont="1" applyFill="1" applyBorder="1" applyAlignment="1" applyProtection="1">
      <alignment horizontal="center" vertical="center"/>
    </xf>
    <xf numFmtId="168" fontId="51" fillId="0" borderId="39" xfId="45" applyFont="1" applyFill="1" applyBorder="1" applyAlignment="1" applyProtection="1">
      <alignment horizontal="center" vertical="center" wrapText="1"/>
    </xf>
    <xf numFmtId="0" fontId="52" fillId="0" borderId="25" xfId="46" applyFont="1" applyBorder="1" applyAlignment="1">
      <alignment horizontal="center" vertical="center" wrapText="1"/>
    </xf>
    <xf numFmtId="165" fontId="55" fillId="10" borderId="39" xfId="45" applyNumberFormat="1" applyFont="1" applyFill="1" applyBorder="1" applyAlignment="1" applyProtection="1">
      <alignment vertical="top"/>
    </xf>
    <xf numFmtId="165" fontId="55" fillId="10" borderId="4" xfId="45" applyNumberFormat="1" applyFont="1" applyFill="1" applyBorder="1" applyAlignment="1" applyProtection="1">
      <alignment vertical="top"/>
    </xf>
    <xf numFmtId="165" fontId="55" fillId="10" borderId="62" xfId="45" applyNumberFormat="1" applyFont="1" applyFill="1" applyBorder="1" applyAlignment="1" applyProtection="1">
      <alignment vertical="top"/>
    </xf>
    <xf numFmtId="49" fontId="55" fillId="10" borderId="39" xfId="45" applyNumberFormat="1" applyFont="1" applyFill="1" applyBorder="1" applyAlignment="1" applyProtection="1">
      <alignment horizontal="left" vertical="top" wrapText="1"/>
    </xf>
    <xf numFmtId="4" fontId="55" fillId="10" borderId="39" xfId="45" applyNumberFormat="1" applyFont="1" applyFill="1" applyBorder="1" applyAlignment="1" applyProtection="1">
      <alignment horizontal="right" vertical="top"/>
    </xf>
    <xf numFmtId="0" fontId="45" fillId="0" borderId="0" xfId="46" applyFont="1" applyAlignment="1">
      <alignment vertical="top"/>
    </xf>
    <xf numFmtId="166" fontId="46" fillId="11" borderId="33" xfId="45" applyNumberFormat="1" applyFont="1" applyFill="1" applyBorder="1" applyAlignment="1" applyProtection="1">
      <alignment horizontal="left" vertical="top"/>
    </xf>
    <xf numFmtId="168" fontId="45" fillId="11" borderId="62" xfId="45" applyFont="1" applyFill="1" applyBorder="1" applyAlignment="1" applyProtection="1">
      <alignment vertical="top"/>
    </xf>
    <xf numFmtId="168" fontId="46" fillId="11" borderId="29" xfId="45" applyFont="1" applyFill="1" applyBorder="1" applyAlignment="1" applyProtection="1">
      <alignment horizontal="left" vertical="top" wrapText="1"/>
    </xf>
    <xf numFmtId="4" fontId="46" fillId="11" borderId="39" xfId="45" applyNumberFormat="1" applyFont="1" applyFill="1" applyBorder="1" applyAlignment="1" applyProtection="1">
      <alignment horizontal="right" vertical="top"/>
    </xf>
    <xf numFmtId="168" fontId="45" fillId="0" borderId="29" xfId="45" applyFont="1" applyFill="1" applyBorder="1" applyAlignment="1" applyProtection="1">
      <alignment vertical="top"/>
    </xf>
    <xf numFmtId="169" fontId="46" fillId="0" borderId="62" xfId="45" applyNumberFormat="1" applyFont="1" applyFill="1" applyBorder="1" applyAlignment="1" applyProtection="1">
      <alignment horizontal="left" vertical="top"/>
    </xf>
    <xf numFmtId="168" fontId="46" fillId="0" borderId="39" xfId="45" applyFont="1" applyFill="1" applyBorder="1" applyAlignment="1" applyProtection="1">
      <alignment horizontal="left" vertical="top" wrapText="1"/>
    </xf>
    <xf numFmtId="4" fontId="46" fillId="0" borderId="39" xfId="45" applyNumberFormat="1" applyFont="1" applyFill="1" applyBorder="1" applyAlignment="1" applyProtection="1">
      <alignment horizontal="right" vertical="top"/>
    </xf>
    <xf numFmtId="4" fontId="45" fillId="0" borderId="4" xfId="46" applyNumberFormat="1" applyFont="1" applyBorder="1" applyAlignment="1">
      <alignment vertical="top"/>
    </xf>
    <xf numFmtId="168" fontId="47" fillId="0" borderId="29" xfId="45" applyFont="1" applyFill="1" applyBorder="1" applyAlignment="1" applyProtection="1">
      <alignment vertical="center"/>
    </xf>
    <xf numFmtId="168" fontId="47" fillId="0" borderId="62" xfId="45" applyFont="1" applyFill="1" applyBorder="1" applyAlignment="1" applyProtection="1">
      <alignment vertical="center"/>
    </xf>
    <xf numFmtId="168" fontId="51" fillId="0" borderId="39" xfId="45" applyFont="1" applyFill="1" applyBorder="1" applyAlignment="1" applyProtection="1">
      <alignment horizontal="right" vertical="center"/>
    </xf>
    <xf numFmtId="4" fontId="51" fillId="0" borderId="39" xfId="45" applyNumberFormat="1" applyFont="1" applyFill="1" applyBorder="1" applyAlignment="1" applyProtection="1">
      <alignment horizontal="right" vertical="center"/>
    </xf>
    <xf numFmtId="0" fontId="47" fillId="0" borderId="0" xfId="46" applyFont="1" applyAlignment="1">
      <alignment vertical="center"/>
    </xf>
    <xf numFmtId="168" fontId="54" fillId="0" borderId="0" xfId="45" applyFont="1" applyFill="1" applyBorder="1" applyAlignment="1" applyProtection="1">
      <alignment horizontal="left" vertical="top"/>
    </xf>
    <xf numFmtId="170" fontId="54" fillId="0" borderId="0" xfId="45" applyNumberFormat="1" applyFont="1" applyFill="1" applyBorder="1" applyAlignment="1" applyProtection="1">
      <alignment horizontal="left" vertical="top"/>
    </xf>
    <xf numFmtId="4" fontId="47" fillId="0" borderId="0" xfId="45" applyNumberFormat="1" applyFont="1" applyFill="1" applyBorder="1" applyAlignment="1" applyProtection="1"/>
    <xf numFmtId="4" fontId="30" fillId="0" borderId="39" xfId="45" applyNumberFormat="1" applyFont="1" applyFill="1" applyBorder="1" applyAlignment="1" applyProtection="1">
      <alignment horizontal="center" vertical="center" wrapText="1"/>
    </xf>
    <xf numFmtId="165" fontId="55" fillId="10" borderId="29" xfId="45" applyNumberFormat="1" applyFont="1" applyFill="1" applyBorder="1" applyAlignment="1" applyProtection="1">
      <alignment horizontal="left" vertical="top"/>
    </xf>
    <xf numFmtId="168" fontId="45" fillId="10" borderId="29" xfId="45" applyFont="1" applyFill="1" applyBorder="1" applyAlignment="1" applyProtection="1">
      <alignment vertical="top"/>
    </xf>
    <xf numFmtId="168" fontId="45" fillId="10" borderId="62" xfId="45" applyFont="1" applyFill="1" applyBorder="1" applyAlignment="1" applyProtection="1">
      <alignment vertical="top"/>
    </xf>
    <xf numFmtId="168" fontId="55" fillId="10" borderId="39" xfId="45" applyFont="1" applyFill="1" applyBorder="1" applyAlignment="1" applyProtection="1">
      <alignment horizontal="left" vertical="top"/>
    </xf>
    <xf numFmtId="168" fontId="45" fillId="0" borderId="89" xfId="45" applyFont="1" applyFill="1" applyBorder="1" applyAlignment="1" applyProtection="1">
      <alignment vertical="top"/>
    </xf>
    <xf numFmtId="166" fontId="46" fillId="11" borderId="29" xfId="45" applyNumberFormat="1" applyFont="1" applyFill="1" applyBorder="1" applyAlignment="1" applyProtection="1">
      <alignment horizontal="left" vertical="top"/>
    </xf>
    <xf numFmtId="168" fontId="46" fillId="11" borderId="39" xfId="45" applyFont="1" applyFill="1" applyBorder="1" applyAlignment="1" applyProtection="1">
      <alignment horizontal="left" vertical="top"/>
    </xf>
    <xf numFmtId="167" fontId="46" fillId="0" borderId="62" xfId="45" applyNumberFormat="1" applyFont="1" applyFill="1" applyBorder="1" applyAlignment="1" applyProtection="1">
      <alignment horizontal="left" vertical="top"/>
    </xf>
    <xf numFmtId="168" fontId="46" fillId="0" borderId="39" xfId="45" applyFont="1" applyFill="1" applyBorder="1" applyAlignment="1" applyProtection="1">
      <alignment horizontal="left" vertical="top"/>
    </xf>
    <xf numFmtId="167" fontId="46" fillId="0" borderId="72" xfId="45" applyNumberFormat="1" applyFont="1" applyFill="1" applyBorder="1" applyAlignment="1" applyProtection="1">
      <alignment horizontal="left" vertical="top"/>
    </xf>
    <xf numFmtId="4" fontId="46" fillId="0" borderId="40" xfId="45" applyNumberFormat="1" applyFont="1" applyFill="1" applyBorder="1" applyAlignment="1" applyProtection="1">
      <alignment horizontal="right" vertical="top"/>
    </xf>
    <xf numFmtId="168" fontId="45" fillId="0" borderId="60" xfId="45" applyFont="1" applyFill="1" applyBorder="1" applyAlignment="1" applyProtection="1">
      <alignment vertical="top"/>
    </xf>
    <xf numFmtId="167" fontId="46" fillId="0" borderId="81" xfId="45" applyNumberFormat="1" applyFont="1" applyFill="1" applyBorder="1" applyAlignment="1" applyProtection="1">
      <alignment horizontal="left" vertical="top"/>
    </xf>
    <xf numFmtId="168" fontId="46" fillId="0" borderId="41" xfId="45" applyFont="1" applyFill="1" applyBorder="1" applyAlignment="1" applyProtection="1">
      <alignment horizontal="left" vertical="top"/>
    </xf>
    <xf numFmtId="4" fontId="46" fillId="0" borderId="41" xfId="45" applyNumberFormat="1" applyFont="1" applyFill="1" applyBorder="1" applyAlignment="1" applyProtection="1">
      <alignment horizontal="right" vertical="top"/>
    </xf>
    <xf numFmtId="168" fontId="47" fillId="0" borderId="33" xfId="45" applyFont="1" applyFill="1" applyBorder="1" applyAlignment="1" applyProtection="1">
      <alignment vertical="center"/>
    </xf>
    <xf numFmtId="168" fontId="47" fillId="0" borderId="107" xfId="45" applyFont="1" applyFill="1" applyBorder="1" applyAlignment="1" applyProtection="1">
      <alignment vertical="center"/>
    </xf>
    <xf numFmtId="168" fontId="51" fillId="0" borderId="38" xfId="45" applyFont="1" applyFill="1" applyBorder="1" applyAlignment="1" applyProtection="1">
      <alignment horizontal="right" vertical="center"/>
    </xf>
    <xf numFmtId="4" fontId="51" fillId="0" borderId="38" xfId="45" applyNumberFormat="1" applyFont="1" applyFill="1" applyBorder="1" applyAlignment="1" applyProtection="1">
      <alignment horizontal="right" vertical="center"/>
    </xf>
    <xf numFmtId="0" fontId="76" fillId="0" borderId="0" xfId="2" applyFont="1" applyAlignment="1"/>
    <xf numFmtId="0" fontId="6" fillId="0" borderId="0" xfId="2" applyFont="1" applyAlignment="1">
      <alignment vertical="top" wrapText="1"/>
    </xf>
    <xf numFmtId="0" fontId="38" fillId="0" borderId="0" xfId="0" applyFont="1" applyAlignment="1">
      <alignment vertical="top"/>
    </xf>
    <xf numFmtId="0" fontId="0" fillId="0" borderId="0" xfId="0" applyAlignment="1">
      <alignment vertical="top"/>
    </xf>
    <xf numFmtId="0" fontId="9" fillId="7" borderId="10" xfId="1" applyFont="1" applyFill="1" applyBorder="1" applyAlignment="1">
      <alignment horizontal="center" vertical="center" wrapText="1"/>
    </xf>
    <xf numFmtId="0" fontId="9" fillId="7" borderId="11" xfId="1" applyFont="1" applyFill="1" applyBorder="1" applyAlignment="1">
      <alignment horizontal="left" vertical="center" wrapText="1"/>
    </xf>
    <xf numFmtId="164" fontId="9" fillId="7" borderId="4" xfId="1" applyNumberFormat="1" applyFont="1" applyFill="1" applyBorder="1" applyAlignment="1">
      <alignment horizontal="right" vertical="center" wrapText="1"/>
    </xf>
    <xf numFmtId="0" fontId="13" fillId="3" borderId="11" xfId="1" applyFont="1" applyFill="1" applyBorder="1" applyAlignment="1">
      <alignment horizontal="left" vertical="center" wrapText="1"/>
    </xf>
    <xf numFmtId="0" fontId="13" fillId="0" borderId="11" xfId="1" applyFont="1" applyFill="1" applyBorder="1" applyAlignment="1">
      <alignment horizontal="left" vertical="center" wrapText="1"/>
    </xf>
    <xf numFmtId="164" fontId="13" fillId="0" borderId="10" xfId="1" applyNumberFormat="1" applyFont="1" applyFill="1" applyBorder="1" applyAlignment="1">
      <alignment horizontal="right" vertical="center" wrapText="1"/>
    </xf>
    <xf numFmtId="0" fontId="23" fillId="7" borderId="10" xfId="1" applyFont="1" applyFill="1" applyBorder="1" applyAlignment="1">
      <alignment horizontal="center" vertical="center" wrapText="1"/>
    </xf>
    <xf numFmtId="0" fontId="9" fillId="7" borderId="10" xfId="1" applyFont="1" applyFill="1" applyBorder="1" applyAlignment="1">
      <alignment horizontal="left" vertical="center" wrapText="1"/>
    </xf>
    <xf numFmtId="4" fontId="9" fillId="7" borderId="4" xfId="1" applyNumberFormat="1" applyFont="1" applyFill="1" applyBorder="1" applyAlignment="1">
      <alignment horizontal="right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left" vertical="center" wrapText="1"/>
    </xf>
    <xf numFmtId="0" fontId="13" fillId="0" borderId="4" xfId="1" applyFont="1" applyBorder="1" applyAlignment="1">
      <alignment vertical="top" wrapText="1"/>
    </xf>
    <xf numFmtId="4" fontId="13" fillId="0" borderId="4" xfId="1" applyNumberFormat="1" applyFont="1" applyFill="1" applyBorder="1" applyAlignment="1">
      <alignment horizontal="right" vertical="center" wrapText="1"/>
    </xf>
    <xf numFmtId="0" fontId="0" fillId="0" borderId="4" xfId="0" applyBorder="1"/>
    <xf numFmtId="0" fontId="77" fillId="0" borderId="4" xfId="0" applyFont="1" applyBorder="1" applyAlignment="1">
      <alignment horizontal="center" vertical="center"/>
    </xf>
    <xf numFmtId="0" fontId="77" fillId="0" borderId="4" xfId="0" applyFont="1" applyBorder="1" applyAlignment="1">
      <alignment vertical="center" wrapText="1"/>
    </xf>
    <xf numFmtId="4" fontId="78" fillId="0" borderId="4" xfId="0" applyNumberFormat="1" applyFont="1" applyBorder="1"/>
    <xf numFmtId="4" fontId="77" fillId="0" borderId="4" xfId="0" applyNumberFormat="1" applyFont="1" applyBorder="1" applyAlignment="1">
      <alignment vertical="center"/>
    </xf>
    <xf numFmtId="4" fontId="79" fillId="0" borderId="4" xfId="0" applyNumberFormat="1" applyFont="1" applyBorder="1" applyAlignment="1">
      <alignment vertical="center"/>
    </xf>
    <xf numFmtId="0" fontId="38" fillId="0" borderId="0" xfId="0" applyFont="1" applyBorder="1" applyAlignment="1">
      <alignment horizontal="right" vertical="center"/>
    </xf>
    <xf numFmtId="4" fontId="79" fillId="0" borderId="0" xfId="0" applyNumberFormat="1" applyFont="1" applyBorder="1" applyAlignment="1">
      <alignment vertical="center"/>
    </xf>
    <xf numFmtId="0" fontId="78" fillId="0" borderId="0" xfId="0" applyFont="1"/>
    <xf numFmtId="0" fontId="38" fillId="7" borderId="4" xfId="0" applyFont="1" applyFill="1" applyBorder="1" applyAlignment="1">
      <alignment vertical="top"/>
    </xf>
    <xf numFmtId="4" fontId="38" fillId="7" borderId="4" xfId="0" applyNumberFormat="1" applyFont="1" applyFill="1" applyBorder="1" applyAlignment="1">
      <alignment vertical="top"/>
    </xf>
    <xf numFmtId="0" fontId="0" fillId="0" borderId="87" xfId="0" applyBorder="1" applyAlignment="1">
      <alignment vertical="top"/>
    </xf>
    <xf numFmtId="0" fontId="0" fillId="3" borderId="4" xfId="0" applyFill="1" applyBorder="1" applyAlignment="1">
      <alignment vertical="top"/>
    </xf>
    <xf numFmtId="4" fontId="0" fillId="3" borderId="4" xfId="0" applyNumberFormat="1" applyFill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 wrapText="1"/>
    </xf>
    <xf numFmtId="4" fontId="0" fillId="0" borderId="4" xfId="0" applyNumberFormat="1" applyBorder="1" applyAlignment="1">
      <alignment vertical="top"/>
    </xf>
    <xf numFmtId="4" fontId="38" fillId="0" borderId="4" xfId="0" applyNumberFormat="1" applyFont="1" applyBorder="1" applyAlignment="1">
      <alignment vertical="top"/>
    </xf>
    <xf numFmtId="0" fontId="0" fillId="0" borderId="25" xfId="0" applyBorder="1" applyAlignment="1">
      <alignment vertical="top"/>
    </xf>
    <xf numFmtId="0" fontId="0" fillId="0" borderId="54" xfId="0" applyBorder="1" applyAlignment="1">
      <alignment vertical="top"/>
    </xf>
    <xf numFmtId="0" fontId="38" fillId="0" borderId="5" xfId="0" applyFont="1" applyBorder="1" applyAlignment="1">
      <alignment vertical="center"/>
    </xf>
    <xf numFmtId="4" fontId="38" fillId="0" borderId="4" xfId="0" applyNumberFormat="1" applyFont="1" applyBorder="1" applyAlignment="1">
      <alignment vertical="center"/>
    </xf>
    <xf numFmtId="0" fontId="6" fillId="0" borderId="0" xfId="30" applyFont="1" applyAlignment="1">
      <alignment vertical="top"/>
    </xf>
    <xf numFmtId="0" fontId="7" fillId="0" borderId="0" xfId="30" applyFont="1" applyAlignment="1">
      <alignment horizontal="left" vertical="top"/>
    </xf>
    <xf numFmtId="0" fontId="19" fillId="0" borderId="0" xfId="30"/>
    <xf numFmtId="0" fontId="19" fillId="0" borderId="0" xfId="30" applyBorder="1"/>
    <xf numFmtId="49" fontId="80" fillId="14" borderId="90" xfId="30" applyNumberFormat="1" applyFont="1" applyFill="1" applyBorder="1" applyAlignment="1" applyProtection="1">
      <alignment horizontal="center" vertical="center" wrapText="1"/>
      <protection locked="0"/>
    </xf>
    <xf numFmtId="49" fontId="82" fillId="15" borderId="29" xfId="30" applyNumberFormat="1" applyFont="1" applyFill="1" applyBorder="1" applyAlignment="1" applyProtection="1">
      <alignment horizontal="center" vertical="center" wrapText="1"/>
      <protection locked="0"/>
    </xf>
    <xf numFmtId="49" fontId="82" fillId="15" borderId="33" xfId="30" applyNumberFormat="1" applyFont="1" applyFill="1" applyBorder="1" applyAlignment="1" applyProtection="1">
      <alignment horizontal="center" vertical="center" wrapText="1"/>
      <protection locked="0"/>
    </xf>
    <xf numFmtId="49" fontId="82" fillId="15" borderId="29" xfId="30" applyNumberFormat="1" applyFont="1" applyFill="1" applyBorder="1" applyAlignment="1" applyProtection="1">
      <alignment horizontal="left" vertical="center" wrapText="1"/>
      <protection locked="0"/>
    </xf>
    <xf numFmtId="171" fontId="82" fillId="15" borderId="39" xfId="30" applyNumberFormat="1" applyFont="1" applyFill="1" applyBorder="1" applyAlignment="1" applyProtection="1">
      <alignment horizontal="right" vertical="center" wrapText="1"/>
      <protection locked="0"/>
    </xf>
    <xf numFmtId="0" fontId="83" fillId="0" borderId="0" xfId="30" applyFont="1"/>
    <xf numFmtId="49" fontId="84" fillId="14" borderId="89" xfId="30" applyNumberFormat="1" applyFont="1" applyFill="1" applyBorder="1" applyAlignment="1" applyProtection="1">
      <alignment horizontal="center" vertical="center" wrapText="1"/>
      <protection locked="0"/>
    </xf>
    <xf numFmtId="49" fontId="82" fillId="16" borderId="29" xfId="30" applyNumberFormat="1" applyFont="1" applyFill="1" applyBorder="1" applyAlignment="1" applyProtection="1">
      <alignment horizontal="center" vertical="center" wrapText="1"/>
      <protection locked="0"/>
    </xf>
    <xf numFmtId="49" fontId="85" fillId="16" borderId="29" xfId="30" applyNumberFormat="1" applyFont="1" applyFill="1" applyBorder="1" applyAlignment="1" applyProtection="1">
      <alignment horizontal="center" vertical="center" wrapText="1"/>
      <protection locked="0"/>
    </xf>
    <xf numFmtId="49" fontId="82" fillId="16" borderId="29" xfId="30" applyNumberFormat="1" applyFont="1" applyFill="1" applyBorder="1" applyAlignment="1" applyProtection="1">
      <alignment horizontal="left" vertical="center" wrapText="1"/>
      <protection locked="0"/>
    </xf>
    <xf numFmtId="171" fontId="82" fillId="16" borderId="39" xfId="30" applyNumberFormat="1" applyFont="1" applyFill="1" applyBorder="1" applyAlignment="1" applyProtection="1">
      <alignment horizontal="right" vertical="center" wrapText="1"/>
      <protection locked="0"/>
    </xf>
    <xf numFmtId="49" fontId="86" fillId="14" borderId="89" xfId="30" applyNumberFormat="1" applyFont="1" applyFill="1" applyBorder="1" applyAlignment="1" applyProtection="1">
      <alignment horizontal="center" vertical="center" wrapText="1"/>
      <protection locked="0"/>
    </xf>
    <xf numFmtId="49" fontId="82" fillId="14" borderId="29" xfId="30" applyNumberFormat="1" applyFont="1" applyFill="1" applyBorder="1" applyAlignment="1" applyProtection="1">
      <alignment horizontal="center" vertical="center" wrapText="1"/>
      <protection locked="0"/>
    </xf>
    <xf numFmtId="49" fontId="82" fillId="14" borderId="29" xfId="30" applyNumberFormat="1" applyFont="1" applyFill="1" applyBorder="1" applyAlignment="1" applyProtection="1">
      <alignment horizontal="left" vertical="center" wrapText="1"/>
      <protection locked="0"/>
    </xf>
    <xf numFmtId="171" fontId="82" fillId="14" borderId="39" xfId="30" applyNumberFormat="1" applyFont="1" applyFill="1" applyBorder="1" applyAlignment="1" applyProtection="1">
      <alignment horizontal="right" vertical="center" wrapText="1"/>
      <protection locked="0"/>
    </xf>
    <xf numFmtId="49" fontId="87" fillId="14" borderId="89" xfId="30" applyNumberFormat="1" applyFont="1" applyFill="1" applyBorder="1" applyAlignment="1" applyProtection="1">
      <alignment horizontal="center" vertical="center" wrapText="1"/>
      <protection locked="0"/>
    </xf>
    <xf numFmtId="49" fontId="87" fillId="14" borderId="0" xfId="30" applyNumberFormat="1" applyFont="1" applyFill="1" applyBorder="1" applyAlignment="1" applyProtection="1">
      <alignment horizontal="center" vertical="center" wrapText="1"/>
      <protection locked="0"/>
    </xf>
    <xf numFmtId="49" fontId="88" fillId="14" borderId="29" xfId="30" applyNumberFormat="1" applyFont="1" applyFill="1" applyBorder="1" applyAlignment="1" applyProtection="1">
      <alignment horizontal="center" vertical="center" wrapText="1"/>
      <protection locked="0"/>
    </xf>
    <xf numFmtId="49" fontId="88" fillId="14" borderId="29" xfId="30" applyNumberFormat="1" applyFont="1" applyFill="1" applyBorder="1" applyAlignment="1" applyProtection="1">
      <alignment horizontal="left" vertical="center" wrapText="1"/>
      <protection locked="0"/>
    </xf>
    <xf numFmtId="171" fontId="88" fillId="14" borderId="39" xfId="30" applyNumberFormat="1" applyFont="1" applyFill="1" applyBorder="1" applyAlignment="1" applyProtection="1">
      <alignment horizontal="right" vertical="center" wrapText="1"/>
      <protection locked="0"/>
    </xf>
    <xf numFmtId="0" fontId="90" fillId="0" borderId="0" xfId="30" applyFont="1"/>
    <xf numFmtId="49" fontId="86" fillId="14" borderId="29" xfId="30" applyNumberFormat="1" applyFont="1" applyFill="1" applyBorder="1" applyAlignment="1" applyProtection="1">
      <alignment horizontal="center" vertical="center" wrapText="1"/>
      <protection locked="0"/>
    </xf>
    <xf numFmtId="49" fontId="86" fillId="14" borderId="29" xfId="30" applyNumberFormat="1" applyFont="1" applyFill="1" applyBorder="1" applyAlignment="1" applyProtection="1">
      <alignment horizontal="left" vertical="center" wrapText="1"/>
      <protection locked="0"/>
    </xf>
    <xf numFmtId="171" fontId="86" fillId="14" borderId="39" xfId="30" applyNumberFormat="1" applyFont="1" applyFill="1" applyBorder="1" applyAlignment="1" applyProtection="1">
      <alignment horizontal="right" vertical="center" wrapText="1"/>
      <protection locked="0"/>
    </xf>
    <xf numFmtId="4" fontId="89" fillId="0" borderId="4" xfId="30" applyNumberFormat="1" applyFont="1" applyBorder="1" applyAlignment="1">
      <alignment vertical="center"/>
    </xf>
    <xf numFmtId="4" fontId="81" fillId="0" borderId="4" xfId="30" applyNumberFormat="1" applyFont="1" applyBorder="1" applyAlignment="1">
      <alignment vertical="center"/>
    </xf>
    <xf numFmtId="49" fontId="86" fillId="14" borderId="31" xfId="30" applyNumberFormat="1" applyFont="1" applyFill="1" applyBorder="1" applyAlignment="1" applyProtection="1">
      <alignment horizontal="center" vertical="center" wrapText="1"/>
      <protection locked="0"/>
    </xf>
    <xf numFmtId="49" fontId="86" fillId="14" borderId="31" xfId="30" applyNumberFormat="1" applyFont="1" applyFill="1" applyBorder="1" applyAlignment="1" applyProtection="1">
      <alignment horizontal="left" vertical="center" wrapText="1"/>
      <protection locked="0"/>
    </xf>
    <xf numFmtId="49" fontId="87" fillId="14" borderId="86" xfId="30" applyNumberFormat="1" applyFont="1" applyFill="1" applyBorder="1" applyAlignment="1" applyProtection="1">
      <alignment horizontal="center" vertical="center" wrapText="1"/>
      <protection locked="0"/>
    </xf>
    <xf numFmtId="49" fontId="91" fillId="14" borderId="4" xfId="30" applyNumberFormat="1" applyFont="1" applyFill="1" applyBorder="1" applyAlignment="1" applyProtection="1">
      <alignment horizontal="center" vertical="center" wrapText="1"/>
      <protection locked="0"/>
    </xf>
    <xf numFmtId="49" fontId="87" fillId="14" borderId="4" xfId="30" applyNumberFormat="1" applyFont="1" applyFill="1" applyBorder="1" applyAlignment="1" applyProtection="1">
      <alignment vertical="center" wrapText="1"/>
      <protection locked="0"/>
    </xf>
    <xf numFmtId="49" fontId="82" fillId="14" borderId="4" xfId="30" applyNumberFormat="1" applyFont="1" applyFill="1" applyBorder="1" applyAlignment="1" applyProtection="1">
      <alignment horizontal="left" vertical="center" wrapText="1"/>
      <protection locked="0"/>
    </xf>
    <xf numFmtId="49" fontId="86" fillId="14" borderId="33" xfId="30" applyNumberFormat="1" applyFont="1" applyFill="1" applyBorder="1" applyAlignment="1" applyProtection="1">
      <alignment horizontal="center" vertical="center" wrapText="1"/>
      <protection locked="0"/>
    </xf>
    <xf numFmtId="49" fontId="86" fillId="14" borderId="33" xfId="30" applyNumberFormat="1" applyFont="1" applyFill="1" applyBorder="1" applyAlignment="1" applyProtection="1">
      <alignment horizontal="left" vertical="center" wrapText="1"/>
      <protection locked="0"/>
    </xf>
    <xf numFmtId="49" fontId="82" fillId="17" borderId="89" xfId="30" applyNumberFormat="1" applyFont="1" applyFill="1" applyBorder="1" applyAlignment="1" applyProtection="1">
      <alignment horizontal="center" vertical="center" wrapText="1"/>
      <protection locked="0"/>
    </xf>
    <xf numFmtId="171" fontId="82" fillId="17" borderId="39" xfId="30" applyNumberFormat="1" applyFont="1" applyFill="1" applyBorder="1" applyAlignment="1" applyProtection="1">
      <alignment horizontal="right" vertical="center" wrapText="1"/>
      <protection locked="0"/>
    </xf>
    <xf numFmtId="49" fontId="92" fillId="14" borderId="0" xfId="30" applyNumberFormat="1" applyFont="1" applyFill="1" applyBorder="1" applyAlignment="1" applyProtection="1">
      <alignment horizontal="center" vertical="center" wrapText="1"/>
      <protection locked="0"/>
    </xf>
    <xf numFmtId="49" fontId="86" fillId="17" borderId="29" xfId="30" applyNumberFormat="1" applyFont="1" applyFill="1" applyBorder="1" applyAlignment="1" applyProtection="1">
      <alignment horizontal="left" vertical="center" wrapText="1"/>
      <protection locked="0"/>
    </xf>
    <xf numFmtId="49" fontId="85" fillId="17" borderId="29" xfId="30" applyNumberFormat="1" applyFont="1" applyFill="1" applyBorder="1" applyAlignment="1" applyProtection="1">
      <alignment horizontal="center" vertical="center" wrapText="1"/>
      <protection locked="0"/>
    </xf>
    <xf numFmtId="49" fontId="93" fillId="17" borderId="29" xfId="30" applyNumberFormat="1" applyFont="1" applyFill="1" applyBorder="1" applyAlignment="1" applyProtection="1">
      <alignment horizontal="center" vertical="center" wrapText="1"/>
      <protection locked="0"/>
    </xf>
    <xf numFmtId="171" fontId="86" fillId="17" borderId="39" xfId="30" applyNumberFormat="1" applyFont="1" applyFill="1" applyBorder="1" applyAlignment="1" applyProtection="1">
      <alignment horizontal="right" vertical="center" wrapText="1"/>
      <protection locked="0"/>
    </xf>
    <xf numFmtId="4" fontId="93" fillId="0" borderId="4" xfId="30" applyNumberFormat="1" applyFont="1" applyBorder="1"/>
    <xf numFmtId="49" fontId="82" fillId="14" borderId="4" xfId="30" applyNumberFormat="1" applyFont="1" applyFill="1" applyBorder="1" applyAlignment="1" applyProtection="1">
      <alignment horizontal="center" vertical="center" wrapText="1"/>
      <protection locked="0"/>
    </xf>
    <xf numFmtId="49" fontId="86" fillId="14" borderId="7" xfId="30" applyNumberFormat="1" applyFont="1" applyFill="1" applyBorder="1" applyAlignment="1" applyProtection="1">
      <alignment horizontal="center" vertical="center" wrapText="1"/>
      <protection locked="0"/>
    </xf>
    <xf numFmtId="49" fontId="82" fillId="14" borderId="31" xfId="30" applyNumberFormat="1" applyFont="1" applyFill="1" applyBorder="1" applyAlignment="1" applyProtection="1">
      <alignment horizontal="left" vertical="center" wrapText="1"/>
      <protection locked="0"/>
    </xf>
    <xf numFmtId="4" fontId="82" fillId="14" borderId="39" xfId="30" applyNumberFormat="1" applyFont="1" applyFill="1" applyBorder="1" applyAlignment="1" applyProtection="1">
      <alignment horizontal="right" vertical="center" wrapText="1"/>
      <protection locked="0"/>
    </xf>
    <xf numFmtId="171" fontId="93" fillId="14" borderId="39" xfId="30" applyNumberFormat="1" applyFont="1" applyFill="1" applyBorder="1" applyAlignment="1" applyProtection="1">
      <alignment horizontal="right" vertical="center" wrapText="1"/>
      <protection locked="0"/>
    </xf>
    <xf numFmtId="49" fontId="86" fillId="14" borderId="62" xfId="30" applyNumberFormat="1" applyFont="1" applyFill="1" applyBorder="1" applyAlignment="1" applyProtection="1">
      <alignment horizontal="center" vertical="center" wrapText="1"/>
      <protection locked="0"/>
    </xf>
    <xf numFmtId="171" fontId="94" fillId="14" borderId="39" xfId="30" applyNumberFormat="1" applyFont="1" applyFill="1" applyBorder="1" applyAlignment="1" applyProtection="1">
      <alignment horizontal="right" vertical="center" wrapText="1"/>
      <protection locked="0"/>
    </xf>
    <xf numFmtId="171" fontId="94" fillId="15" borderId="39" xfId="30" applyNumberFormat="1" applyFont="1" applyFill="1" applyBorder="1" applyAlignment="1" applyProtection="1">
      <alignment horizontal="right" vertical="center" wrapText="1"/>
      <protection locked="0"/>
    </xf>
    <xf numFmtId="49" fontId="82" fillId="17" borderId="29" xfId="30" applyNumberFormat="1" applyFont="1" applyFill="1" applyBorder="1" applyAlignment="1" applyProtection="1">
      <alignment horizontal="center" vertical="center" wrapText="1"/>
      <protection locked="0"/>
    </xf>
    <xf numFmtId="171" fontId="94" fillId="17" borderId="39" xfId="30" applyNumberFormat="1" applyFont="1" applyFill="1" applyBorder="1" applyAlignment="1" applyProtection="1">
      <alignment horizontal="right" vertical="center" wrapText="1"/>
      <protection locked="0"/>
    </xf>
    <xf numFmtId="171" fontId="94" fillId="16" borderId="39" xfId="30" applyNumberFormat="1" applyFont="1" applyFill="1" applyBorder="1" applyAlignment="1" applyProtection="1">
      <alignment horizontal="right" vertical="center" wrapText="1"/>
      <protection locked="0"/>
    </xf>
    <xf numFmtId="49" fontId="88" fillId="14" borderId="62" xfId="30" applyNumberFormat="1" applyFont="1" applyFill="1" applyBorder="1" applyAlignment="1" applyProtection="1">
      <alignment horizontal="left" vertical="center" wrapText="1"/>
      <protection locked="0"/>
    </xf>
    <xf numFmtId="49" fontId="88" fillId="14" borderId="72" xfId="30" applyNumberFormat="1" applyFont="1" applyFill="1" applyBorder="1" applyAlignment="1" applyProtection="1">
      <alignment horizontal="left" vertical="center" wrapText="1"/>
      <protection locked="0"/>
    </xf>
    <xf numFmtId="171" fontId="86" fillId="14" borderId="40" xfId="30" applyNumberFormat="1" applyFont="1" applyFill="1" applyBorder="1" applyAlignment="1" applyProtection="1">
      <alignment horizontal="right" vertical="center" wrapText="1"/>
      <protection locked="0"/>
    </xf>
    <xf numFmtId="171" fontId="82" fillId="14" borderId="25" xfId="30" applyNumberFormat="1" applyFont="1" applyFill="1" applyBorder="1" applyAlignment="1" applyProtection="1">
      <alignment horizontal="right" vertical="center" wrapText="1"/>
      <protection locked="0"/>
    </xf>
    <xf numFmtId="49" fontId="87" fillId="14" borderId="8" xfId="30" applyNumberFormat="1" applyFont="1" applyFill="1" applyBorder="1" applyAlignment="1" applyProtection="1">
      <alignment horizontal="center" vertical="center" wrapText="1"/>
      <protection locked="0"/>
    </xf>
    <xf numFmtId="49" fontId="88" fillId="14" borderId="10" xfId="30" applyNumberFormat="1" applyFont="1" applyFill="1" applyBorder="1" applyAlignment="1" applyProtection="1">
      <alignment horizontal="center" vertical="center" wrapText="1"/>
      <protection locked="0"/>
    </xf>
    <xf numFmtId="49" fontId="88" fillId="14" borderId="81" xfId="30" applyNumberFormat="1" applyFont="1" applyFill="1" applyBorder="1" applyAlignment="1" applyProtection="1">
      <alignment horizontal="left" vertical="center" wrapText="1"/>
      <protection locked="0"/>
    </xf>
    <xf numFmtId="171" fontId="88" fillId="14" borderId="41" xfId="30" applyNumberFormat="1" applyFont="1" applyFill="1" applyBorder="1" applyAlignment="1" applyProtection="1">
      <alignment horizontal="right" vertical="center" wrapText="1"/>
      <protection locked="0"/>
    </xf>
    <xf numFmtId="49" fontId="88" fillId="14" borderId="4" xfId="30" applyNumberFormat="1" applyFont="1" applyFill="1" applyBorder="1" applyAlignment="1" applyProtection="1">
      <alignment horizontal="center" vertical="center" wrapText="1"/>
      <protection locked="0"/>
    </xf>
    <xf numFmtId="49" fontId="88" fillId="14" borderId="23" xfId="30" applyNumberFormat="1" applyFont="1" applyFill="1" applyBorder="1" applyAlignment="1" applyProtection="1">
      <alignment horizontal="center" vertical="center" wrapText="1"/>
      <protection locked="0"/>
    </xf>
    <xf numFmtId="171" fontId="88" fillId="14" borderId="40" xfId="30" applyNumberFormat="1" applyFont="1" applyFill="1" applyBorder="1" applyAlignment="1" applyProtection="1">
      <alignment horizontal="right" vertical="center" wrapText="1"/>
      <protection locked="0"/>
    </xf>
    <xf numFmtId="49" fontId="91" fillId="14" borderId="4" xfId="30" applyNumberFormat="1" applyFont="1" applyFill="1" applyBorder="1" applyAlignment="1" applyProtection="1">
      <alignment horizontal="left" vertical="center" wrapText="1"/>
      <protection locked="0"/>
    </xf>
    <xf numFmtId="171" fontId="91" fillId="14" borderId="25" xfId="30" applyNumberFormat="1" applyFont="1" applyFill="1" applyBorder="1" applyAlignment="1" applyProtection="1">
      <alignment horizontal="right" vertical="center" wrapText="1"/>
      <protection locked="0"/>
    </xf>
    <xf numFmtId="0" fontId="90" fillId="0" borderId="4" xfId="30" applyFont="1" applyBorder="1"/>
    <xf numFmtId="49" fontId="88" fillId="14" borderId="4" xfId="30" applyNumberFormat="1" applyFont="1" applyFill="1" applyBorder="1" applyAlignment="1" applyProtection="1">
      <alignment horizontal="left" vertical="center" wrapText="1"/>
      <protection locked="0"/>
    </xf>
    <xf numFmtId="171" fontId="88" fillId="14" borderId="68" xfId="30" applyNumberFormat="1" applyFont="1" applyFill="1" applyBorder="1" applyAlignment="1" applyProtection="1">
      <alignment horizontal="right" vertical="center" wrapText="1"/>
      <protection locked="0"/>
    </xf>
    <xf numFmtId="49" fontId="84" fillId="14" borderId="86" xfId="30" applyNumberFormat="1" applyFont="1" applyFill="1" applyBorder="1" applyAlignment="1" applyProtection="1">
      <alignment horizontal="center" vertical="center" wrapText="1"/>
      <protection locked="0"/>
    </xf>
    <xf numFmtId="49" fontId="82" fillId="16" borderId="4" xfId="30" applyNumberFormat="1" applyFont="1" applyFill="1" applyBorder="1" applyAlignment="1" applyProtection="1">
      <alignment horizontal="center" vertical="center" wrapText="1"/>
      <protection locked="0"/>
    </xf>
    <xf numFmtId="49" fontId="85" fillId="16" borderId="81" xfId="30" applyNumberFormat="1" applyFont="1" applyFill="1" applyBorder="1" applyAlignment="1" applyProtection="1">
      <alignment horizontal="center" vertical="center" wrapText="1"/>
      <protection locked="0"/>
    </xf>
    <xf numFmtId="49" fontId="82" fillId="16" borderId="33" xfId="30" applyNumberFormat="1" applyFont="1" applyFill="1" applyBorder="1" applyAlignment="1" applyProtection="1">
      <alignment horizontal="left" vertical="center" wrapText="1"/>
      <protection locked="0"/>
    </xf>
    <xf numFmtId="49" fontId="86" fillId="14" borderId="86" xfId="30" applyNumberFormat="1" applyFont="1" applyFill="1" applyBorder="1" applyAlignment="1" applyProtection="1">
      <alignment horizontal="center" vertical="center" wrapText="1"/>
      <protection locked="0"/>
    </xf>
    <xf numFmtId="49" fontId="82" fillId="14" borderId="62" xfId="30" applyNumberFormat="1" applyFont="1" applyFill="1" applyBorder="1" applyAlignment="1" applyProtection="1">
      <alignment horizontal="center" vertical="center" wrapText="1"/>
      <protection locked="0"/>
    </xf>
    <xf numFmtId="49" fontId="92" fillId="14" borderId="89" xfId="30" applyNumberFormat="1" applyFont="1" applyFill="1" applyBorder="1" applyAlignment="1" applyProtection="1">
      <alignment vertical="center" wrapText="1"/>
      <protection locked="0"/>
    </xf>
    <xf numFmtId="4" fontId="96" fillId="0" borderId="4" xfId="30" applyNumberFormat="1" applyFont="1" applyBorder="1" applyAlignment="1">
      <alignment vertical="center"/>
    </xf>
    <xf numFmtId="49" fontId="94" fillId="14" borderId="29" xfId="30" applyNumberFormat="1" applyFont="1" applyFill="1" applyBorder="1" applyAlignment="1" applyProtection="1">
      <alignment horizontal="left" vertical="center" wrapText="1"/>
      <protection locked="0"/>
    </xf>
    <xf numFmtId="49" fontId="86" fillId="14" borderId="51" xfId="30" applyNumberFormat="1" applyFont="1" applyFill="1" applyBorder="1" applyAlignment="1" applyProtection="1">
      <alignment horizontal="center" vertical="center" wrapText="1"/>
      <protection locked="0"/>
    </xf>
    <xf numFmtId="49" fontId="86" fillId="14" borderId="51" xfId="30" applyNumberFormat="1" applyFont="1" applyFill="1" applyBorder="1" applyAlignment="1" applyProtection="1">
      <alignment horizontal="left" vertical="center" wrapText="1"/>
      <protection locked="0"/>
    </xf>
    <xf numFmtId="171" fontId="86" fillId="14" borderId="52" xfId="30" applyNumberFormat="1" applyFont="1" applyFill="1" applyBorder="1" applyAlignment="1" applyProtection="1">
      <alignment horizontal="right" vertical="center" wrapText="1"/>
      <protection locked="0"/>
    </xf>
    <xf numFmtId="171" fontId="86" fillId="14" borderId="41" xfId="30" applyNumberFormat="1" applyFont="1" applyFill="1" applyBorder="1" applyAlignment="1" applyProtection="1">
      <alignment horizontal="right" vertical="center" wrapText="1"/>
      <protection locked="0"/>
    </xf>
    <xf numFmtId="49" fontId="82" fillId="18" borderId="8" xfId="30" applyNumberFormat="1" applyFont="1" applyFill="1" applyBorder="1" applyAlignment="1" applyProtection="1">
      <alignment horizontal="center" vertical="center" wrapText="1"/>
      <protection locked="0"/>
    </xf>
    <xf numFmtId="171" fontId="82" fillId="18" borderId="25" xfId="30" applyNumberFormat="1" applyFont="1" applyFill="1" applyBorder="1" applyAlignment="1" applyProtection="1">
      <alignment horizontal="right" vertical="center" wrapText="1"/>
      <protection locked="0"/>
    </xf>
    <xf numFmtId="49" fontId="87" fillId="14" borderId="100" xfId="30" applyNumberFormat="1" applyFont="1" applyFill="1" applyBorder="1" applyAlignment="1" applyProtection="1">
      <alignment vertical="center" wrapText="1"/>
      <protection locked="0"/>
    </xf>
    <xf numFmtId="49" fontId="92" fillId="14" borderId="7" xfId="30" applyNumberFormat="1" applyFont="1" applyFill="1" applyBorder="1" applyAlignment="1" applyProtection="1">
      <alignment vertical="center" wrapText="1"/>
      <protection locked="0"/>
    </xf>
    <xf numFmtId="49" fontId="88" fillId="14" borderId="4" xfId="30" applyNumberFormat="1" applyFont="1" applyFill="1" applyBorder="1" applyAlignment="1" applyProtection="1">
      <alignment vertical="center" wrapText="1"/>
      <protection locked="0"/>
    </xf>
    <xf numFmtId="171" fontId="88" fillId="14" borderId="53" xfId="30" applyNumberFormat="1" applyFont="1" applyFill="1" applyBorder="1" applyAlignment="1" applyProtection="1">
      <alignment horizontal="right" vertical="center" wrapText="1"/>
      <protection locked="0"/>
    </xf>
    <xf numFmtId="49" fontId="87" fillId="14" borderId="78" xfId="30" applyNumberFormat="1" applyFont="1" applyFill="1" applyBorder="1" applyAlignment="1" applyProtection="1">
      <alignment vertical="center" wrapText="1"/>
      <protection locked="0"/>
    </xf>
    <xf numFmtId="49" fontId="92" fillId="14" borderId="10" xfId="30" applyNumberFormat="1" applyFont="1" applyFill="1" applyBorder="1" applyAlignment="1" applyProtection="1">
      <alignment vertical="center" wrapText="1"/>
      <protection locked="0"/>
    </xf>
    <xf numFmtId="49" fontId="86" fillId="14" borderId="81" xfId="30" applyNumberFormat="1" applyFont="1" applyFill="1" applyBorder="1" applyAlignment="1" applyProtection="1">
      <alignment horizontal="center" vertical="center" wrapText="1"/>
      <protection locked="0"/>
    </xf>
    <xf numFmtId="171" fontId="86" fillId="14" borderId="25" xfId="30" applyNumberFormat="1" applyFont="1" applyFill="1" applyBorder="1" applyAlignment="1" applyProtection="1">
      <alignment horizontal="right" vertical="center" wrapText="1"/>
      <protection locked="0"/>
    </xf>
    <xf numFmtId="49" fontId="97" fillId="14" borderId="89" xfId="30" applyNumberFormat="1" applyFont="1" applyFill="1" applyBorder="1" applyAlignment="1" applyProtection="1">
      <alignment horizontal="center" vertical="center" wrapText="1"/>
      <protection locked="0"/>
    </xf>
    <xf numFmtId="49" fontId="82" fillId="16" borderId="33" xfId="30" applyNumberFormat="1" applyFont="1" applyFill="1" applyBorder="1" applyAlignment="1" applyProtection="1">
      <alignment horizontal="center" vertical="center" wrapText="1"/>
      <protection locked="0"/>
    </xf>
    <xf numFmtId="49" fontId="85" fillId="16" borderId="33" xfId="30" applyNumberFormat="1" applyFont="1" applyFill="1" applyBorder="1" applyAlignment="1" applyProtection="1">
      <alignment horizontal="center" vertical="center" wrapText="1"/>
      <protection locked="0"/>
    </xf>
    <xf numFmtId="171" fontId="82" fillId="16" borderId="41" xfId="30" applyNumberFormat="1" applyFont="1" applyFill="1" applyBorder="1" applyAlignment="1" applyProtection="1">
      <alignment horizontal="right" vertical="center" wrapText="1"/>
      <protection locked="0"/>
    </xf>
    <xf numFmtId="49" fontId="86" fillId="14" borderId="0" xfId="30" applyNumberFormat="1" applyFont="1" applyFill="1" applyBorder="1" applyAlignment="1" applyProtection="1">
      <alignment horizontal="center" vertical="center" wrapText="1"/>
      <protection locked="0"/>
    </xf>
    <xf numFmtId="49" fontId="87" fillId="14" borderId="47" xfId="30" applyNumberFormat="1" applyFont="1" applyFill="1" applyBorder="1" applyAlignment="1" applyProtection="1">
      <alignment horizontal="center" vertical="center" wrapText="1"/>
      <protection locked="0"/>
    </xf>
    <xf numFmtId="49" fontId="82" fillId="14" borderId="33" xfId="30" applyNumberFormat="1" applyFont="1" applyFill="1" applyBorder="1" applyAlignment="1" applyProtection="1">
      <alignment horizontal="center" vertical="center" wrapText="1"/>
      <protection locked="0"/>
    </xf>
    <xf numFmtId="49" fontId="82" fillId="14" borderId="33" xfId="30" applyNumberFormat="1" applyFont="1" applyFill="1" applyBorder="1" applyAlignment="1" applyProtection="1">
      <alignment horizontal="left" vertical="center" wrapText="1"/>
      <protection locked="0"/>
    </xf>
    <xf numFmtId="171" fontId="82" fillId="14" borderId="41" xfId="30" applyNumberFormat="1" applyFont="1" applyFill="1" applyBorder="1" applyAlignment="1" applyProtection="1">
      <alignment horizontal="right" vertical="center" wrapText="1"/>
      <protection locked="0"/>
    </xf>
    <xf numFmtId="49" fontId="94" fillId="16" borderId="29" xfId="30" applyNumberFormat="1" applyFont="1" applyFill="1" applyBorder="1" applyAlignment="1" applyProtection="1">
      <alignment horizontal="center" vertical="center" wrapText="1"/>
      <protection locked="0"/>
    </xf>
    <xf numFmtId="49" fontId="94" fillId="16" borderId="31" xfId="30" applyNumberFormat="1" applyFont="1" applyFill="1" applyBorder="1" applyAlignment="1" applyProtection="1">
      <alignment horizontal="center" vertical="center" wrapText="1"/>
      <protection locked="0"/>
    </xf>
    <xf numFmtId="49" fontId="94" fillId="16" borderId="31" xfId="30" applyNumberFormat="1" applyFont="1" applyFill="1" applyBorder="1" applyAlignment="1" applyProtection="1">
      <alignment horizontal="left" vertical="center" wrapText="1"/>
      <protection locked="0"/>
    </xf>
    <xf numFmtId="172" fontId="94" fillId="16" borderId="40" xfId="30" applyNumberFormat="1" applyFont="1" applyFill="1" applyBorder="1" applyAlignment="1" applyProtection="1">
      <alignment horizontal="right" vertical="center" wrapText="1"/>
      <protection locked="0"/>
    </xf>
    <xf numFmtId="0" fontId="90" fillId="6" borderId="0" xfId="30" applyFont="1" applyFill="1"/>
    <xf numFmtId="49" fontId="94" fillId="17" borderId="86" xfId="30" applyNumberFormat="1" applyFont="1" applyFill="1" applyBorder="1" applyAlignment="1" applyProtection="1">
      <alignment horizontal="center" vertical="center" wrapText="1"/>
      <protection locked="0"/>
    </xf>
    <xf numFmtId="49" fontId="94" fillId="17" borderId="4" xfId="30" applyNumberFormat="1" applyFont="1" applyFill="1" applyBorder="1" applyAlignment="1" applyProtection="1">
      <alignment horizontal="center" vertical="center" wrapText="1"/>
      <protection locked="0"/>
    </xf>
    <xf numFmtId="49" fontId="94" fillId="17" borderId="4" xfId="30" applyNumberFormat="1" applyFont="1" applyFill="1" applyBorder="1" applyAlignment="1" applyProtection="1">
      <alignment horizontal="left" vertical="center" wrapText="1"/>
      <protection locked="0"/>
    </xf>
    <xf numFmtId="172" fontId="94" fillId="17" borderId="25" xfId="30" applyNumberFormat="1" applyFont="1" applyFill="1" applyBorder="1" applyAlignment="1" applyProtection="1">
      <alignment horizontal="right" vertical="center" wrapText="1"/>
      <protection locked="0"/>
    </xf>
    <xf numFmtId="49" fontId="92" fillId="14" borderId="8" xfId="30" applyNumberFormat="1" applyFont="1" applyFill="1" applyBorder="1" applyAlignment="1" applyProtection="1">
      <alignment vertical="center" wrapText="1"/>
      <protection locked="0"/>
    </xf>
    <xf numFmtId="0" fontId="29" fillId="0" borderId="10" xfId="30" applyFont="1" applyBorder="1" applyAlignment="1">
      <alignment vertical="top" wrapText="1"/>
    </xf>
    <xf numFmtId="0" fontId="29" fillId="0" borderId="0" xfId="30" applyFont="1" applyBorder="1" applyAlignment="1">
      <alignment vertical="center" wrapText="1"/>
    </xf>
    <xf numFmtId="49" fontId="94" fillId="17" borderId="29" xfId="30" applyNumberFormat="1" applyFont="1" applyFill="1" applyBorder="1" applyAlignment="1" applyProtection="1">
      <alignment horizontal="center" vertical="center" wrapText="1"/>
      <protection locked="0"/>
    </xf>
    <xf numFmtId="49" fontId="94" fillId="17" borderId="29" xfId="30" applyNumberFormat="1" applyFont="1" applyFill="1" applyBorder="1" applyAlignment="1" applyProtection="1">
      <alignment horizontal="left" vertical="center" wrapText="1"/>
      <protection locked="0"/>
    </xf>
    <xf numFmtId="49" fontId="93" fillId="17" borderId="29" xfId="30" applyNumberFormat="1" applyFont="1" applyFill="1" applyBorder="1" applyAlignment="1" applyProtection="1">
      <alignment horizontal="left" vertical="center" wrapText="1"/>
      <protection locked="0"/>
    </xf>
    <xf numFmtId="0" fontId="98" fillId="0" borderId="0" xfId="30" applyFont="1" applyAlignment="1">
      <alignment wrapText="1"/>
    </xf>
    <xf numFmtId="49" fontId="87" fillId="14" borderId="44" xfId="30" applyNumberFormat="1" applyFont="1" applyFill="1" applyBorder="1" applyAlignment="1" applyProtection="1">
      <alignment horizontal="center" vertical="center" wrapText="1"/>
      <protection locked="0"/>
    </xf>
    <xf numFmtId="49" fontId="87" fillId="14" borderId="109" xfId="30" applyNumberFormat="1" applyFont="1" applyFill="1" applyBorder="1" applyAlignment="1" applyProtection="1">
      <alignment horizontal="center" vertical="center" wrapText="1"/>
      <protection locked="0"/>
    </xf>
    <xf numFmtId="49" fontId="99" fillId="14" borderId="68" xfId="30" applyNumberFormat="1" applyFont="1" applyFill="1" applyBorder="1" applyAlignment="1" applyProtection="1">
      <alignment horizontal="right" vertical="center" wrapText="1"/>
      <protection locked="0"/>
    </xf>
    <xf numFmtId="171" fontId="99" fillId="14" borderId="4" xfId="30" applyNumberFormat="1" applyFont="1" applyFill="1" applyBorder="1" applyAlignment="1" applyProtection="1">
      <alignment horizontal="right" vertical="center" wrapText="1"/>
      <protection locked="0"/>
    </xf>
    <xf numFmtId="0" fontId="19" fillId="0" borderId="87" xfId="30" applyBorder="1"/>
    <xf numFmtId="0" fontId="52" fillId="0" borderId="0" xfId="30" applyFont="1" applyBorder="1"/>
    <xf numFmtId="0" fontId="19" fillId="0" borderId="9" xfId="30" applyBorder="1"/>
    <xf numFmtId="0" fontId="19" fillId="0" borderId="85" xfId="30" applyBorder="1"/>
    <xf numFmtId="0" fontId="100" fillId="0" borderId="16" xfId="30" applyFont="1" applyBorder="1"/>
    <xf numFmtId="0" fontId="101" fillId="0" borderId="0" xfId="30" applyFont="1" applyBorder="1"/>
    <xf numFmtId="171" fontId="63" fillId="0" borderId="9" xfId="30" applyNumberFormat="1" applyFont="1" applyBorder="1"/>
    <xf numFmtId="0" fontId="19" fillId="0" borderId="53" xfId="30" applyBorder="1"/>
    <xf numFmtId="0" fontId="19" fillId="0" borderId="109" xfId="30" applyBorder="1"/>
    <xf numFmtId="0" fontId="101" fillId="0" borderId="109" xfId="30" applyFont="1" applyBorder="1"/>
    <xf numFmtId="171" fontId="63" fillId="0" borderId="110" xfId="30" applyNumberFormat="1" applyFont="1" applyBorder="1"/>
    <xf numFmtId="0" fontId="6" fillId="0" borderId="0" xfId="30" applyFont="1"/>
    <xf numFmtId="171" fontId="6" fillId="0" borderId="0" xfId="30" applyNumberFormat="1" applyFont="1"/>
    <xf numFmtId="171" fontId="19" fillId="0" borderId="0" xfId="30" applyNumberFormat="1"/>
    <xf numFmtId="0" fontId="19" fillId="0" borderId="0" xfId="47"/>
    <xf numFmtId="0" fontId="56" fillId="0" borderId="4" xfId="47" applyFont="1" applyBorder="1" applyAlignment="1">
      <alignment horizontal="center" vertical="center"/>
    </xf>
    <xf numFmtId="0" fontId="56" fillId="0" borderId="4" xfId="47" applyFont="1" applyBorder="1" applyAlignment="1">
      <alignment vertical="center"/>
    </xf>
    <xf numFmtId="0" fontId="56" fillId="0" borderId="4" xfId="47" applyFont="1" applyBorder="1" applyAlignment="1">
      <alignment horizontal="center" vertical="center" wrapText="1"/>
    </xf>
    <xf numFmtId="0" fontId="56" fillId="0" borderId="4" xfId="30" applyFont="1" applyBorder="1" applyAlignment="1">
      <alignment horizontal="center" vertical="center" wrapText="1"/>
    </xf>
    <xf numFmtId="0" fontId="4" fillId="0" borderId="4" xfId="30" applyFont="1" applyBorder="1" applyAlignment="1">
      <alignment horizontal="center" vertical="center" wrapText="1"/>
    </xf>
    <xf numFmtId="0" fontId="52" fillId="0" borderId="7" xfId="47" applyFont="1" applyBorder="1" applyAlignment="1">
      <alignment vertical="top" wrapText="1"/>
    </xf>
    <xf numFmtId="0" fontId="69" fillId="0" borderId="8" xfId="47" applyFont="1" applyBorder="1" applyAlignment="1">
      <alignment vertical="top" wrapText="1"/>
    </xf>
    <xf numFmtId="4" fontId="69" fillId="0" borderId="8" xfId="47" applyNumberFormat="1" applyFont="1" applyBorder="1" applyAlignment="1">
      <alignment vertical="top"/>
    </xf>
    <xf numFmtId="10" fontId="69" fillId="0" borderId="8" xfId="30" applyNumberFormat="1" applyFont="1" applyBorder="1" applyAlignment="1">
      <alignment vertical="top"/>
    </xf>
    <xf numFmtId="4" fontId="69" fillId="0" borderId="8" xfId="30" applyNumberFormat="1" applyFont="1" applyBorder="1" applyAlignment="1">
      <alignment vertical="top"/>
    </xf>
    <xf numFmtId="4" fontId="69" fillId="0" borderId="10" xfId="30" applyNumberFormat="1" applyFont="1" applyBorder="1" applyAlignment="1">
      <alignment vertical="top"/>
    </xf>
    <xf numFmtId="0" fontId="69" fillId="0" borderId="8" xfId="47" applyFont="1" applyBorder="1" applyAlignment="1">
      <alignment vertical="top"/>
    </xf>
    <xf numFmtId="4" fontId="29" fillId="0" borderId="8" xfId="47" applyNumberFormat="1" applyFont="1" applyBorder="1" applyAlignment="1">
      <alignment vertical="top"/>
    </xf>
    <xf numFmtId="0" fontId="69" fillId="0" borderId="10" xfId="47" applyFont="1" applyBorder="1" applyAlignment="1">
      <alignment vertical="top" wrapText="1"/>
    </xf>
    <xf numFmtId="4" fontId="69" fillId="0" borderId="10" xfId="47" applyNumberFormat="1" applyFont="1" applyBorder="1" applyAlignment="1">
      <alignment vertical="top"/>
    </xf>
    <xf numFmtId="0" fontId="29" fillId="0" borderId="8" xfId="47" applyFont="1" applyBorder="1" applyAlignment="1">
      <alignment vertical="top" wrapText="1"/>
    </xf>
    <xf numFmtId="4" fontId="29" fillId="0" borderId="8" xfId="30" applyNumberFormat="1" applyFont="1" applyBorder="1" applyAlignment="1">
      <alignment vertical="top"/>
    </xf>
    <xf numFmtId="0" fontId="69" fillId="0" borderId="8" xfId="47" applyFont="1" applyBorder="1" applyAlignment="1">
      <alignment horizontal="left" vertical="top" wrapText="1"/>
    </xf>
    <xf numFmtId="0" fontId="69" fillId="0" borderId="8" xfId="48" applyFont="1" applyBorder="1" applyAlignment="1">
      <alignment vertical="top" wrapText="1"/>
    </xf>
    <xf numFmtId="4" fontId="29" fillId="0" borderId="10" xfId="30" applyNumberFormat="1" applyFont="1" applyBorder="1" applyAlignment="1">
      <alignment vertical="top"/>
    </xf>
    <xf numFmtId="0" fontId="19" fillId="0" borderId="8" xfId="47" applyFont="1" applyBorder="1" applyAlignment="1">
      <alignment horizontal="center" vertical="top"/>
    </xf>
    <xf numFmtId="0" fontId="69" fillId="0" borderId="8" xfId="47" applyFont="1" applyBorder="1" applyAlignment="1">
      <alignment horizontal="center" vertical="top"/>
    </xf>
    <xf numFmtId="0" fontId="19" fillId="0" borderId="8" xfId="47" applyBorder="1" applyAlignment="1">
      <alignment horizontal="center" vertical="top"/>
    </xf>
    <xf numFmtId="0" fontId="19" fillId="0" borderId="10" xfId="47" applyBorder="1" applyAlignment="1">
      <alignment horizontal="center" vertical="top"/>
    </xf>
    <xf numFmtId="0" fontId="69" fillId="0" borderId="10" xfId="47" applyFont="1" applyBorder="1" applyAlignment="1">
      <alignment horizontal="center" vertical="top"/>
    </xf>
    <xf numFmtId="0" fontId="29" fillId="0" borderId="0" xfId="30" applyFont="1" applyAlignment="1">
      <alignment vertical="top" wrapText="1"/>
    </xf>
    <xf numFmtId="0" fontId="29" fillId="0" borderId="8" xfId="47" applyFont="1" applyBorder="1" applyAlignment="1">
      <alignment horizontal="center" vertical="top"/>
    </xf>
    <xf numFmtId="0" fontId="2" fillId="0" borderId="0" xfId="49"/>
    <xf numFmtId="0" fontId="4" fillId="0" borderId="0" xfId="50" applyFont="1" applyAlignment="1"/>
    <xf numFmtId="0" fontId="35" fillId="0" borderId="0" xfId="49" applyFont="1" applyBorder="1" applyAlignment="1">
      <alignment horizontal="left" vertical="center" wrapText="1"/>
    </xf>
    <xf numFmtId="0" fontId="103" fillId="0" borderId="7" xfId="49" applyFont="1" applyBorder="1" applyAlignment="1">
      <alignment vertical="center"/>
    </xf>
    <xf numFmtId="0" fontId="103" fillId="0" borderId="7" xfId="49" applyFont="1" applyBorder="1" applyAlignment="1">
      <alignment horizontal="center" vertical="center"/>
    </xf>
    <xf numFmtId="0" fontId="103" fillId="0" borderId="7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7" borderId="4" xfId="49" applyFont="1" applyFill="1" applyBorder="1" applyAlignment="1">
      <alignment horizontal="left" vertical="top"/>
    </xf>
    <xf numFmtId="0" fontId="5" fillId="7" borderId="25" xfId="49" applyFont="1" applyFill="1" applyBorder="1" applyAlignment="1">
      <alignment horizontal="left" vertical="top"/>
    </xf>
    <xf numFmtId="0" fontId="5" fillId="7" borderId="5" xfId="49" applyFont="1" applyFill="1" applyBorder="1" applyAlignment="1">
      <alignment horizontal="left" vertical="top"/>
    </xf>
    <xf numFmtId="0" fontId="103" fillId="7" borderId="4" xfId="49" applyFont="1" applyFill="1" applyBorder="1" applyAlignment="1">
      <alignment horizontal="left" vertical="top" wrapText="1"/>
    </xf>
    <xf numFmtId="4" fontId="103" fillId="7" borderId="4" xfId="49" applyNumberFormat="1" applyFont="1" applyFill="1" applyBorder="1" applyAlignment="1">
      <alignment horizontal="right" vertical="top"/>
    </xf>
    <xf numFmtId="0" fontId="2" fillId="0" borderId="87" xfId="49" applyBorder="1"/>
    <xf numFmtId="0" fontId="18" fillId="3" borderId="4" xfId="49" applyFont="1" applyFill="1" applyBorder="1" applyAlignment="1">
      <alignment horizontal="left" vertical="top"/>
    </xf>
    <xf numFmtId="0" fontId="18" fillId="3" borderId="4" xfId="49" applyFont="1" applyFill="1" applyBorder="1" applyAlignment="1">
      <alignment horizontal="left" vertical="top" wrapText="1"/>
    </xf>
    <xf numFmtId="4" fontId="18" fillId="3" borderId="4" xfId="49" applyNumberFormat="1" applyFont="1" applyFill="1" applyBorder="1" applyAlignment="1">
      <alignment horizontal="right" vertical="top" wrapText="1"/>
    </xf>
    <xf numFmtId="0" fontId="2" fillId="0" borderId="10" xfId="49" applyBorder="1"/>
    <xf numFmtId="0" fontId="2" fillId="0" borderId="109" xfId="49" applyBorder="1" applyAlignment="1">
      <alignment horizontal="left"/>
    </xf>
    <xf numFmtId="0" fontId="18" fillId="0" borderId="4" xfId="49" quotePrefix="1" applyFont="1" applyBorder="1" applyAlignment="1">
      <alignment horizontal="left"/>
    </xf>
    <xf numFmtId="0" fontId="18" fillId="0" borderId="4" xfId="49" applyFont="1" applyBorder="1" applyAlignment="1">
      <alignment horizontal="left" vertical="top" wrapText="1"/>
    </xf>
    <xf numFmtId="4" fontId="18" fillId="0" borderId="4" xfId="49" applyNumberFormat="1" applyFont="1" applyBorder="1" applyAlignment="1">
      <alignment horizontal="right" vertical="top"/>
    </xf>
    <xf numFmtId="0" fontId="2" fillId="0" borderId="4" xfId="49" applyBorder="1"/>
    <xf numFmtId="4" fontId="2" fillId="0" borderId="4" xfId="49" applyNumberFormat="1" applyBorder="1"/>
    <xf numFmtId="0" fontId="2" fillId="0" borderId="10" xfId="49" applyBorder="1" applyAlignment="1">
      <alignment horizontal="left"/>
    </xf>
    <xf numFmtId="0" fontId="18" fillId="0" borderId="10" xfId="49" quotePrefix="1" applyFont="1" applyBorder="1" applyAlignment="1">
      <alignment horizontal="left"/>
    </xf>
    <xf numFmtId="0" fontId="104" fillId="0" borderId="10" xfId="49" applyFont="1" applyBorder="1" applyAlignment="1">
      <alignment horizontal="right"/>
    </xf>
    <xf numFmtId="4" fontId="104" fillId="0" borderId="10" xfId="49" applyNumberFormat="1" applyFont="1" applyBorder="1" applyAlignment="1">
      <alignment horizontal="right"/>
    </xf>
    <xf numFmtId="0" fontId="62" fillId="0" borderId="0" xfId="49" applyFont="1" applyBorder="1" applyAlignment="1">
      <alignment horizontal="left" vertical="center"/>
    </xf>
    <xf numFmtId="0" fontId="103" fillId="0" borderId="7" xfId="49" applyFont="1" applyBorder="1" applyAlignment="1">
      <alignment horizontal="left" vertical="center"/>
    </xf>
    <xf numFmtId="0" fontId="5" fillId="7" borderId="4" xfId="49" applyFont="1" applyFill="1" applyBorder="1" applyAlignment="1">
      <alignment horizontal="left" vertical="top" wrapText="1"/>
    </xf>
    <xf numFmtId="4" fontId="5" fillId="7" borderId="5" xfId="49" applyNumberFormat="1" applyFont="1" applyFill="1" applyBorder="1" applyAlignment="1">
      <alignment horizontal="right" vertical="top"/>
    </xf>
    <xf numFmtId="0" fontId="2" fillId="0" borderId="7" xfId="49" applyBorder="1"/>
    <xf numFmtId="0" fontId="103" fillId="3" borderId="4" xfId="49" applyFont="1" applyFill="1" applyBorder="1" applyAlignment="1">
      <alignment horizontal="left" vertical="top" wrapText="1"/>
    </xf>
    <xf numFmtId="4" fontId="18" fillId="3" borderId="5" xfId="49" applyNumberFormat="1" applyFont="1" applyFill="1" applyBorder="1" applyAlignment="1">
      <alignment horizontal="right" vertical="top"/>
    </xf>
    <xf numFmtId="0" fontId="2" fillId="0" borderId="8" xfId="49" applyBorder="1"/>
    <xf numFmtId="0" fontId="18" fillId="0" borderId="7" xfId="49" applyFont="1" applyBorder="1" applyAlignment="1">
      <alignment horizontal="left"/>
    </xf>
    <xf numFmtId="0" fontId="18" fillId="0" borderId="7" xfId="49" applyFont="1" applyBorder="1" applyAlignment="1">
      <alignment horizontal="left" vertical="top" wrapText="1"/>
    </xf>
    <xf numFmtId="4" fontId="18" fillId="6" borderId="23" xfId="49" applyNumberFormat="1" applyFont="1" applyFill="1" applyBorder="1" applyAlignment="1">
      <alignment horizontal="right" vertical="top"/>
    </xf>
    <xf numFmtId="0" fontId="18" fillId="6" borderId="7" xfId="49" applyFont="1" applyFill="1" applyBorder="1" applyAlignment="1">
      <alignment horizontal="left" vertical="top"/>
    </xf>
    <xf numFmtId="0" fontId="18" fillId="0" borderId="7" xfId="49" applyFont="1" applyFill="1" applyBorder="1" applyAlignment="1">
      <alignment horizontal="left" vertical="top"/>
    </xf>
    <xf numFmtId="4" fontId="18" fillId="0" borderId="23" xfId="49" applyNumberFormat="1" applyFont="1" applyFill="1" applyBorder="1" applyAlignment="1">
      <alignment horizontal="right" vertical="top"/>
    </xf>
    <xf numFmtId="4" fontId="18" fillId="0" borderId="4" xfId="49" applyNumberFormat="1" applyFont="1" applyBorder="1" applyAlignment="1">
      <alignment vertical="top"/>
    </xf>
    <xf numFmtId="0" fontId="18" fillId="0" borderId="8" xfId="49" applyFont="1" applyBorder="1" applyAlignment="1">
      <alignment horizontal="left"/>
    </xf>
    <xf numFmtId="4" fontId="18" fillId="0" borderId="23" xfId="49" applyNumberFormat="1" applyFont="1" applyBorder="1" applyAlignment="1">
      <alignment horizontal="right" vertical="top"/>
    </xf>
    <xf numFmtId="0" fontId="2" fillId="0" borderId="8" xfId="49" applyBorder="1" applyAlignment="1">
      <alignment horizontal="left"/>
    </xf>
    <xf numFmtId="0" fontId="2" fillId="3" borderId="4" xfId="49" applyFill="1" applyBorder="1" applyAlignment="1">
      <alignment horizontal="left" vertical="top"/>
    </xf>
    <xf numFmtId="0" fontId="2" fillId="0" borderId="7" xfId="49" applyBorder="1" applyAlignment="1">
      <alignment horizontal="left"/>
    </xf>
    <xf numFmtId="0" fontId="18" fillId="0" borderId="4" xfId="49" applyFont="1" applyBorder="1" applyAlignment="1">
      <alignment horizontal="left"/>
    </xf>
    <xf numFmtId="4" fontId="18" fillId="0" borderId="5" xfId="49" applyNumberFormat="1" applyFont="1" applyBorder="1" applyAlignment="1">
      <alignment horizontal="right" vertical="top"/>
    </xf>
    <xf numFmtId="0" fontId="18" fillId="3" borderId="10" xfId="49" applyFont="1" applyFill="1" applyBorder="1" applyAlignment="1">
      <alignment horizontal="left" vertical="top"/>
    </xf>
    <xf numFmtId="0" fontId="2" fillId="0" borderId="4" xfId="49" applyBorder="1" applyAlignment="1">
      <alignment horizontal="left"/>
    </xf>
    <xf numFmtId="4" fontId="104" fillId="0" borderId="110" xfId="49" applyNumberFormat="1" applyFont="1" applyBorder="1" applyAlignment="1">
      <alignment horizontal="right"/>
    </xf>
    <xf numFmtId="0" fontId="2" fillId="0" borderId="0" xfId="49" applyBorder="1"/>
    <xf numFmtId="0" fontId="2" fillId="0" borderId="0" xfId="49" applyBorder="1" applyAlignment="1">
      <alignment horizontal="left"/>
    </xf>
    <xf numFmtId="4" fontId="45" fillId="0" borderId="25" xfId="46" applyNumberFormat="1" applyFont="1" applyBorder="1" applyAlignment="1">
      <alignment vertical="top"/>
    </xf>
    <xf numFmtId="4" fontId="12" fillId="0" borderId="110" xfId="1" applyNumberFormat="1" applyFont="1" applyBorder="1" applyAlignment="1">
      <alignment horizontal="right" vertical="top" wrapText="1"/>
    </xf>
    <xf numFmtId="0" fontId="2" fillId="7" borderId="2" xfId="1" applyFont="1" applyFill="1" applyBorder="1" applyAlignment="1">
      <alignment vertical="center" wrapText="1"/>
    </xf>
    <xf numFmtId="164" fontId="13" fillId="7" borderId="2" xfId="1" applyNumberFormat="1" applyFont="1" applyFill="1" applyBorder="1" applyAlignment="1">
      <alignment vertical="center" wrapText="1"/>
    </xf>
    <xf numFmtId="164" fontId="13" fillId="3" borderId="6" xfId="1" applyNumberFormat="1" applyFont="1" applyFill="1" applyBorder="1" applyAlignment="1">
      <alignment vertical="center" wrapText="1"/>
    </xf>
    <xf numFmtId="0" fontId="2" fillId="0" borderId="23" xfId="1" applyFont="1" applyBorder="1" applyAlignment="1">
      <alignment vertical="center" wrapText="1"/>
    </xf>
    <xf numFmtId="0" fontId="2" fillId="0" borderId="4" xfId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2" fillId="0" borderId="7" xfId="1" applyBorder="1" applyAlignment="1">
      <alignment vertical="center" wrapText="1"/>
    </xf>
    <xf numFmtId="4" fontId="13" fillId="0" borderId="9" xfId="1" applyNumberFormat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4" fontId="11" fillId="3" borderId="5" xfId="1" applyNumberFormat="1" applyFont="1" applyFill="1" applyBorder="1" applyAlignment="1">
      <alignment horizontal="right" vertical="center" wrapText="1"/>
    </xf>
    <xf numFmtId="0" fontId="28" fillId="0" borderId="4" xfId="1" applyFont="1" applyBorder="1" applyAlignment="1">
      <alignment vertical="center" wrapText="1"/>
    </xf>
    <xf numFmtId="4" fontId="13" fillId="0" borderId="4" xfId="1" applyNumberFormat="1" applyFont="1" applyBorder="1" applyAlignment="1">
      <alignment vertical="center" wrapText="1"/>
    </xf>
    <xf numFmtId="4" fontId="14" fillId="0" borderId="4" xfId="1" applyNumberFormat="1" applyFont="1" applyBorder="1" applyAlignment="1">
      <alignment vertical="center" wrapText="1"/>
    </xf>
    <xf numFmtId="4" fontId="11" fillId="3" borderId="6" xfId="1" applyNumberFormat="1" applyFont="1" applyFill="1" applyBorder="1" applyAlignment="1">
      <alignment horizontal="right" vertical="center" wrapText="1"/>
    </xf>
    <xf numFmtId="4" fontId="12" fillId="0" borderId="9" xfId="1" applyNumberFormat="1" applyFont="1" applyBorder="1" applyAlignment="1">
      <alignment horizontal="right" vertical="center" wrapText="1"/>
    </xf>
    <xf numFmtId="4" fontId="12" fillId="0" borderId="5" xfId="1" applyNumberFormat="1" applyFont="1" applyBorder="1" applyAlignment="1">
      <alignment horizontal="right" vertical="center" wrapText="1"/>
    </xf>
    <xf numFmtId="4" fontId="12" fillId="0" borderId="4" xfId="1" applyNumberFormat="1" applyFont="1" applyBorder="1" applyAlignment="1">
      <alignment horizontal="right" vertical="center" wrapText="1"/>
    </xf>
    <xf numFmtId="4" fontId="13" fillId="0" borderId="7" xfId="1" applyNumberFormat="1" applyFont="1" applyBorder="1" applyAlignment="1">
      <alignment vertical="center" wrapText="1"/>
    </xf>
    <xf numFmtId="4" fontId="12" fillId="3" borderId="4" xfId="1" applyNumberFormat="1" applyFont="1" applyFill="1" applyBorder="1" applyAlignment="1">
      <alignment horizontal="right" vertical="center" wrapText="1"/>
    </xf>
    <xf numFmtId="4" fontId="12" fillId="0" borderId="7" xfId="1" applyNumberFormat="1" applyFont="1" applyBorder="1" applyAlignment="1">
      <alignment horizontal="right" vertical="center" wrapText="1"/>
    </xf>
    <xf numFmtId="4" fontId="24" fillId="0" borderId="15" xfId="1" applyNumberFormat="1" applyFont="1" applyBorder="1" applyAlignment="1">
      <alignment vertical="center" wrapText="1"/>
    </xf>
    <xf numFmtId="0" fontId="105" fillId="0" borderId="4" xfId="7" applyFont="1" applyBorder="1" applyAlignment="1">
      <alignment horizontal="center" vertical="center" wrapText="1"/>
    </xf>
    <xf numFmtId="43" fontId="9" fillId="0" borderId="104" xfId="1" applyNumberFormat="1" applyFont="1" applyFill="1" applyBorder="1" applyAlignment="1">
      <alignment horizontal="center" vertical="center" wrapText="1"/>
    </xf>
    <xf numFmtId="10" fontId="15" fillId="7" borderId="20" xfId="1" applyNumberFormat="1" applyFont="1" applyFill="1" applyBorder="1" applyAlignment="1">
      <alignment horizontal="right" vertical="center" wrapText="1"/>
    </xf>
    <xf numFmtId="10" fontId="13" fillId="0" borderId="0" xfId="1" applyNumberFormat="1" applyFont="1" applyFill="1" applyBorder="1" applyAlignment="1">
      <alignment horizontal="right" vertical="center" wrapText="1"/>
    </xf>
    <xf numFmtId="10" fontId="13" fillId="7" borderId="21" xfId="1" applyNumberFormat="1" applyFont="1" applyFill="1" applyBorder="1" applyAlignment="1">
      <alignment horizontal="right" vertical="center" wrapText="1"/>
    </xf>
    <xf numFmtId="10" fontId="15" fillId="0" borderId="18" xfId="1" applyNumberFormat="1" applyFont="1" applyFill="1" applyBorder="1" applyAlignment="1">
      <alignment horizontal="right" vertical="center" wrapText="1"/>
    </xf>
    <xf numFmtId="43" fontId="9" fillId="0" borderId="113" xfId="1" applyNumberFormat="1" applyFont="1" applyFill="1" applyBorder="1" applyAlignment="1">
      <alignment horizontal="center" vertical="center" wrapText="1"/>
    </xf>
    <xf numFmtId="164" fontId="13" fillId="7" borderId="114" xfId="1" applyNumberFormat="1" applyFont="1" applyFill="1" applyBorder="1" applyAlignment="1">
      <alignment horizontal="right" vertical="center" wrapText="1"/>
    </xf>
    <xf numFmtId="164" fontId="13" fillId="3" borderId="115" xfId="1" applyNumberFormat="1" applyFont="1" applyFill="1" applyBorder="1" applyAlignment="1">
      <alignment horizontal="right" vertical="center" wrapText="1"/>
    </xf>
    <xf numFmtId="0" fontId="2" fillId="3" borderId="110" xfId="1" applyFont="1" applyFill="1" applyBorder="1" applyAlignment="1">
      <alignment vertical="center" wrapText="1"/>
    </xf>
    <xf numFmtId="164" fontId="13" fillId="0" borderId="116" xfId="1" applyNumberFormat="1" applyFont="1" applyFill="1" applyBorder="1" applyAlignment="1">
      <alignment horizontal="right" vertical="center" wrapText="1"/>
    </xf>
    <xf numFmtId="164" fontId="13" fillId="0" borderId="117" xfId="1" applyNumberFormat="1" applyFont="1" applyFill="1" applyBorder="1" applyAlignment="1">
      <alignment horizontal="right" vertical="center" wrapText="1"/>
    </xf>
    <xf numFmtId="164" fontId="15" fillId="7" borderId="114" xfId="1" applyNumberFormat="1" applyFont="1" applyFill="1" applyBorder="1" applyAlignment="1">
      <alignment horizontal="right" vertical="center" wrapText="1"/>
    </xf>
    <xf numFmtId="164" fontId="13" fillId="3" borderId="110" xfId="1" applyNumberFormat="1" applyFont="1" applyFill="1" applyBorder="1" applyAlignment="1">
      <alignment horizontal="right" vertical="center" wrapText="1"/>
    </xf>
    <xf numFmtId="4" fontId="13" fillId="0" borderId="117" xfId="1" applyNumberFormat="1" applyFont="1" applyFill="1" applyBorder="1" applyAlignment="1">
      <alignment horizontal="right" vertical="center" wrapText="1"/>
    </xf>
    <xf numFmtId="4" fontId="15" fillId="7" borderId="114" xfId="1" applyNumberFormat="1" applyFont="1" applyFill="1" applyBorder="1" applyAlignment="1">
      <alignment horizontal="right" vertical="center" wrapText="1"/>
    </xf>
    <xf numFmtId="4" fontId="13" fillId="3" borderId="118" xfId="1" applyNumberFormat="1" applyFont="1" applyFill="1" applyBorder="1" applyAlignment="1">
      <alignment horizontal="right" vertical="center" wrapText="1"/>
    </xf>
    <xf numFmtId="164" fontId="13" fillId="6" borderId="115" xfId="1" applyNumberFormat="1" applyFont="1" applyFill="1" applyBorder="1" applyAlignment="1">
      <alignment horizontal="right" vertical="center" wrapText="1"/>
    </xf>
    <xf numFmtId="164" fontId="13" fillId="6" borderId="110" xfId="1" applyNumberFormat="1" applyFont="1" applyFill="1" applyBorder="1" applyAlignment="1">
      <alignment horizontal="right" vertical="center" wrapText="1"/>
    </xf>
    <xf numFmtId="164" fontId="13" fillId="3" borderId="118" xfId="1" applyNumberFormat="1" applyFont="1" applyFill="1" applyBorder="1" applyAlignment="1">
      <alignment horizontal="right" vertical="center" wrapText="1"/>
    </xf>
    <xf numFmtId="164" fontId="13" fillId="0" borderId="118" xfId="1" applyNumberFormat="1" applyFont="1" applyFill="1" applyBorder="1" applyAlignment="1">
      <alignment horizontal="right" vertical="center" wrapText="1"/>
    </xf>
    <xf numFmtId="164" fontId="13" fillId="0" borderId="115" xfId="1" applyNumberFormat="1" applyFont="1" applyFill="1" applyBorder="1" applyAlignment="1">
      <alignment horizontal="right" vertical="center" wrapText="1"/>
    </xf>
    <xf numFmtId="164" fontId="13" fillId="0" borderId="110" xfId="1" applyNumberFormat="1" applyFont="1" applyFill="1" applyBorder="1" applyAlignment="1">
      <alignment horizontal="right" vertical="center" wrapText="1"/>
    </xf>
    <xf numFmtId="4" fontId="9" fillId="7" borderId="114" xfId="1" applyNumberFormat="1" applyFont="1" applyFill="1" applyBorder="1" applyAlignment="1">
      <alignment horizontal="right" vertical="center" wrapText="1"/>
    </xf>
    <xf numFmtId="4" fontId="11" fillId="3" borderId="118" xfId="1" applyNumberFormat="1" applyFont="1" applyFill="1" applyBorder="1" applyAlignment="1">
      <alignment horizontal="right" vertical="center" wrapText="1"/>
    </xf>
    <xf numFmtId="4" fontId="12" fillId="0" borderId="115" xfId="1" applyNumberFormat="1" applyFont="1" applyBorder="1" applyAlignment="1">
      <alignment horizontal="right" vertical="center" wrapText="1"/>
    </xf>
    <xf numFmtId="4" fontId="14" fillId="0" borderId="115" xfId="1" applyNumberFormat="1" applyFont="1" applyBorder="1" applyAlignment="1">
      <alignment horizontal="right" vertical="center" wrapText="1"/>
    </xf>
    <xf numFmtId="4" fontId="11" fillId="3" borderId="115" xfId="1" applyNumberFormat="1" applyFont="1" applyFill="1" applyBorder="1" applyAlignment="1">
      <alignment horizontal="right" vertical="center" wrapText="1"/>
    </xf>
    <xf numFmtId="4" fontId="11" fillId="3" borderId="110" xfId="1" applyNumberFormat="1" applyFont="1" applyFill="1" applyBorder="1" applyAlignment="1">
      <alignment horizontal="right" vertical="center" wrapText="1"/>
    </xf>
    <xf numFmtId="4" fontId="12" fillId="0" borderId="118" xfId="1" applyNumberFormat="1" applyFont="1" applyBorder="1" applyAlignment="1">
      <alignment horizontal="right" vertical="center" wrapText="1"/>
    </xf>
    <xf numFmtId="4" fontId="13" fillId="0" borderId="118" xfId="1" applyNumberFormat="1" applyFont="1" applyBorder="1" applyAlignment="1">
      <alignment horizontal="right" vertical="center" wrapText="1"/>
    </xf>
    <xf numFmtId="4" fontId="13" fillId="0" borderId="117" xfId="1" applyNumberFormat="1" applyFont="1" applyBorder="1" applyAlignment="1">
      <alignment horizontal="right" vertical="center" wrapText="1"/>
    </xf>
    <xf numFmtId="4" fontId="13" fillId="0" borderId="116" xfId="1" applyNumberFormat="1" applyFont="1" applyBorder="1" applyAlignment="1">
      <alignment horizontal="right" vertical="center" wrapText="1"/>
    </xf>
    <xf numFmtId="4" fontId="24" fillId="0" borderId="111" xfId="1" applyNumberFormat="1" applyFont="1" applyBorder="1" applyAlignment="1">
      <alignment vertical="center" wrapText="1"/>
    </xf>
    <xf numFmtId="0" fontId="17" fillId="7" borderId="20" xfId="1" applyFont="1" applyFill="1" applyBorder="1" applyAlignment="1">
      <alignment vertical="top" wrapText="1"/>
    </xf>
    <xf numFmtId="0" fontId="17" fillId="7" borderId="21" xfId="1" applyFont="1" applyFill="1" applyBorder="1" applyAlignment="1">
      <alignment vertical="top" wrapText="1"/>
    </xf>
    <xf numFmtId="0" fontId="12" fillId="3" borderId="25" xfId="1" applyFont="1" applyFill="1" applyBorder="1" applyAlignment="1">
      <alignment vertical="top" wrapText="1"/>
    </xf>
    <xf numFmtId="0" fontId="9" fillId="7" borderId="21" xfId="1" applyFont="1" applyFill="1" applyBorder="1" applyAlignment="1">
      <alignment horizontal="left" vertical="center" wrapText="1"/>
    </xf>
    <xf numFmtId="0" fontId="13" fillId="3" borderId="54" xfId="1" applyFont="1" applyFill="1" applyBorder="1" applyAlignment="1">
      <alignment horizontal="left" vertical="center" wrapText="1"/>
    </xf>
    <xf numFmtId="0" fontId="9" fillId="7" borderId="21" xfId="1" applyFont="1" applyFill="1" applyBorder="1" applyAlignment="1">
      <alignment vertical="center" wrapText="1"/>
    </xf>
    <xf numFmtId="0" fontId="11" fillId="3" borderId="54" xfId="1" applyFont="1" applyFill="1" applyBorder="1" applyAlignment="1">
      <alignment vertical="top" wrapText="1"/>
    </xf>
    <xf numFmtId="0" fontId="12" fillId="0" borderId="54" xfId="1" applyFont="1" applyBorder="1" applyAlignment="1">
      <alignment vertical="top" wrapText="1"/>
    </xf>
    <xf numFmtId="0" fontId="15" fillId="7" borderId="20" xfId="1" applyFont="1" applyFill="1" applyBorder="1" applyAlignment="1">
      <alignment vertical="top" wrapText="1"/>
    </xf>
    <xf numFmtId="0" fontId="12" fillId="0" borderId="24" xfId="1" applyFont="1" applyBorder="1" applyAlignment="1">
      <alignment vertical="top" wrapText="1"/>
    </xf>
    <xf numFmtId="0" fontId="24" fillId="0" borderId="17" xfId="1" applyFont="1" applyBorder="1" applyAlignment="1">
      <alignment horizontal="right" vertical="center"/>
    </xf>
    <xf numFmtId="164" fontId="13" fillId="7" borderId="22" xfId="1" applyNumberFormat="1" applyFont="1" applyFill="1" applyBorder="1" applyAlignment="1">
      <alignment vertical="center" wrapText="1"/>
    </xf>
    <xf numFmtId="164" fontId="13" fillId="3" borderId="110" xfId="1" applyNumberFormat="1" applyFont="1" applyFill="1" applyBorder="1" applyAlignment="1">
      <alignment vertical="center" wrapText="1"/>
    </xf>
    <xf numFmtId="0" fontId="2" fillId="0" borderId="5" xfId="1" applyBorder="1" applyAlignment="1">
      <alignment vertical="center" wrapText="1"/>
    </xf>
    <xf numFmtId="0" fontId="2" fillId="0" borderId="23" xfId="1" applyBorder="1" applyAlignment="1">
      <alignment vertical="center" wrapText="1"/>
    </xf>
    <xf numFmtId="4" fontId="15" fillId="7" borderId="22" xfId="1" applyNumberFormat="1" applyFont="1" applyFill="1" applyBorder="1" applyAlignment="1">
      <alignment horizontal="right" vertical="center" wrapText="1"/>
    </xf>
    <xf numFmtId="4" fontId="13" fillId="3" borderId="5" xfId="1" applyNumberFormat="1" applyFont="1" applyFill="1" applyBorder="1" applyAlignment="1">
      <alignment horizontal="right" vertical="center" wrapText="1"/>
    </xf>
    <xf numFmtId="4" fontId="28" fillId="0" borderId="5" xfId="1" applyNumberFormat="1" applyFont="1" applyBorder="1" applyAlignment="1">
      <alignment vertical="center" wrapText="1"/>
    </xf>
    <xf numFmtId="0" fontId="28" fillId="0" borderId="5" xfId="1" applyFont="1" applyBorder="1" applyAlignment="1">
      <alignment vertical="center" wrapText="1"/>
    </xf>
    <xf numFmtId="4" fontId="24" fillId="0" borderId="19" xfId="1" applyNumberFormat="1" applyFont="1" applyBorder="1" applyAlignment="1">
      <alignment vertical="center" wrapText="1"/>
    </xf>
    <xf numFmtId="4" fontId="13" fillId="0" borderId="124" xfId="1" applyNumberFormat="1" applyFont="1" applyFill="1" applyBorder="1" applyAlignment="1">
      <alignment horizontal="right" vertical="center" wrapText="1"/>
    </xf>
    <xf numFmtId="4" fontId="13" fillId="3" borderId="125" xfId="1" applyNumberFormat="1" applyFont="1" applyFill="1" applyBorder="1" applyAlignment="1">
      <alignment horizontal="right" vertical="center" wrapText="1"/>
    </xf>
    <xf numFmtId="4" fontId="13" fillId="0" borderId="123" xfId="1" applyNumberFormat="1" applyFont="1" applyBorder="1" applyAlignment="1">
      <alignment vertical="center" wrapText="1"/>
    </xf>
    <xf numFmtId="0" fontId="12" fillId="3" borderId="11" xfId="1" applyFont="1" applyFill="1" applyBorder="1" applyAlignment="1">
      <alignment vertical="top" wrapText="1"/>
    </xf>
    <xf numFmtId="0" fontId="13" fillId="6" borderId="11" xfId="1" applyFont="1" applyFill="1" applyBorder="1" applyAlignment="1">
      <alignment horizontal="left" vertical="center" wrapText="1"/>
    </xf>
    <xf numFmtId="0" fontId="11" fillId="3" borderId="11" xfId="1" applyFont="1" applyFill="1" applyBorder="1" applyAlignment="1">
      <alignment vertical="top" wrapText="1"/>
    </xf>
    <xf numFmtId="43" fontId="9" fillId="0" borderId="127" xfId="1" applyNumberFormat="1" applyFont="1" applyFill="1" applyBorder="1" applyAlignment="1">
      <alignment horizontal="center" vertical="center" wrapText="1"/>
    </xf>
    <xf numFmtId="10" fontId="13" fillId="7" borderId="128" xfId="1" applyNumberFormat="1" applyFont="1" applyFill="1" applyBorder="1" applyAlignment="1">
      <alignment vertical="center" wrapText="1"/>
    </xf>
    <xf numFmtId="10" fontId="13" fillId="3" borderId="11" xfId="1" applyNumberFormat="1" applyFont="1" applyFill="1" applyBorder="1" applyAlignment="1">
      <alignment horizontal="right" vertical="center" wrapText="1"/>
    </xf>
    <xf numFmtId="10" fontId="13" fillId="3" borderId="129" xfId="1" applyNumberFormat="1" applyFont="1" applyFill="1" applyBorder="1" applyAlignment="1">
      <alignment vertical="center" wrapText="1"/>
    </xf>
    <xf numFmtId="10" fontId="13" fillId="0" borderId="11" xfId="1" applyNumberFormat="1" applyFont="1" applyFill="1" applyBorder="1" applyAlignment="1">
      <alignment horizontal="right" vertical="center" wrapText="1"/>
    </xf>
    <xf numFmtId="10" fontId="13" fillId="0" borderId="130" xfId="1" applyNumberFormat="1" applyFont="1" applyBorder="1" applyAlignment="1">
      <alignment vertical="center" wrapText="1"/>
    </xf>
    <xf numFmtId="10" fontId="13" fillId="0" borderId="131" xfId="1" applyNumberFormat="1" applyFont="1" applyBorder="1" applyAlignment="1">
      <alignment vertical="center" wrapText="1"/>
    </xf>
    <xf numFmtId="10" fontId="15" fillId="7" borderId="126" xfId="1" applyNumberFormat="1" applyFont="1" applyFill="1" applyBorder="1" applyAlignment="1">
      <alignment horizontal="right" vertical="center" wrapText="1"/>
    </xf>
    <xf numFmtId="10" fontId="13" fillId="3" borderId="129" xfId="1" applyNumberFormat="1" applyFont="1" applyFill="1" applyBorder="1" applyAlignment="1">
      <alignment horizontal="right" vertical="center" wrapText="1"/>
    </xf>
    <xf numFmtId="10" fontId="15" fillId="7" borderId="128" xfId="1" applyNumberFormat="1" applyFont="1" applyFill="1" applyBorder="1" applyAlignment="1">
      <alignment horizontal="right" vertical="center" wrapText="1"/>
    </xf>
    <xf numFmtId="10" fontId="13" fillId="3" borderId="132" xfId="1" applyNumberFormat="1" applyFont="1" applyFill="1" applyBorder="1" applyAlignment="1">
      <alignment horizontal="right" vertical="center" wrapText="1"/>
    </xf>
    <xf numFmtId="164" fontId="9" fillId="7" borderId="114" xfId="1" applyNumberFormat="1" applyFont="1" applyFill="1" applyBorder="1" applyAlignment="1">
      <alignment horizontal="right" vertical="center" wrapText="1"/>
    </xf>
    <xf numFmtId="10" fontId="13" fillId="6" borderId="129" xfId="1" applyNumberFormat="1" applyFont="1" applyFill="1" applyBorder="1" applyAlignment="1">
      <alignment horizontal="right" vertical="center" wrapText="1"/>
    </xf>
    <xf numFmtId="10" fontId="13" fillId="3" borderId="133" xfId="1" applyNumberFormat="1" applyFont="1" applyFill="1" applyBorder="1" applyAlignment="1">
      <alignment horizontal="right" vertical="center" wrapText="1"/>
    </xf>
    <xf numFmtId="10" fontId="2" fillId="0" borderId="132" xfId="1" applyNumberFormat="1" applyFont="1" applyBorder="1" applyAlignment="1">
      <alignment vertical="center" wrapText="1"/>
    </xf>
    <xf numFmtId="10" fontId="13" fillId="0" borderId="129" xfId="1" applyNumberFormat="1" applyFont="1" applyFill="1" applyBorder="1" applyAlignment="1">
      <alignment horizontal="right" vertical="center" wrapText="1"/>
    </xf>
    <xf numFmtId="10" fontId="13" fillId="0" borderId="134" xfId="1" applyNumberFormat="1" applyFont="1" applyBorder="1" applyAlignment="1">
      <alignment vertical="center" wrapText="1"/>
    </xf>
    <xf numFmtId="10" fontId="9" fillId="7" borderId="126" xfId="1" applyNumberFormat="1" applyFont="1" applyFill="1" applyBorder="1" applyAlignment="1">
      <alignment horizontal="right" vertical="center" wrapText="1"/>
    </xf>
    <xf numFmtId="10" fontId="11" fillId="3" borderId="133" xfId="1" applyNumberFormat="1" applyFont="1" applyFill="1" applyBorder="1" applyAlignment="1">
      <alignment horizontal="right" vertical="center" wrapText="1"/>
    </xf>
    <xf numFmtId="4" fontId="12" fillId="0" borderId="110" xfId="1" applyNumberFormat="1" applyFont="1" applyBorder="1" applyAlignment="1">
      <alignment horizontal="right" vertical="center" wrapText="1"/>
    </xf>
    <xf numFmtId="10" fontId="13" fillId="0" borderId="132" xfId="1" applyNumberFormat="1" applyFont="1" applyBorder="1" applyAlignment="1">
      <alignment vertical="center" wrapText="1"/>
    </xf>
    <xf numFmtId="4" fontId="11" fillId="3" borderId="115" xfId="4" applyNumberFormat="1" applyFont="1" applyFill="1" applyBorder="1" applyAlignment="1">
      <alignment horizontal="right" vertical="center" wrapText="1"/>
    </xf>
    <xf numFmtId="4" fontId="11" fillId="3" borderId="110" xfId="4" applyNumberFormat="1" applyFont="1" applyFill="1" applyBorder="1" applyAlignment="1">
      <alignment horizontal="right" vertical="center" wrapText="1"/>
    </xf>
    <xf numFmtId="10" fontId="11" fillId="3" borderId="129" xfId="1" applyNumberFormat="1" applyFont="1" applyFill="1" applyBorder="1" applyAlignment="1">
      <alignment horizontal="right" vertical="center" wrapText="1"/>
    </xf>
    <xf numFmtId="4" fontId="12" fillId="0" borderId="117" xfId="1" applyNumberFormat="1" applyFont="1" applyBorder="1" applyAlignment="1">
      <alignment horizontal="right" vertical="center" wrapText="1"/>
    </xf>
    <xf numFmtId="4" fontId="12" fillId="3" borderId="118" xfId="1" applyNumberFormat="1" applyFont="1" applyFill="1" applyBorder="1" applyAlignment="1">
      <alignment horizontal="right" vertical="center" wrapText="1"/>
    </xf>
    <xf numFmtId="4" fontId="12" fillId="0" borderId="116" xfId="1" applyNumberFormat="1" applyFont="1" applyBorder="1" applyAlignment="1">
      <alignment horizontal="right" vertical="center" wrapText="1"/>
    </xf>
    <xf numFmtId="10" fontId="24" fillId="0" borderId="135" xfId="1" applyNumberFormat="1" applyFont="1" applyBorder="1" applyAlignment="1">
      <alignment vertical="center" wrapText="1"/>
    </xf>
    <xf numFmtId="0" fontId="15" fillId="0" borderId="85" xfId="1" applyFont="1" applyFill="1" applyBorder="1" applyAlignment="1">
      <alignment horizontal="center" vertical="center" wrapText="1"/>
    </xf>
    <xf numFmtId="0" fontId="13" fillId="3" borderId="4" xfId="1" quotePrefix="1" applyFont="1" applyFill="1" applyBorder="1" applyAlignment="1">
      <alignment horizontal="center" vertical="center" wrapText="1"/>
    </xf>
    <xf numFmtId="4" fontId="106" fillId="7" borderId="4" xfId="3" applyNumberFormat="1" applyFont="1" applyFill="1" applyBorder="1" applyAlignment="1">
      <alignment horizontal="right" vertical="center"/>
    </xf>
    <xf numFmtId="4" fontId="107" fillId="3" borderId="4" xfId="3" applyNumberFormat="1" applyFont="1" applyFill="1" applyBorder="1" applyAlignment="1">
      <alignment horizontal="right" vertical="center"/>
    </xf>
    <xf numFmtId="4" fontId="107" fillId="0" borderId="7" xfId="3" applyNumberFormat="1" applyFont="1" applyBorder="1" applyAlignment="1">
      <alignment horizontal="right" vertical="center"/>
    </xf>
    <xf numFmtId="4" fontId="107" fillId="0" borderId="10" xfId="3" applyNumberFormat="1" applyFont="1" applyBorder="1" applyAlignment="1">
      <alignment horizontal="right" vertical="center"/>
    </xf>
    <xf numFmtId="4" fontId="107" fillId="6" borderId="4" xfId="3" applyNumberFormat="1" applyFont="1" applyFill="1" applyBorder="1" applyAlignment="1">
      <alignment horizontal="right" vertical="center"/>
    </xf>
    <xf numFmtId="4" fontId="107" fillId="0" borderId="4" xfId="3" applyNumberFormat="1" applyFont="1" applyBorder="1" applyAlignment="1">
      <alignment horizontal="right" vertical="center"/>
    </xf>
    <xf numFmtId="10" fontId="9" fillId="7" borderId="4" xfId="1" applyNumberFormat="1" applyFont="1" applyFill="1" applyBorder="1" applyAlignment="1">
      <alignment horizontal="right" vertical="center" wrapText="1"/>
    </xf>
    <xf numFmtId="0" fontId="13" fillId="7" borderId="4" xfId="1" applyFont="1" applyFill="1" applyBorder="1" applyAlignment="1">
      <alignment horizontal="center" vertical="center" wrapText="1"/>
    </xf>
    <xf numFmtId="4" fontId="15" fillId="7" borderId="4" xfId="1" applyNumberFormat="1" applyFont="1" applyFill="1" applyBorder="1" applyAlignment="1">
      <alignment horizontal="right" vertical="center" wrapText="1"/>
    </xf>
    <xf numFmtId="10" fontId="15" fillId="7" borderId="4" xfId="1" applyNumberFormat="1" applyFont="1" applyFill="1" applyBorder="1" applyAlignment="1">
      <alignment horizontal="right" vertical="center" wrapText="1"/>
    </xf>
    <xf numFmtId="0" fontId="13" fillId="0" borderId="9" xfId="1" quotePrefix="1" applyFont="1" applyFill="1" applyBorder="1" applyAlignment="1">
      <alignment horizontal="center" vertical="center" wrapText="1"/>
    </xf>
    <xf numFmtId="4" fontId="13" fillId="6" borderId="7" xfId="1" applyNumberFormat="1" applyFont="1" applyFill="1" applyBorder="1" applyAlignment="1">
      <alignment horizontal="right" vertical="center" wrapText="1"/>
    </xf>
    <xf numFmtId="10" fontId="13" fillId="6" borderId="7" xfId="1" applyNumberFormat="1" applyFont="1" applyFill="1" applyBorder="1" applyAlignment="1">
      <alignment horizontal="right" vertical="center" wrapText="1"/>
    </xf>
    <xf numFmtId="4" fontId="13" fillId="6" borderId="10" xfId="1" applyNumberFormat="1" applyFont="1" applyFill="1" applyBorder="1" applyAlignment="1">
      <alignment horizontal="right" vertical="center" wrapText="1"/>
    </xf>
    <xf numFmtId="10" fontId="13" fillId="6" borderId="10" xfId="1" applyNumberFormat="1" applyFont="1" applyFill="1" applyBorder="1" applyAlignment="1">
      <alignment horizontal="right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6" borderId="6" xfId="1" quotePrefix="1" applyFont="1" applyFill="1" applyBorder="1" applyAlignment="1">
      <alignment horizontal="center" vertical="center" wrapText="1"/>
    </xf>
    <xf numFmtId="0" fontId="13" fillId="6" borderId="4" xfId="1" quotePrefix="1" applyFont="1" applyFill="1" applyBorder="1" applyAlignment="1">
      <alignment horizontal="center" vertical="center" wrapText="1"/>
    </xf>
    <xf numFmtId="0" fontId="13" fillId="0" borderId="7" xfId="1" quotePrefix="1" applyFont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4" fontId="13" fillId="6" borderId="9" xfId="1" applyNumberFormat="1" applyFont="1" applyFill="1" applyBorder="1" applyAlignment="1">
      <alignment horizontal="right" vertical="center" wrapText="1"/>
    </xf>
    <xf numFmtId="10" fontId="13" fillId="6" borderId="9" xfId="1" applyNumberFormat="1" applyFont="1" applyFill="1" applyBorder="1" applyAlignment="1">
      <alignment horizontal="right" vertical="center" wrapText="1"/>
    </xf>
    <xf numFmtId="4" fontId="106" fillId="0" borderId="15" xfId="3" applyNumberFormat="1" applyFont="1" applyBorder="1" applyAlignment="1">
      <alignment horizontal="right" vertical="center"/>
    </xf>
    <xf numFmtId="0" fontId="9" fillId="2" borderId="11" xfId="1" applyFont="1" applyFill="1" applyBorder="1" applyAlignment="1">
      <alignment vertical="top" wrapText="1"/>
    </xf>
    <xf numFmtId="0" fontId="12" fillId="0" borderId="25" xfId="1" applyFont="1" applyBorder="1" applyAlignment="1">
      <alignment vertical="top" wrapText="1"/>
    </xf>
    <xf numFmtId="0" fontId="16" fillId="4" borderId="11" xfId="1" applyFont="1" applyFill="1" applyBorder="1" applyAlignment="1">
      <alignment vertical="top" wrapText="1"/>
    </xf>
    <xf numFmtId="0" fontId="12" fillId="5" borderId="11" xfId="1" applyFont="1" applyFill="1" applyBorder="1" applyAlignment="1">
      <alignment vertical="top" wrapText="1"/>
    </xf>
    <xf numFmtId="0" fontId="13" fillId="3" borderId="11" xfId="1" applyFont="1" applyFill="1" applyBorder="1" applyAlignment="1">
      <alignment vertical="top" wrapText="1"/>
    </xf>
    <xf numFmtId="0" fontId="13" fillId="3" borderId="54" xfId="1" applyFont="1" applyFill="1" applyBorder="1" applyAlignment="1">
      <alignment vertical="top" wrapText="1"/>
    </xf>
    <xf numFmtId="0" fontId="15" fillId="4" borderId="25" xfId="1" applyFont="1" applyFill="1" applyBorder="1" applyAlignment="1">
      <alignment vertical="top" wrapText="1"/>
    </xf>
    <xf numFmtId="0" fontId="11" fillId="3" borderId="25" xfId="1" applyFont="1" applyFill="1" applyBorder="1" applyAlignment="1">
      <alignment vertical="top" wrapText="1"/>
    </xf>
    <xf numFmtId="0" fontId="12" fillId="0" borderId="136" xfId="1" applyFont="1" applyBorder="1" applyAlignment="1">
      <alignment vertical="top" wrapText="1"/>
    </xf>
    <xf numFmtId="0" fontId="24" fillId="0" borderId="104" xfId="1" applyFont="1" applyBorder="1" applyAlignment="1">
      <alignment horizontal="right" vertical="center"/>
    </xf>
    <xf numFmtId="4" fontId="11" fillId="3" borderId="110" xfId="1" applyNumberFormat="1" applyFont="1" applyFill="1" applyBorder="1" applyAlignment="1">
      <alignment horizontal="right" vertical="top" wrapText="1"/>
    </xf>
    <xf numFmtId="0" fontId="6" fillId="0" borderId="5" xfId="3" applyBorder="1" applyAlignment="1"/>
    <xf numFmtId="4" fontId="9" fillId="2" borderId="110" xfId="1" applyNumberFormat="1" applyFont="1" applyFill="1" applyBorder="1" applyAlignment="1">
      <alignment horizontal="right" vertical="top" wrapText="1"/>
    </xf>
    <xf numFmtId="4" fontId="6" fillId="0" borderId="5" xfId="3" applyNumberFormat="1" applyBorder="1" applyAlignment="1">
      <alignment vertical="top"/>
    </xf>
    <xf numFmtId="4" fontId="17" fillId="4" borderId="110" xfId="1" applyNumberFormat="1" applyFont="1" applyFill="1" applyBorder="1" applyAlignment="1">
      <alignment horizontal="right" vertical="center" wrapText="1"/>
    </xf>
    <xf numFmtId="4" fontId="13" fillId="5" borderId="110" xfId="1" applyNumberFormat="1" applyFont="1" applyFill="1" applyBorder="1" applyAlignment="1">
      <alignment vertical="center"/>
    </xf>
    <xf numFmtId="4" fontId="17" fillId="4" borderId="5" xfId="1" applyNumberFormat="1" applyFont="1" applyFill="1" applyBorder="1" applyAlignment="1">
      <alignment horizontal="right" vertical="top" wrapText="1"/>
    </xf>
    <xf numFmtId="4" fontId="12" fillId="3" borderId="5" xfId="1" applyNumberFormat="1" applyFont="1" applyFill="1" applyBorder="1" applyAlignment="1">
      <alignment horizontal="right" vertical="top" wrapText="1"/>
    </xf>
    <xf numFmtId="4" fontId="29" fillId="0" borderId="5" xfId="3" applyNumberFormat="1" applyFont="1" applyBorder="1" applyAlignment="1">
      <alignment vertical="top"/>
    </xf>
    <xf numFmtId="0" fontId="6" fillId="0" borderId="5" xfId="3" applyBorder="1" applyAlignment="1">
      <alignment vertical="top"/>
    </xf>
    <xf numFmtId="4" fontId="9" fillId="2" borderId="5" xfId="1" applyNumberFormat="1" applyFont="1" applyFill="1" applyBorder="1" applyAlignment="1">
      <alignment horizontal="right" vertical="top" wrapText="1"/>
    </xf>
    <xf numFmtId="4" fontId="12" fillId="3" borderId="110" xfId="1" applyNumberFormat="1" applyFont="1" applyFill="1" applyBorder="1" applyAlignment="1">
      <alignment horizontal="right" vertical="top" wrapText="1"/>
    </xf>
    <xf numFmtId="4" fontId="6" fillId="0" borderId="23" xfId="3" applyNumberFormat="1" applyBorder="1" applyAlignment="1">
      <alignment vertical="top"/>
    </xf>
    <xf numFmtId="4" fontId="6" fillId="0" borderId="110" xfId="3" applyNumberFormat="1" applyBorder="1" applyAlignment="1">
      <alignment vertical="top"/>
    </xf>
    <xf numFmtId="0" fontId="6" fillId="0" borderId="23" xfId="3" applyBorder="1" applyAlignment="1"/>
    <xf numFmtId="4" fontId="30" fillId="0" borderId="19" xfId="3" applyNumberFormat="1" applyFont="1" applyBorder="1" applyAlignment="1">
      <alignment vertical="center"/>
    </xf>
    <xf numFmtId="43" fontId="9" fillId="0" borderId="137" xfId="1" applyNumberFormat="1" applyFont="1" applyFill="1" applyBorder="1" applyAlignment="1">
      <alignment horizontal="center" vertical="center" wrapText="1"/>
    </xf>
    <xf numFmtId="4" fontId="9" fillId="2" borderId="115" xfId="1" applyNumberFormat="1" applyFont="1" applyFill="1" applyBorder="1" applyAlignment="1">
      <alignment horizontal="right" vertical="top" wrapText="1"/>
    </xf>
    <xf numFmtId="10" fontId="9" fillId="2" borderId="135" xfId="1" applyNumberFormat="1" applyFont="1" applyFill="1" applyBorder="1" applyAlignment="1">
      <alignment horizontal="right" vertical="top" wrapText="1"/>
    </xf>
    <xf numFmtId="4" fontId="11" fillId="3" borderId="115" xfId="1" applyNumberFormat="1" applyFont="1" applyFill="1" applyBorder="1" applyAlignment="1">
      <alignment horizontal="right" vertical="top" wrapText="1"/>
    </xf>
    <xf numFmtId="10" fontId="11" fillId="3" borderId="129" xfId="1" applyNumberFormat="1" applyFont="1" applyFill="1" applyBorder="1" applyAlignment="1">
      <alignment horizontal="right" vertical="top" wrapText="1"/>
    </xf>
    <xf numFmtId="4" fontId="12" fillId="0" borderId="115" xfId="1" applyNumberFormat="1" applyFont="1" applyBorder="1" applyAlignment="1">
      <alignment horizontal="right" vertical="top" wrapText="1"/>
    </xf>
    <xf numFmtId="10" fontId="2" fillId="0" borderId="132" xfId="1" applyNumberFormat="1" applyBorder="1"/>
    <xf numFmtId="4" fontId="12" fillId="0" borderId="117" xfId="1" applyNumberFormat="1" applyFont="1" applyBorder="1" applyAlignment="1">
      <alignment horizontal="right" vertical="top" wrapText="1"/>
    </xf>
    <xf numFmtId="10" fontId="14" fillId="0" borderId="132" xfId="1" applyNumberFormat="1" applyFont="1" applyBorder="1" applyAlignment="1">
      <alignment vertical="top"/>
    </xf>
    <xf numFmtId="4" fontId="13" fillId="0" borderId="110" xfId="1" applyNumberFormat="1" applyFont="1" applyBorder="1" applyAlignment="1">
      <alignment vertical="top"/>
    </xf>
    <xf numFmtId="10" fontId="9" fillId="2" borderId="129" xfId="1" applyNumberFormat="1" applyFont="1" applyFill="1" applyBorder="1" applyAlignment="1">
      <alignment horizontal="right" vertical="top" wrapText="1"/>
    </xf>
    <xf numFmtId="4" fontId="14" fillId="0" borderId="110" xfId="1" applyNumberFormat="1" applyFont="1" applyBorder="1" applyAlignment="1">
      <alignment vertical="top"/>
    </xf>
    <xf numFmtId="4" fontId="16" fillId="4" borderId="115" xfId="1" applyNumberFormat="1" applyFont="1" applyFill="1" applyBorder="1" applyAlignment="1">
      <alignment horizontal="right" vertical="top" wrapText="1"/>
    </xf>
    <xf numFmtId="4" fontId="16" fillId="4" borderId="110" xfId="1" applyNumberFormat="1" applyFont="1" applyFill="1" applyBorder="1" applyAlignment="1">
      <alignment horizontal="right" vertical="top" wrapText="1"/>
    </xf>
    <xf numFmtId="10" fontId="17" fillId="4" borderId="129" xfId="1" applyNumberFormat="1" applyFont="1" applyFill="1" applyBorder="1" applyAlignment="1">
      <alignment horizontal="right" vertical="center" wrapText="1"/>
    </xf>
    <xf numFmtId="4" fontId="12" fillId="5" borderId="115" xfId="1" applyNumberFormat="1" applyFont="1" applyFill="1" applyBorder="1" applyAlignment="1">
      <alignment horizontal="right" vertical="top" wrapText="1"/>
    </xf>
    <xf numFmtId="4" fontId="12" fillId="5" borderId="110" xfId="1" applyNumberFormat="1" applyFont="1" applyFill="1" applyBorder="1" applyAlignment="1">
      <alignment horizontal="right" vertical="top" wrapText="1"/>
    </xf>
    <xf numFmtId="10" fontId="13" fillId="5" borderId="129" xfId="1" applyNumberFormat="1" applyFont="1" applyFill="1" applyBorder="1" applyAlignment="1">
      <alignment vertical="center"/>
    </xf>
    <xf numFmtId="0" fontId="2" fillId="0" borderId="110" xfId="1" applyBorder="1"/>
    <xf numFmtId="10" fontId="2" fillId="0" borderId="129" xfId="1" applyNumberFormat="1" applyBorder="1"/>
    <xf numFmtId="4" fontId="11" fillId="0" borderId="115" xfId="1" applyNumberFormat="1" applyFont="1" applyBorder="1" applyAlignment="1">
      <alignment horizontal="right" vertical="top" wrapText="1"/>
    </xf>
    <xf numFmtId="4" fontId="11" fillId="0" borderId="110" xfId="1" applyNumberFormat="1" applyFont="1" applyBorder="1" applyAlignment="1">
      <alignment horizontal="right" vertical="top" wrapText="1"/>
    </xf>
    <xf numFmtId="4" fontId="11" fillId="3" borderId="118" xfId="1" applyNumberFormat="1" applyFont="1" applyFill="1" applyBorder="1" applyAlignment="1">
      <alignment horizontal="right" vertical="top" wrapText="1"/>
    </xf>
    <xf numFmtId="10" fontId="11" fillId="3" borderId="133" xfId="1" applyNumberFormat="1" applyFont="1" applyFill="1" applyBorder="1" applyAlignment="1">
      <alignment horizontal="right" vertical="top" wrapText="1"/>
    </xf>
    <xf numFmtId="4" fontId="11" fillId="0" borderId="117" xfId="1" applyNumberFormat="1" applyFont="1" applyBorder="1" applyAlignment="1">
      <alignment horizontal="right" vertical="top" wrapText="1"/>
    </xf>
    <xf numFmtId="4" fontId="15" fillId="4" borderId="118" xfId="1" applyNumberFormat="1" applyFont="1" applyFill="1" applyBorder="1" applyAlignment="1">
      <alignment horizontal="right" vertical="top" wrapText="1"/>
    </xf>
    <xf numFmtId="10" fontId="17" fillId="4" borderId="132" xfId="1" applyNumberFormat="1" applyFont="1" applyFill="1" applyBorder="1" applyAlignment="1">
      <alignment horizontal="right" vertical="top" wrapText="1"/>
    </xf>
    <xf numFmtId="10" fontId="14" fillId="0" borderId="129" xfId="1" applyNumberFormat="1" applyFont="1" applyBorder="1" applyAlignment="1">
      <alignment vertical="top"/>
    </xf>
    <xf numFmtId="10" fontId="18" fillId="0" borderId="132" xfId="1" applyNumberFormat="1" applyFont="1" applyBorder="1" applyAlignment="1">
      <alignment vertical="top"/>
    </xf>
    <xf numFmtId="4" fontId="12" fillId="0" borderId="118" xfId="1" applyNumberFormat="1" applyFont="1" applyBorder="1" applyAlignment="1">
      <alignment horizontal="right" vertical="top" wrapText="1"/>
    </xf>
    <xf numFmtId="4" fontId="12" fillId="3" borderId="118" xfId="1" applyNumberFormat="1" applyFont="1" applyFill="1" applyBorder="1" applyAlignment="1">
      <alignment horizontal="right" vertical="top" wrapText="1"/>
    </xf>
    <xf numFmtId="10" fontId="12" fillId="3" borderId="132" xfId="1" applyNumberFormat="1" applyFont="1" applyFill="1" applyBorder="1" applyAlignment="1">
      <alignment horizontal="right" vertical="top" wrapText="1"/>
    </xf>
    <xf numFmtId="10" fontId="14" fillId="0" borderId="132" xfId="1" applyNumberFormat="1" applyFont="1" applyBorder="1" applyAlignment="1">
      <alignment vertical="center"/>
    </xf>
    <xf numFmtId="4" fontId="9" fillId="2" borderId="118" xfId="1" applyNumberFormat="1" applyFont="1" applyFill="1" applyBorder="1" applyAlignment="1">
      <alignment horizontal="right" vertical="top" wrapText="1"/>
    </xf>
    <xf numFmtId="10" fontId="9" fillId="2" borderId="132" xfId="1" applyNumberFormat="1" applyFont="1" applyFill="1" applyBorder="1" applyAlignment="1">
      <alignment horizontal="right" vertical="top" wrapText="1"/>
    </xf>
    <xf numFmtId="10" fontId="12" fillId="3" borderId="129" xfId="1" applyNumberFormat="1" applyFont="1" applyFill="1" applyBorder="1" applyAlignment="1">
      <alignment horizontal="right" vertical="top" wrapText="1"/>
    </xf>
    <xf numFmtId="4" fontId="13" fillId="6" borderId="117" xfId="1" applyNumberFormat="1" applyFont="1" applyFill="1" applyBorder="1" applyAlignment="1">
      <alignment horizontal="right" vertical="top" wrapText="1"/>
    </xf>
    <xf numFmtId="10" fontId="2" fillId="0" borderId="134" xfId="1" applyNumberFormat="1" applyBorder="1"/>
    <xf numFmtId="4" fontId="13" fillId="6" borderId="115" xfId="1" applyNumberFormat="1" applyFont="1" applyFill="1" applyBorder="1" applyAlignment="1">
      <alignment horizontal="right" vertical="top" wrapText="1"/>
    </xf>
    <xf numFmtId="4" fontId="13" fillId="6" borderId="110" xfId="1" applyNumberFormat="1" applyFont="1" applyFill="1" applyBorder="1" applyAlignment="1">
      <alignment horizontal="right" vertical="top" wrapText="1"/>
    </xf>
    <xf numFmtId="4" fontId="9" fillId="6" borderId="110" xfId="1" applyNumberFormat="1" applyFont="1" applyFill="1" applyBorder="1" applyAlignment="1">
      <alignment horizontal="right" vertical="top" wrapText="1"/>
    </xf>
    <xf numFmtId="10" fontId="2" fillId="0" borderId="138" xfId="1" applyNumberFormat="1" applyBorder="1"/>
    <xf numFmtId="4" fontId="9" fillId="6" borderId="115" xfId="1" applyNumberFormat="1" applyFont="1" applyFill="1" applyBorder="1" applyAlignment="1">
      <alignment horizontal="right" vertical="top" wrapText="1"/>
    </xf>
    <xf numFmtId="4" fontId="11" fillId="3" borderId="115" xfId="4" applyNumberFormat="1" applyFont="1" applyFill="1" applyBorder="1" applyAlignment="1">
      <alignment horizontal="right" vertical="top" wrapText="1"/>
    </xf>
    <xf numFmtId="4" fontId="11" fillId="3" borderId="110" xfId="4" applyNumberFormat="1" applyFont="1" applyFill="1" applyBorder="1" applyAlignment="1">
      <alignment horizontal="right" vertical="top" wrapText="1"/>
    </xf>
    <xf numFmtId="10" fontId="14" fillId="3" borderId="132" xfId="1" applyNumberFormat="1" applyFont="1" applyFill="1" applyBorder="1" applyAlignment="1">
      <alignment vertical="center"/>
    </xf>
    <xf numFmtId="10" fontId="13" fillId="0" borderId="132" xfId="1" applyNumberFormat="1" applyFont="1" applyBorder="1" applyAlignment="1">
      <alignment vertical="top" wrapText="1"/>
    </xf>
    <xf numFmtId="4" fontId="12" fillId="0" borderId="113" xfId="1" applyNumberFormat="1" applyFont="1" applyBorder="1" applyAlignment="1">
      <alignment horizontal="right" vertical="top" wrapText="1"/>
    </xf>
    <xf numFmtId="4" fontId="24" fillId="0" borderId="113" xfId="1" applyNumberFormat="1" applyFont="1" applyBorder="1" applyAlignment="1">
      <alignment vertical="center"/>
    </xf>
    <xf numFmtId="10" fontId="24" fillId="0" borderId="135" xfId="1" applyNumberFormat="1" applyFont="1" applyBorder="1" applyAlignment="1">
      <alignment vertical="center"/>
    </xf>
    <xf numFmtId="10" fontId="9" fillId="2" borderId="11" xfId="1" applyNumberFormat="1" applyFont="1" applyFill="1" applyBorder="1" applyAlignment="1">
      <alignment horizontal="right" vertical="top" wrapText="1"/>
    </xf>
    <xf numFmtId="10" fontId="11" fillId="3" borderId="11" xfId="1" applyNumberFormat="1" applyFont="1" applyFill="1" applyBorder="1" applyAlignment="1">
      <alignment horizontal="right" vertical="top" wrapText="1"/>
    </xf>
    <xf numFmtId="10" fontId="12" fillId="0" borderId="11" xfId="1" applyNumberFormat="1" applyFont="1" applyBorder="1" applyAlignment="1">
      <alignment horizontal="right" vertical="top" wrapText="1"/>
    </xf>
    <xf numFmtId="10" fontId="12" fillId="0" borderId="0" xfId="1" applyNumberFormat="1" applyFont="1" applyBorder="1" applyAlignment="1">
      <alignment horizontal="right" vertical="top" wrapText="1"/>
    </xf>
    <xf numFmtId="10" fontId="16" fillId="4" borderId="11" xfId="1" applyNumberFormat="1" applyFont="1" applyFill="1" applyBorder="1" applyAlignment="1">
      <alignment horizontal="right" vertical="top" wrapText="1"/>
    </xf>
    <xf numFmtId="10" fontId="12" fillId="5" borderId="11" xfId="1" applyNumberFormat="1" applyFont="1" applyFill="1" applyBorder="1" applyAlignment="1">
      <alignment horizontal="right" vertical="top" wrapText="1"/>
    </xf>
    <xf numFmtId="10" fontId="11" fillId="0" borderId="11" xfId="1" applyNumberFormat="1" applyFont="1" applyBorder="1" applyAlignment="1">
      <alignment horizontal="right" vertical="top" wrapText="1"/>
    </xf>
    <xf numFmtId="10" fontId="11" fillId="3" borderId="54" xfId="1" applyNumberFormat="1" applyFont="1" applyFill="1" applyBorder="1" applyAlignment="1">
      <alignment horizontal="right" vertical="top" wrapText="1"/>
    </xf>
    <xf numFmtId="10" fontId="11" fillId="0" borderId="0" xfId="1" applyNumberFormat="1" applyFont="1" applyBorder="1" applyAlignment="1">
      <alignment horizontal="right" vertical="top" wrapText="1"/>
    </xf>
    <xf numFmtId="10" fontId="15" fillId="4" borderId="25" xfId="1" applyNumberFormat="1" applyFont="1" applyFill="1" applyBorder="1" applyAlignment="1">
      <alignment horizontal="right" vertical="top" wrapText="1"/>
    </xf>
    <xf numFmtId="10" fontId="12" fillId="0" borderId="54" xfId="1" applyNumberFormat="1" applyFont="1" applyBorder="1" applyAlignment="1">
      <alignment horizontal="right" vertical="top" wrapText="1"/>
    </xf>
    <xf numFmtId="10" fontId="12" fillId="3" borderId="25" xfId="1" applyNumberFormat="1" applyFont="1" applyFill="1" applyBorder="1" applyAlignment="1">
      <alignment horizontal="right" vertical="top" wrapText="1"/>
    </xf>
    <xf numFmtId="10" fontId="9" fillId="2" borderId="25" xfId="1" applyNumberFormat="1" applyFont="1" applyFill="1" applyBorder="1" applyAlignment="1">
      <alignment horizontal="right" vertical="top" wrapText="1"/>
    </xf>
    <xf numFmtId="10" fontId="13" fillId="6" borderId="0" xfId="1" applyNumberFormat="1" applyFont="1" applyFill="1" applyBorder="1" applyAlignment="1">
      <alignment horizontal="right" vertical="top" wrapText="1"/>
    </xf>
    <xf numFmtId="10" fontId="13" fillId="6" borderId="11" xfId="1" applyNumberFormat="1" applyFont="1" applyFill="1" applyBorder="1" applyAlignment="1">
      <alignment horizontal="right" vertical="top" wrapText="1"/>
    </xf>
    <xf numFmtId="10" fontId="9" fillId="6" borderId="11" xfId="1" applyNumberFormat="1" applyFont="1" applyFill="1" applyBorder="1" applyAlignment="1">
      <alignment horizontal="right" vertical="top" wrapText="1"/>
    </xf>
    <xf numFmtId="10" fontId="11" fillId="3" borderId="11" xfId="4" applyNumberFormat="1" applyFont="1" applyFill="1" applyBorder="1" applyAlignment="1">
      <alignment horizontal="right" vertical="top" wrapText="1"/>
    </xf>
    <xf numFmtId="10" fontId="12" fillId="0" borderId="25" xfId="1" applyNumberFormat="1" applyFont="1" applyBorder="1" applyAlignment="1">
      <alignment horizontal="right" vertical="top" wrapText="1"/>
    </xf>
    <xf numFmtId="10" fontId="12" fillId="0" borderId="105" xfId="1" applyNumberFormat="1" applyFont="1" applyBorder="1" applyAlignment="1">
      <alignment horizontal="right" vertical="top" wrapText="1"/>
    </xf>
    <xf numFmtId="10" fontId="24" fillId="0" borderId="104" xfId="1" applyNumberFormat="1" applyFont="1" applyBorder="1" applyAlignment="1">
      <alignment vertical="center"/>
    </xf>
    <xf numFmtId="4" fontId="13" fillId="0" borderId="118" xfId="1" applyNumberFormat="1" applyFont="1" applyBorder="1" applyAlignment="1">
      <alignment vertical="top"/>
    </xf>
    <xf numFmtId="4" fontId="13" fillId="0" borderId="115" xfId="1" applyNumberFormat="1" applyFont="1" applyBorder="1" applyAlignment="1">
      <alignment vertical="top"/>
    </xf>
    <xf numFmtId="4" fontId="14" fillId="0" borderId="115" xfId="1" applyNumberFormat="1" applyFont="1" applyBorder="1" applyAlignment="1">
      <alignment horizontal="right" vertical="top" wrapText="1"/>
    </xf>
    <xf numFmtId="4" fontId="17" fillId="4" borderId="115" xfId="1" applyNumberFormat="1" applyFont="1" applyFill="1" applyBorder="1" applyAlignment="1">
      <alignment horizontal="right" vertical="center" wrapText="1"/>
    </xf>
    <xf numFmtId="4" fontId="14" fillId="5" borderId="115" xfId="1" applyNumberFormat="1" applyFont="1" applyFill="1" applyBorder="1" applyAlignment="1">
      <alignment horizontal="right" vertical="center" wrapText="1"/>
    </xf>
    <xf numFmtId="4" fontId="10" fillId="0" borderId="115" xfId="1" applyNumberFormat="1" applyFont="1" applyBorder="1" applyAlignment="1">
      <alignment horizontal="right" vertical="top" wrapText="1"/>
    </xf>
    <xf numFmtId="4" fontId="14" fillId="0" borderId="117" xfId="1" applyNumberFormat="1" applyFont="1" applyBorder="1" applyAlignment="1">
      <alignment horizontal="right" vertical="top" wrapText="1"/>
    </xf>
    <xf numFmtId="4" fontId="14" fillId="0" borderId="118" xfId="1" applyNumberFormat="1" applyFont="1" applyBorder="1" applyAlignment="1">
      <alignment vertical="top"/>
    </xf>
    <xf numFmtId="4" fontId="17" fillId="4" borderId="118" xfId="1" applyNumberFormat="1" applyFont="1" applyFill="1" applyBorder="1" applyAlignment="1">
      <alignment horizontal="right" vertical="top" wrapText="1"/>
    </xf>
    <xf numFmtId="4" fontId="14" fillId="0" borderId="115" xfId="1" applyNumberFormat="1" applyFont="1" applyBorder="1" applyAlignment="1">
      <alignment vertical="top"/>
    </xf>
    <xf numFmtId="4" fontId="14" fillId="0" borderId="118" xfId="1" applyNumberFormat="1" applyFont="1" applyBorder="1" applyAlignment="1">
      <alignment vertical="center"/>
    </xf>
    <xf numFmtId="4" fontId="12" fillId="3" borderId="115" xfId="1" applyNumberFormat="1" applyFont="1" applyFill="1" applyBorder="1" applyAlignment="1">
      <alignment horizontal="right" vertical="top" wrapText="1"/>
    </xf>
    <xf numFmtId="4" fontId="9" fillId="6" borderId="117" xfId="1" applyNumberFormat="1" applyFont="1" applyFill="1" applyBorder="1" applyAlignment="1">
      <alignment horizontal="right" vertical="top" wrapText="1"/>
    </xf>
    <xf numFmtId="4" fontId="13" fillId="0" borderId="117" xfId="1" applyNumberFormat="1" applyFont="1" applyBorder="1" applyAlignment="1">
      <alignment vertical="top"/>
    </xf>
    <xf numFmtId="4" fontId="11" fillId="0" borderId="118" xfId="1" applyNumberFormat="1" applyFont="1" applyBorder="1" applyAlignment="1">
      <alignment vertical="top" wrapText="1"/>
    </xf>
    <xf numFmtId="4" fontId="13" fillId="0" borderId="139" xfId="1" applyNumberFormat="1" applyFont="1" applyBorder="1" applyAlignment="1">
      <alignment vertical="top"/>
    </xf>
    <xf numFmtId="0" fontId="30" fillId="0" borderId="15" xfId="3" applyFont="1" applyBorder="1" applyAlignment="1">
      <alignment horizontal="center" vertical="center"/>
    </xf>
    <xf numFmtId="4" fontId="15" fillId="7" borderId="118" xfId="1" applyNumberFormat="1" applyFont="1" applyFill="1" applyBorder="1" applyAlignment="1">
      <alignment horizontal="right" vertical="center" wrapText="1"/>
    </xf>
    <xf numFmtId="4" fontId="15" fillId="7" borderId="132" xfId="1" applyNumberFormat="1" applyFont="1" applyFill="1" applyBorder="1" applyAlignment="1">
      <alignment horizontal="right" vertical="center"/>
    </xf>
    <xf numFmtId="4" fontId="13" fillId="3" borderId="132" xfId="1" applyNumberFormat="1" applyFont="1" applyFill="1" applyBorder="1" applyAlignment="1">
      <alignment horizontal="right" vertical="center"/>
    </xf>
    <xf numFmtId="4" fontId="13" fillId="6" borderId="117" xfId="1" applyNumberFormat="1" applyFont="1" applyFill="1" applyBorder="1" applyAlignment="1">
      <alignment horizontal="right" vertical="center" wrapText="1"/>
    </xf>
    <xf numFmtId="4" fontId="13" fillId="0" borderId="131" xfId="1" applyNumberFormat="1" applyFont="1" applyBorder="1" applyAlignment="1">
      <alignment horizontal="right" vertical="center"/>
    </xf>
    <xf numFmtId="4" fontId="15" fillId="7" borderId="132" xfId="1" applyNumberFormat="1" applyFont="1" applyFill="1" applyBorder="1" applyAlignment="1">
      <alignment horizontal="right" vertical="center" wrapText="1"/>
    </xf>
    <xf numFmtId="4" fontId="13" fillId="3" borderId="133" xfId="1" applyNumberFormat="1" applyFont="1" applyFill="1" applyBorder="1" applyAlignment="1">
      <alignment horizontal="right" vertical="center" wrapText="1"/>
    </xf>
    <xf numFmtId="4" fontId="13" fillId="6" borderId="116" xfId="1" applyNumberFormat="1" applyFont="1" applyFill="1" applyBorder="1" applyAlignment="1">
      <alignment horizontal="right" vertical="center" wrapText="1"/>
    </xf>
    <xf numFmtId="4" fontId="13" fillId="0" borderId="134" xfId="1" applyNumberFormat="1" applyFont="1" applyBorder="1" applyAlignment="1">
      <alignment vertical="center"/>
    </xf>
    <xf numFmtId="4" fontId="13" fillId="3" borderId="132" xfId="1" applyNumberFormat="1" applyFont="1" applyFill="1" applyBorder="1" applyAlignment="1">
      <alignment vertical="center"/>
    </xf>
    <xf numFmtId="4" fontId="13" fillId="6" borderId="115" xfId="1" applyNumberFormat="1" applyFont="1" applyFill="1" applyBorder="1" applyAlignment="1">
      <alignment horizontal="right" vertical="center" wrapText="1"/>
    </xf>
    <xf numFmtId="4" fontId="13" fillId="0" borderId="138" xfId="1" applyNumberFormat="1" applyFont="1" applyBorder="1" applyAlignment="1">
      <alignment vertical="center"/>
    </xf>
    <xf numFmtId="4" fontId="13" fillId="3" borderId="115" xfId="4" applyNumberFormat="1" applyFont="1" applyFill="1" applyBorder="1" applyAlignment="1">
      <alignment horizontal="right" vertical="center" wrapText="1"/>
    </xf>
    <xf numFmtId="4" fontId="13" fillId="3" borderId="110" xfId="4" applyNumberFormat="1" applyFont="1" applyFill="1" applyBorder="1" applyAlignment="1">
      <alignment horizontal="right" vertical="center" wrapText="1"/>
    </xf>
    <xf numFmtId="10" fontId="13" fillId="3" borderId="110" xfId="4" applyNumberFormat="1" applyFont="1" applyFill="1" applyBorder="1" applyAlignment="1">
      <alignment horizontal="right" vertical="center" wrapText="1"/>
    </xf>
    <xf numFmtId="4" fontId="13" fillId="3" borderId="129" xfId="4" applyNumberFormat="1" applyFont="1" applyFill="1" applyBorder="1" applyAlignment="1">
      <alignment horizontal="right" vertical="center" wrapText="1"/>
    </xf>
    <xf numFmtId="4" fontId="13" fillId="6" borderId="115" xfId="4" applyNumberFormat="1" applyFont="1" applyFill="1" applyBorder="1" applyAlignment="1">
      <alignment horizontal="right" vertical="center" wrapText="1"/>
    </xf>
    <xf numFmtId="4" fontId="13" fillId="6" borderId="110" xfId="4" applyNumberFormat="1" applyFont="1" applyFill="1" applyBorder="1" applyAlignment="1">
      <alignment horizontal="right" vertical="center" wrapText="1"/>
    </xf>
    <xf numFmtId="10" fontId="13" fillId="6" borderId="110" xfId="4" applyNumberFormat="1" applyFont="1" applyFill="1" applyBorder="1" applyAlignment="1">
      <alignment horizontal="right" vertical="center" wrapText="1"/>
    </xf>
    <xf numFmtId="4" fontId="13" fillId="6" borderId="129" xfId="4" applyNumberFormat="1" applyFont="1" applyFill="1" applyBorder="1" applyAlignment="1">
      <alignment horizontal="right" vertical="center" wrapText="1"/>
    </xf>
    <xf numFmtId="4" fontId="13" fillId="0" borderId="132" xfId="1" applyNumberFormat="1" applyFont="1" applyBorder="1" applyAlignment="1">
      <alignment vertical="center" wrapText="1"/>
    </xf>
    <xf numFmtId="4" fontId="13" fillId="0" borderId="118" xfId="1" applyNumberFormat="1" applyFont="1" applyBorder="1" applyAlignment="1">
      <alignment vertical="center" wrapText="1"/>
    </xf>
    <xf numFmtId="4" fontId="13" fillId="0" borderId="134" xfId="1" applyNumberFormat="1" applyFont="1" applyBorder="1" applyAlignment="1">
      <alignment vertical="center" wrapText="1"/>
    </xf>
    <xf numFmtId="4" fontId="15" fillId="0" borderId="111" xfId="1" applyNumberFormat="1" applyFont="1" applyBorder="1" applyAlignment="1">
      <alignment vertical="center"/>
    </xf>
    <xf numFmtId="4" fontId="15" fillId="0" borderId="135" xfId="1" applyNumberFormat="1" applyFont="1" applyBorder="1" applyAlignment="1">
      <alignment vertical="center"/>
    </xf>
    <xf numFmtId="0" fontId="15" fillId="7" borderId="25" xfId="1" applyFont="1" applyFill="1" applyBorder="1" applyAlignment="1">
      <alignment horizontal="left" vertical="center" wrapText="1"/>
    </xf>
    <xf numFmtId="0" fontId="13" fillId="3" borderId="25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5" fillId="7" borderId="25" xfId="1" applyFont="1" applyFill="1" applyBorder="1" applyAlignment="1">
      <alignment vertical="center" wrapText="1"/>
    </xf>
    <xf numFmtId="0" fontId="13" fillId="3" borderId="54" xfId="1" applyFont="1" applyFill="1" applyBorder="1" applyAlignment="1">
      <alignment vertical="center" wrapText="1"/>
    </xf>
    <xf numFmtId="0" fontId="13" fillId="3" borderId="11" xfId="1" applyFont="1" applyFill="1" applyBorder="1" applyAlignment="1">
      <alignment vertical="center" wrapText="1"/>
    </xf>
    <xf numFmtId="0" fontId="13" fillId="6" borderId="11" xfId="1" applyFont="1" applyFill="1" applyBorder="1" applyAlignment="1">
      <alignment vertical="center" wrapText="1"/>
    </xf>
    <xf numFmtId="0" fontId="13" fillId="6" borderId="25" xfId="1" applyFont="1" applyFill="1" applyBorder="1" applyAlignment="1">
      <alignment vertical="center" wrapText="1"/>
    </xf>
    <xf numFmtId="0" fontId="13" fillId="0" borderId="24" xfId="1" applyFont="1" applyBorder="1" applyAlignment="1">
      <alignment vertical="center" wrapText="1"/>
    </xf>
    <xf numFmtId="4" fontId="15" fillId="7" borderId="125" xfId="1" applyNumberFormat="1" applyFont="1" applyFill="1" applyBorder="1" applyAlignment="1">
      <alignment horizontal="right" vertical="center" wrapText="1"/>
    </xf>
    <xf numFmtId="4" fontId="13" fillId="6" borderId="124" xfId="1" applyNumberFormat="1" applyFont="1" applyFill="1" applyBorder="1" applyAlignment="1">
      <alignment horizontal="right" vertical="center" wrapText="1"/>
    </xf>
    <xf numFmtId="4" fontId="13" fillId="3" borderId="122" xfId="4" applyNumberFormat="1" applyFont="1" applyFill="1" applyBorder="1" applyAlignment="1">
      <alignment horizontal="right" vertical="center" wrapText="1"/>
    </xf>
    <xf numFmtId="4" fontId="13" fillId="6" borderId="122" xfId="4" applyNumberFormat="1" applyFont="1" applyFill="1" applyBorder="1" applyAlignment="1">
      <alignment horizontal="right" vertical="center" wrapText="1"/>
    </xf>
    <xf numFmtId="4" fontId="13" fillId="6" borderId="125" xfId="4" applyNumberFormat="1" applyFont="1" applyFill="1" applyBorder="1" applyAlignment="1">
      <alignment horizontal="right" vertical="center" wrapText="1"/>
    </xf>
    <xf numFmtId="4" fontId="15" fillId="0" borderId="119" xfId="1" applyNumberFormat="1" applyFont="1" applyBorder="1" applyAlignment="1">
      <alignment vertical="center"/>
    </xf>
    <xf numFmtId="10" fontId="13" fillId="0" borderId="10" xfId="1" applyNumberFormat="1" applyFont="1" applyFill="1" applyBorder="1" applyAlignment="1">
      <alignment horizontal="right" vertical="center" wrapText="1"/>
    </xf>
    <xf numFmtId="10" fontId="13" fillId="0" borderId="4" xfId="1" applyNumberFormat="1" applyFont="1" applyFill="1" applyBorder="1" applyAlignment="1">
      <alignment horizontal="right" vertical="center" wrapText="1"/>
    </xf>
    <xf numFmtId="10" fontId="78" fillId="0" borderId="4" xfId="0" applyNumberFormat="1" applyFont="1" applyBorder="1"/>
    <xf numFmtId="10" fontId="79" fillId="0" borderId="4" xfId="0" applyNumberFormat="1" applyFont="1" applyBorder="1" applyAlignment="1">
      <alignment vertical="center"/>
    </xf>
    <xf numFmtId="10" fontId="77" fillId="0" borderId="4" xfId="0" applyNumberFormat="1" applyFont="1" applyBorder="1" applyAlignment="1">
      <alignment vertical="center"/>
    </xf>
    <xf numFmtId="10" fontId="38" fillId="7" borderId="4" xfId="0" applyNumberFormat="1" applyFont="1" applyFill="1" applyBorder="1" applyAlignment="1">
      <alignment vertical="top"/>
    </xf>
    <xf numFmtId="10" fontId="0" fillId="3" borderId="4" xfId="0" applyNumberFormat="1" applyFill="1" applyBorder="1" applyAlignment="1">
      <alignment vertical="top"/>
    </xf>
    <xf numFmtId="10" fontId="0" fillId="0" borderId="4" xfId="0" applyNumberFormat="1" applyBorder="1" applyAlignment="1">
      <alignment vertical="top"/>
    </xf>
    <xf numFmtId="10" fontId="38" fillId="0" borderId="4" xfId="0" applyNumberFormat="1" applyFont="1" applyBorder="1" applyAlignment="1">
      <alignment vertical="top"/>
    </xf>
    <xf numFmtId="10" fontId="38" fillId="0" borderId="4" xfId="0" applyNumberFormat="1" applyFont="1" applyBorder="1" applyAlignment="1">
      <alignment vertical="center"/>
    </xf>
    <xf numFmtId="10" fontId="52" fillId="0" borderId="66" xfId="43" applyNumberFormat="1" applyFont="1" applyBorder="1" applyAlignment="1">
      <alignment horizontal="right" vertical="center" wrapText="1"/>
    </xf>
    <xf numFmtId="10" fontId="19" fillId="0" borderId="69" xfId="43" applyNumberFormat="1" applyFont="1" applyBorder="1" applyAlignment="1">
      <alignment horizontal="right" vertical="center" wrapText="1"/>
    </xf>
    <xf numFmtId="10" fontId="56" fillId="10" borderId="70" xfId="43" applyNumberFormat="1" applyFont="1" applyFill="1" applyBorder="1" applyAlignment="1">
      <alignment horizontal="right" vertical="top" wrapText="1"/>
    </xf>
    <xf numFmtId="10" fontId="57" fillId="11" borderId="70" xfId="43" applyNumberFormat="1" applyFont="1" applyFill="1" applyBorder="1" applyAlignment="1">
      <alignment horizontal="right" vertical="top" wrapText="1"/>
    </xf>
    <xf numFmtId="10" fontId="45" fillId="0" borderId="4" xfId="43" applyNumberFormat="1" applyFont="1" applyBorder="1" applyAlignment="1">
      <alignment vertical="top" wrapText="1"/>
    </xf>
    <xf numFmtId="10" fontId="45" fillId="0" borderId="7" xfId="43" applyNumberFormat="1" applyFont="1" applyBorder="1" applyAlignment="1">
      <alignment vertical="top" wrapText="1"/>
    </xf>
    <xf numFmtId="10" fontId="58" fillId="0" borderId="4" xfId="7" applyNumberFormat="1" applyFont="1" applyBorder="1" applyAlignment="1">
      <alignment vertical="top" wrapText="1"/>
    </xf>
    <xf numFmtId="10" fontId="52" fillId="0" borderId="97" xfId="43" applyNumberFormat="1" applyFont="1" applyBorder="1" applyAlignment="1">
      <alignment horizontal="right" vertical="center" wrapText="1"/>
    </xf>
    <xf numFmtId="10" fontId="60" fillId="0" borderId="4" xfId="7" applyNumberFormat="1" applyFont="1" applyBorder="1" applyAlignment="1">
      <alignment vertical="center" wrapText="1"/>
    </xf>
    <xf numFmtId="10" fontId="58" fillId="0" borderId="4" xfId="7" applyNumberFormat="1" applyFont="1" applyBorder="1" applyAlignment="1">
      <alignment vertical="center" wrapText="1"/>
    </xf>
    <xf numFmtId="10" fontId="58" fillId="0" borderId="10" xfId="7" applyNumberFormat="1" applyFont="1" applyBorder="1" applyAlignment="1">
      <alignment vertical="center" wrapText="1"/>
    </xf>
    <xf numFmtId="4" fontId="56" fillId="0" borderId="141" xfId="43" applyNumberFormat="1" applyFont="1" applyBorder="1" applyAlignment="1">
      <alignment horizontal="right" vertical="center" wrapText="1"/>
    </xf>
    <xf numFmtId="10" fontId="60" fillId="0" borderId="12" xfId="7" applyNumberFormat="1" applyFont="1" applyBorder="1" applyAlignment="1">
      <alignment vertical="center" wrapText="1"/>
    </xf>
    <xf numFmtId="10" fontId="58" fillId="0" borderId="2" xfId="7" applyNumberFormat="1" applyFont="1" applyBorder="1" applyAlignment="1">
      <alignment vertical="center" wrapText="1"/>
    </xf>
    <xf numFmtId="0" fontId="47" fillId="0" borderId="25" xfId="43" applyFont="1" applyBorder="1" applyAlignment="1">
      <alignment vertical="center" wrapText="1"/>
    </xf>
    <xf numFmtId="4" fontId="56" fillId="0" borderId="50" xfId="43" applyNumberFormat="1" applyFont="1" applyBorder="1" applyAlignment="1">
      <alignment horizontal="right" vertical="center" wrapText="1"/>
    </xf>
    <xf numFmtId="0" fontId="6" fillId="0" borderId="0" xfId="7" applyAlignment="1">
      <alignment vertical="center"/>
    </xf>
    <xf numFmtId="10" fontId="57" fillId="0" borderId="2" xfId="43" applyNumberFormat="1" applyFont="1" applyBorder="1" applyAlignment="1">
      <alignment vertical="center" wrapText="1"/>
    </xf>
    <xf numFmtId="10" fontId="56" fillId="10" borderId="70" xfId="43" applyNumberFormat="1" applyFont="1" applyFill="1" applyBorder="1" applyAlignment="1">
      <alignment horizontal="right" vertical="center" wrapText="1"/>
    </xf>
    <xf numFmtId="4" fontId="56" fillId="7" borderId="25" xfId="43" applyNumberFormat="1" applyFont="1" applyFill="1" applyBorder="1" applyAlignment="1">
      <alignment horizontal="right" vertical="center" wrapText="1"/>
    </xf>
    <xf numFmtId="0" fontId="59" fillId="10" borderId="80" xfId="43" applyFont="1" applyFill="1" applyBorder="1" applyAlignment="1">
      <alignment horizontal="left" vertical="center" wrapText="1"/>
    </xf>
    <xf numFmtId="0" fontId="45" fillId="10" borderId="4" xfId="43" applyFont="1" applyFill="1" applyBorder="1" applyAlignment="1">
      <alignment vertical="center" wrapText="1"/>
    </xf>
    <xf numFmtId="167" fontId="46" fillId="10" borderId="4" xfId="43" applyNumberFormat="1" applyFont="1" applyFill="1" applyBorder="1" applyAlignment="1">
      <alignment horizontal="left" vertical="center" wrapText="1"/>
    </xf>
    <xf numFmtId="0" fontId="55" fillId="10" borderId="4" xfId="43" applyFont="1" applyFill="1" applyBorder="1" applyAlignment="1">
      <alignment horizontal="left" vertical="center" wrapText="1"/>
    </xf>
    <xf numFmtId="4" fontId="56" fillId="10" borderId="4" xfId="43" applyNumberFormat="1" applyFont="1" applyFill="1" applyBorder="1" applyAlignment="1">
      <alignment horizontal="right" vertical="center" wrapText="1"/>
    </xf>
    <xf numFmtId="0" fontId="59" fillId="10" borderId="4" xfId="43" applyFont="1" applyFill="1" applyBorder="1" applyAlignment="1">
      <alignment horizontal="center" vertical="center" wrapText="1"/>
    </xf>
    <xf numFmtId="0" fontId="45" fillId="7" borderId="4" xfId="43" applyFont="1" applyFill="1" applyBorder="1" applyAlignment="1">
      <alignment vertical="center" wrapText="1"/>
    </xf>
    <xf numFmtId="167" fontId="46" fillId="7" borderId="4" xfId="43" applyNumberFormat="1" applyFont="1" applyFill="1" applyBorder="1" applyAlignment="1">
      <alignment horizontal="left" vertical="center" wrapText="1"/>
    </xf>
    <xf numFmtId="0" fontId="59" fillId="10" borderId="4" xfId="43" applyFont="1" applyFill="1" applyBorder="1" applyAlignment="1">
      <alignment horizontal="left" vertical="center" wrapText="1"/>
    </xf>
    <xf numFmtId="0" fontId="56" fillId="7" borderId="43" xfId="43" applyFont="1" applyFill="1" applyBorder="1" applyAlignment="1">
      <alignment horizontal="left" vertical="top" wrapText="1"/>
    </xf>
    <xf numFmtId="0" fontId="56" fillId="7" borderId="44" xfId="43" applyFont="1" applyFill="1" applyBorder="1" applyAlignment="1">
      <alignment horizontal="left" vertical="top" wrapText="1"/>
    </xf>
    <xf numFmtId="167" fontId="60" fillId="7" borderId="48" xfId="43" applyNumberFormat="1" applyFont="1" applyFill="1" applyBorder="1" applyAlignment="1">
      <alignment horizontal="left" vertical="top" wrapText="1"/>
    </xf>
    <xf numFmtId="0" fontId="60" fillId="7" borderId="47" xfId="43" applyFont="1" applyFill="1" applyBorder="1" applyAlignment="1">
      <alignment horizontal="left" vertical="top" wrapText="1"/>
    </xf>
    <xf numFmtId="4" fontId="56" fillId="7" borderId="47" xfId="43" applyNumberFormat="1" applyFont="1" applyFill="1" applyBorder="1" applyAlignment="1">
      <alignment horizontal="right" vertical="top" wrapText="1"/>
    </xf>
    <xf numFmtId="10" fontId="56" fillId="10" borderId="142" xfId="43" applyNumberFormat="1" applyFont="1" applyFill="1" applyBorder="1" applyAlignment="1">
      <alignment horizontal="right" vertical="top" wrapText="1"/>
    </xf>
    <xf numFmtId="0" fontId="40" fillId="0" borderId="0" xfId="2" applyFont="1"/>
    <xf numFmtId="0" fontId="56" fillId="0" borderId="0" xfId="50" applyFont="1" applyAlignment="1">
      <alignment horizontal="left"/>
    </xf>
    <xf numFmtId="0" fontId="56" fillId="0" borderId="4" xfId="46" applyFont="1" applyBorder="1" applyAlignment="1">
      <alignment horizontal="center" vertical="center" wrapText="1"/>
    </xf>
    <xf numFmtId="10" fontId="55" fillId="10" borderId="4" xfId="45" applyNumberFormat="1" applyFont="1" applyFill="1" applyBorder="1" applyAlignment="1" applyProtection="1">
      <alignment horizontal="right" vertical="top"/>
    </xf>
    <xf numFmtId="10" fontId="46" fillId="11" borderId="4" xfId="45" applyNumberFormat="1" applyFont="1" applyFill="1" applyBorder="1" applyAlignment="1" applyProtection="1">
      <alignment horizontal="right" vertical="top"/>
    </xf>
    <xf numFmtId="10" fontId="45" fillId="0" borderId="4" xfId="46" applyNumberFormat="1" applyFont="1" applyBorder="1" applyAlignment="1">
      <alignment vertical="top"/>
    </xf>
    <xf numFmtId="10" fontId="51" fillId="0" borderId="4" xfId="45" applyNumberFormat="1" applyFont="1" applyFill="1" applyBorder="1" applyAlignment="1" applyProtection="1">
      <alignment horizontal="right" vertical="center"/>
    </xf>
    <xf numFmtId="10" fontId="55" fillId="10" borderId="70" xfId="45" applyNumberFormat="1" applyFont="1" applyFill="1" applyBorder="1" applyAlignment="1" applyProtection="1">
      <alignment horizontal="right" vertical="top"/>
    </xf>
    <xf numFmtId="10" fontId="46" fillId="11" borderId="70" xfId="45" applyNumberFormat="1" applyFont="1" applyFill="1" applyBorder="1" applyAlignment="1" applyProtection="1">
      <alignment horizontal="right" vertical="top"/>
    </xf>
    <xf numFmtId="10" fontId="51" fillId="0" borderId="69" xfId="45" applyNumberFormat="1" applyFont="1" applyFill="1" applyBorder="1" applyAlignment="1" applyProtection="1">
      <alignment horizontal="right" vertical="center"/>
    </xf>
    <xf numFmtId="4" fontId="47" fillId="0" borderId="0" xfId="46" applyNumberFormat="1" applyFont="1"/>
    <xf numFmtId="0" fontId="95" fillId="0" borderId="4" xfId="30" applyFont="1" applyBorder="1" applyAlignment="1">
      <alignment horizontal="center" vertical="center" wrapText="1"/>
    </xf>
    <xf numFmtId="10" fontId="82" fillId="15" borderId="70" xfId="30" applyNumberFormat="1" applyFont="1" applyFill="1" applyBorder="1" applyAlignment="1" applyProtection="1">
      <alignment horizontal="right" vertical="center" wrapText="1"/>
      <protection locked="0"/>
    </xf>
    <xf numFmtId="10" fontId="82" fillId="16" borderId="70" xfId="30" applyNumberFormat="1" applyFont="1" applyFill="1" applyBorder="1" applyAlignment="1" applyProtection="1">
      <alignment horizontal="right" vertical="center" wrapText="1"/>
      <protection locked="0"/>
    </xf>
    <xf numFmtId="10" fontId="82" fillId="14" borderId="70" xfId="30" applyNumberFormat="1" applyFont="1" applyFill="1" applyBorder="1" applyAlignment="1" applyProtection="1">
      <alignment horizontal="right" vertical="center" wrapText="1"/>
      <protection locked="0"/>
    </xf>
    <xf numFmtId="10" fontId="81" fillId="0" borderId="4" xfId="30" applyNumberFormat="1" applyFont="1" applyBorder="1"/>
    <xf numFmtId="10" fontId="81" fillId="0" borderId="4" xfId="30" applyNumberFormat="1" applyFont="1" applyBorder="1" applyAlignment="1">
      <alignment vertical="center"/>
    </xf>
    <xf numFmtId="10" fontId="82" fillId="17" borderId="70" xfId="30" applyNumberFormat="1" applyFont="1" applyFill="1" applyBorder="1" applyAlignment="1" applyProtection="1">
      <alignment horizontal="right" vertical="center" wrapText="1"/>
      <protection locked="0"/>
    </xf>
    <xf numFmtId="10" fontId="82" fillId="16" borderId="39" xfId="30" applyNumberFormat="1" applyFont="1" applyFill="1" applyBorder="1" applyAlignment="1" applyProtection="1">
      <alignment horizontal="right" vertical="center" wrapText="1"/>
      <protection locked="0"/>
    </xf>
    <xf numFmtId="10" fontId="94" fillId="15" borderId="70" xfId="30" applyNumberFormat="1" applyFont="1" applyFill="1" applyBorder="1" applyAlignment="1" applyProtection="1">
      <alignment horizontal="right" vertical="center" wrapText="1"/>
      <protection locked="0"/>
    </xf>
    <xf numFmtId="10" fontId="94" fillId="0" borderId="4" xfId="30" applyNumberFormat="1" applyFont="1" applyBorder="1" applyAlignment="1">
      <alignment vertical="center"/>
    </xf>
    <xf numFmtId="10" fontId="94" fillId="16" borderId="70" xfId="30" applyNumberFormat="1" applyFont="1" applyFill="1" applyBorder="1" applyAlignment="1" applyProtection="1">
      <alignment horizontal="right" vertical="center" wrapText="1"/>
      <protection locked="0"/>
    </xf>
    <xf numFmtId="10" fontId="82" fillId="16" borderId="78" xfId="30" applyNumberFormat="1" applyFont="1" applyFill="1" applyBorder="1" applyAlignment="1" applyProtection="1">
      <alignment horizontal="right" vertical="center" wrapText="1"/>
      <protection locked="0"/>
    </xf>
    <xf numFmtId="10" fontId="94" fillId="16" borderId="73" xfId="30" applyNumberFormat="1" applyFont="1" applyFill="1" applyBorder="1" applyAlignment="1" applyProtection="1">
      <alignment horizontal="right" vertical="center" wrapText="1"/>
      <protection locked="0"/>
    </xf>
    <xf numFmtId="10" fontId="94" fillId="17" borderId="4" xfId="30" applyNumberFormat="1" applyFont="1" applyFill="1" applyBorder="1" applyAlignment="1" applyProtection="1">
      <alignment horizontal="right" vertical="center" wrapText="1"/>
      <protection locked="0"/>
    </xf>
    <xf numFmtId="10" fontId="99" fillId="14" borderId="4" xfId="30" applyNumberFormat="1" applyFont="1" applyFill="1" applyBorder="1" applyAlignment="1" applyProtection="1">
      <alignment horizontal="right" vertical="center" wrapText="1"/>
      <protection locked="0"/>
    </xf>
    <xf numFmtId="10" fontId="19" fillId="0" borderId="9" xfId="30" applyNumberFormat="1" applyBorder="1"/>
    <xf numFmtId="10" fontId="63" fillId="0" borderId="9" xfId="30" applyNumberFormat="1" applyFont="1" applyBorder="1"/>
    <xf numFmtId="10" fontId="63" fillId="0" borderId="110" xfId="30" applyNumberFormat="1" applyFont="1" applyBorder="1"/>
    <xf numFmtId="10" fontId="95" fillId="0" borderId="4" xfId="30" applyNumberFormat="1" applyFont="1" applyBorder="1" applyAlignment="1">
      <alignment vertical="center"/>
    </xf>
    <xf numFmtId="10" fontId="81" fillId="0" borderId="4" xfId="30" applyNumberFormat="1" applyFont="1" applyBorder="1" applyAlignment="1">
      <alignment horizontal="right" vertical="center"/>
    </xf>
    <xf numFmtId="10" fontId="95" fillId="0" borderId="4" xfId="30" applyNumberFormat="1" applyFont="1" applyBorder="1" applyAlignment="1">
      <alignment horizontal="right" vertical="center"/>
    </xf>
    <xf numFmtId="10" fontId="69" fillId="0" borderId="9" xfId="30" applyNumberFormat="1" applyFont="1" applyBorder="1" applyAlignment="1">
      <alignment vertical="top"/>
    </xf>
    <xf numFmtId="0" fontId="52" fillId="0" borderId="7" xfId="47" applyFont="1" applyBorder="1" applyAlignment="1">
      <alignment horizontal="center" vertical="top"/>
    </xf>
    <xf numFmtId="4" fontId="52" fillId="0" borderId="7" xfId="47" applyNumberFormat="1" applyFont="1" applyBorder="1" applyAlignment="1">
      <alignment vertical="top"/>
    </xf>
    <xf numFmtId="10" fontId="52" fillId="0" borderId="7" xfId="47" applyNumberFormat="1" applyFont="1" applyBorder="1" applyAlignment="1">
      <alignment vertical="top"/>
    </xf>
    <xf numFmtId="0" fontId="52" fillId="0" borderId="8" xfId="47" applyFont="1" applyBorder="1" applyAlignment="1">
      <alignment vertical="top"/>
    </xf>
    <xf numFmtId="0" fontId="52" fillId="0" borderId="8" xfId="47" applyFont="1" applyBorder="1" applyAlignment="1">
      <alignment horizontal="center" vertical="top"/>
    </xf>
    <xf numFmtId="4" fontId="52" fillId="0" borderId="8" xfId="47" applyNumberFormat="1" applyFont="1" applyBorder="1" applyAlignment="1">
      <alignment vertical="top"/>
    </xf>
    <xf numFmtId="10" fontId="52" fillId="0" borderId="8" xfId="47" applyNumberFormat="1" applyFont="1" applyBorder="1" applyAlignment="1">
      <alignment vertical="top"/>
    </xf>
    <xf numFmtId="0" fontId="101" fillId="0" borderId="10" xfId="47" applyFont="1" applyBorder="1" applyAlignment="1">
      <alignment horizontal="center" vertical="top"/>
    </xf>
    <xf numFmtId="0" fontId="19" fillId="0" borderId="8" xfId="30" applyBorder="1" applyAlignment="1">
      <alignment vertical="top"/>
    </xf>
    <xf numFmtId="0" fontId="29" fillId="0" borderId="87" xfId="30" applyFont="1" applyBorder="1" applyAlignment="1">
      <alignment vertical="top"/>
    </xf>
    <xf numFmtId="10" fontId="19" fillId="0" borderId="9" xfId="30" applyNumberFormat="1" applyBorder="1" applyAlignment="1">
      <alignment vertical="top"/>
    </xf>
    <xf numFmtId="0" fontId="19" fillId="0" borderId="15" xfId="47" applyBorder="1" applyAlignment="1">
      <alignment horizontal="center" vertical="center"/>
    </xf>
    <xf numFmtId="0" fontId="102" fillId="0" borderId="15" xfId="47" applyFont="1" applyBorder="1" applyAlignment="1">
      <alignment horizontal="right" vertical="center"/>
    </xf>
    <xf numFmtId="0" fontId="102" fillId="0" borderId="15" xfId="47" applyFont="1" applyBorder="1" applyAlignment="1">
      <alignment horizontal="center" vertical="center"/>
    </xf>
    <xf numFmtId="4" fontId="102" fillId="0" borderId="15" xfId="47" applyNumberFormat="1" applyFont="1" applyBorder="1" applyAlignment="1">
      <alignment vertical="center"/>
    </xf>
    <xf numFmtId="10" fontId="52" fillId="0" borderId="15" xfId="47" applyNumberFormat="1" applyFont="1" applyBorder="1" applyAlignment="1">
      <alignment vertical="center"/>
    </xf>
    <xf numFmtId="0" fontId="34" fillId="0" borderId="39" xfId="43" applyFont="1" applyBorder="1" applyAlignment="1">
      <alignment horizontal="left" vertical="top"/>
    </xf>
    <xf numFmtId="0" fontId="34" fillId="0" borderId="40" xfId="43" applyFont="1" applyBorder="1" applyAlignment="1">
      <alignment horizontal="left" vertical="top" wrapText="1"/>
    </xf>
    <xf numFmtId="0" fontId="34" fillId="0" borderId="29" xfId="43" applyFont="1" applyBorder="1" applyAlignment="1">
      <alignment horizontal="center" vertical="top"/>
    </xf>
    <xf numFmtId="4" fontId="34" fillId="0" borderId="144" xfId="43" applyNumberFormat="1" applyFont="1" applyBorder="1" applyAlignment="1">
      <alignment vertical="top"/>
    </xf>
    <xf numFmtId="0" fontId="34" fillId="0" borderId="31" xfId="43" applyFont="1" applyBorder="1" applyAlignment="1">
      <alignment horizontal="center" vertical="top"/>
    </xf>
    <xf numFmtId="4" fontId="34" fillId="0" borderId="30" xfId="43" applyNumberFormat="1" applyFont="1" applyBorder="1" applyAlignment="1">
      <alignment vertical="top"/>
    </xf>
    <xf numFmtId="4" fontId="34" fillId="0" borderId="145" xfId="43" applyNumberFormat="1" applyFont="1" applyBorder="1" applyAlignment="1">
      <alignment vertical="top"/>
    </xf>
    <xf numFmtId="4" fontId="34" fillId="0" borderId="32" xfId="43" applyNumberFormat="1" applyFont="1" applyBorder="1" applyAlignment="1">
      <alignment vertical="top"/>
    </xf>
    <xf numFmtId="0" fontId="34" fillId="0" borderId="89" xfId="43" applyFont="1" applyBorder="1" applyAlignment="1">
      <alignment horizontal="center" vertical="top"/>
    </xf>
    <xf numFmtId="4" fontId="34" fillId="0" borderId="153" xfId="43" applyNumberFormat="1" applyFont="1" applyBorder="1" applyAlignment="1">
      <alignment vertical="top"/>
    </xf>
    <xf numFmtId="0" fontId="108" fillId="9" borderId="28" xfId="43" applyFont="1" applyFill="1" applyBorder="1" applyAlignment="1">
      <alignment horizontal="right" vertical="top"/>
    </xf>
    <xf numFmtId="0" fontId="108" fillId="9" borderId="29" xfId="43" applyFont="1" applyFill="1" applyBorder="1" applyAlignment="1">
      <alignment horizontal="right" vertical="top"/>
    </xf>
    <xf numFmtId="0" fontId="108" fillId="9" borderId="39" xfId="43" applyFont="1" applyFill="1" applyBorder="1" applyAlignment="1">
      <alignment horizontal="right" vertical="center"/>
    </xf>
    <xf numFmtId="4" fontId="108" fillId="9" borderId="149" xfId="43" applyNumberFormat="1" applyFont="1" applyFill="1" applyBorder="1" applyAlignment="1">
      <alignment horizontal="right" vertical="center"/>
    </xf>
    <xf numFmtId="4" fontId="108" fillId="9" borderId="108" xfId="43" applyNumberFormat="1" applyFont="1" applyFill="1" applyBorder="1" applyAlignment="1">
      <alignment horizontal="right" vertical="center"/>
    </xf>
    <xf numFmtId="4" fontId="34" fillId="0" borderId="80" xfId="43" applyNumberFormat="1" applyFont="1" applyBorder="1" applyAlignment="1">
      <alignment vertical="top"/>
    </xf>
    <xf numFmtId="4" fontId="34" fillId="0" borderId="103" xfId="43" applyNumberFormat="1" applyFont="1" applyBorder="1" applyAlignment="1">
      <alignment vertical="top"/>
    </xf>
    <xf numFmtId="4" fontId="34" fillId="0" borderId="156" xfId="43" applyNumberFormat="1" applyFont="1" applyBorder="1" applyAlignment="1">
      <alignment vertical="top"/>
    </xf>
    <xf numFmtId="4" fontId="34" fillId="0" borderId="157" xfId="43" applyNumberFormat="1" applyFont="1" applyBorder="1" applyAlignment="1">
      <alignment vertical="top"/>
    </xf>
    <xf numFmtId="4" fontId="34" fillId="0" borderId="158" xfId="43" applyNumberFormat="1" applyFont="1" applyBorder="1" applyAlignment="1">
      <alignment vertical="top"/>
    </xf>
    <xf numFmtId="4" fontId="108" fillId="9" borderId="144" xfId="43" applyNumberFormat="1" applyFont="1" applyFill="1" applyBorder="1" applyAlignment="1">
      <alignment horizontal="right" vertical="center"/>
    </xf>
    <xf numFmtId="4" fontId="108" fillId="9" borderId="156" xfId="43" applyNumberFormat="1" applyFont="1" applyFill="1" applyBorder="1" applyAlignment="1">
      <alignment horizontal="right" vertical="center"/>
    </xf>
    <xf numFmtId="0" fontId="34" fillId="0" borderId="24" xfId="43" applyFont="1" applyBorder="1"/>
    <xf numFmtId="0" fontId="34" fillId="0" borderId="87" xfId="43" applyFont="1" applyBorder="1"/>
    <xf numFmtId="0" fontId="34" fillId="0" borderId="154" xfId="43" applyFont="1" applyBorder="1"/>
    <xf numFmtId="10" fontId="34" fillId="0" borderId="162" xfId="43" applyNumberFormat="1" applyFont="1" applyBorder="1"/>
    <xf numFmtId="10" fontId="34" fillId="0" borderId="163" xfId="43" applyNumberFormat="1" applyFont="1" applyBorder="1" applyAlignment="1">
      <alignment vertical="top"/>
    </xf>
    <xf numFmtId="10" fontId="34" fillId="0" borderId="151" xfId="43" applyNumberFormat="1" applyFont="1" applyBorder="1" applyAlignment="1">
      <alignment vertical="top"/>
    </xf>
    <xf numFmtId="10" fontId="34" fillId="0" borderId="162" xfId="43" applyNumberFormat="1" applyFont="1" applyBorder="1" applyAlignment="1">
      <alignment vertical="top"/>
    </xf>
    <xf numFmtId="10" fontId="108" fillId="9" borderId="149" xfId="43" applyNumberFormat="1" applyFont="1" applyFill="1" applyBorder="1" applyAlignment="1">
      <alignment horizontal="center" vertical="center"/>
    </xf>
    <xf numFmtId="10" fontId="33" fillId="9" borderId="148" xfId="43" applyNumberFormat="1" applyFont="1" applyFill="1" applyBorder="1" applyAlignment="1">
      <alignment horizontal="center" vertical="center"/>
    </xf>
    <xf numFmtId="0" fontId="37" fillId="0" borderId="86" xfId="43" applyFont="1" applyBorder="1" applyAlignment="1">
      <alignment horizontal="left" vertical="top" wrapText="1"/>
    </xf>
    <xf numFmtId="0" fontId="36" fillId="0" borderId="89" xfId="43" applyFont="1" applyBorder="1" applyAlignment="1">
      <alignment horizontal="center" vertical="top"/>
    </xf>
    <xf numFmtId="49" fontId="36" fillId="0" borderId="86" xfId="43" applyNumberFormat="1" applyFont="1" applyBorder="1" applyAlignment="1">
      <alignment horizontal="left" vertical="top" wrapText="1"/>
    </xf>
    <xf numFmtId="4" fontId="36" fillId="0" borderId="153" xfId="43" applyNumberFormat="1" applyFont="1" applyBorder="1" applyAlignment="1">
      <alignment vertical="top"/>
    </xf>
    <xf numFmtId="4" fontId="36" fillId="0" borderId="158" xfId="43" applyNumberFormat="1" applyFont="1" applyBorder="1" applyAlignment="1">
      <alignment vertical="top"/>
    </xf>
    <xf numFmtId="0" fontId="36" fillId="0" borderId="87" xfId="43" applyFont="1" applyBorder="1"/>
    <xf numFmtId="10" fontId="36" fillId="0" borderId="151" xfId="43" applyNumberFormat="1" applyFont="1" applyBorder="1" applyAlignment="1">
      <alignment vertical="top"/>
    </xf>
    <xf numFmtId="4" fontId="36" fillId="0" borderId="34" xfId="43" applyNumberFormat="1" applyFont="1" applyBorder="1" applyAlignment="1">
      <alignment vertical="top"/>
    </xf>
    <xf numFmtId="4" fontId="36" fillId="0" borderId="152" xfId="43" applyNumberFormat="1" applyFont="1" applyBorder="1" applyAlignment="1">
      <alignment vertical="top"/>
    </xf>
    <xf numFmtId="10" fontId="36" fillId="0" borderId="161" xfId="43" applyNumberFormat="1" applyFont="1" applyBorder="1" applyAlignment="1">
      <alignment vertical="top"/>
    </xf>
    <xf numFmtId="4" fontId="3" fillId="0" borderId="86" xfId="2" applyNumberFormat="1" applyFont="1" applyBorder="1" applyAlignment="1">
      <alignment horizontal="right" vertical="center"/>
    </xf>
    <xf numFmtId="4" fontId="3" fillId="0" borderId="87" xfId="2" applyNumberFormat="1" applyFont="1" applyBorder="1" applyAlignment="1">
      <alignment horizontal="right" vertical="center"/>
    </xf>
    <xf numFmtId="4" fontId="36" fillId="0" borderId="86" xfId="2" applyNumberFormat="1" applyFont="1" applyBorder="1" applyAlignment="1">
      <alignment horizontal="right" vertical="center"/>
    </xf>
    <xf numFmtId="4" fontId="2" fillId="0" borderId="47" xfId="2" applyNumberFormat="1" applyFont="1" applyBorder="1" applyAlignment="1">
      <alignment horizontal="right" vertical="center"/>
    </xf>
    <xf numFmtId="4" fontId="36" fillId="0" borderId="87" xfId="2" applyNumberFormat="1" applyFont="1" applyBorder="1" applyAlignment="1">
      <alignment horizontal="right" vertical="center"/>
    </xf>
    <xf numFmtId="4" fontId="2" fillId="0" borderId="25" xfId="2" applyNumberFormat="1" applyFont="1" applyBorder="1" applyAlignment="1">
      <alignment horizontal="right" vertical="center"/>
    </xf>
    <xf numFmtId="4" fontId="36" fillId="0" borderId="53" xfId="2" applyNumberFormat="1" applyFont="1" applyBorder="1" applyAlignment="1">
      <alignment horizontal="right" vertical="center"/>
    </xf>
    <xf numFmtId="4" fontId="2" fillId="0" borderId="49" xfId="2" applyNumberFormat="1" applyFont="1" applyBorder="1" applyAlignment="1">
      <alignment horizontal="right" vertical="center"/>
    </xf>
    <xf numFmtId="49" fontId="5" fillId="0" borderId="166" xfId="2" applyNumberFormat="1" applyFont="1" applyBorder="1" applyAlignment="1">
      <alignment horizontal="center" vertical="top" wrapText="1"/>
    </xf>
    <xf numFmtId="0" fontId="36" fillId="0" borderId="7" xfId="2" applyFont="1" applyBorder="1" applyAlignment="1">
      <alignment horizontal="left" vertical="top" wrapText="1"/>
    </xf>
    <xf numFmtId="49" fontId="2" fillId="0" borderId="7" xfId="2" applyNumberFormat="1" applyFont="1" applyBorder="1" applyAlignment="1">
      <alignment horizontal="center" vertical="center"/>
    </xf>
    <xf numFmtId="4" fontId="2" fillId="0" borderId="7" xfId="2" applyNumberFormat="1" applyFont="1" applyBorder="1" applyAlignment="1">
      <alignment horizontal="right" vertical="center"/>
    </xf>
    <xf numFmtId="4" fontId="2" fillId="0" borderId="24" xfId="2" applyNumberFormat="1" applyFont="1" applyBorder="1" applyAlignment="1">
      <alignment horizontal="right" vertical="center"/>
    </xf>
    <xf numFmtId="0" fontId="39" fillId="0" borderId="7" xfId="2" applyFont="1" applyBorder="1" applyAlignment="1">
      <alignment horizontal="left" vertical="top" wrapText="1"/>
    </xf>
    <xf numFmtId="4" fontId="24" fillId="0" borderId="165" xfId="2" applyNumberFormat="1" applyFont="1" applyBorder="1"/>
    <xf numFmtId="0" fontId="24" fillId="0" borderId="4" xfId="2" applyFont="1" applyBorder="1" applyAlignment="1">
      <alignment horizontal="left" vertical="center" wrapText="1"/>
    </xf>
    <xf numFmtId="0" fontId="24" fillId="0" borderId="5" xfId="2" applyFont="1" applyBorder="1" applyAlignment="1">
      <alignment horizontal="left" vertical="center" wrapText="1"/>
    </xf>
    <xf numFmtId="10" fontId="3" fillId="0" borderId="89" xfId="2" applyNumberFormat="1" applyFont="1" applyBorder="1" applyAlignment="1">
      <alignment horizontal="right" vertical="center"/>
    </xf>
    <xf numFmtId="10" fontId="36" fillId="0" borderId="89" xfId="2" applyNumberFormat="1" applyFont="1" applyBorder="1" applyAlignment="1">
      <alignment horizontal="right" vertical="center"/>
    </xf>
    <xf numFmtId="10" fontId="36" fillId="0" borderId="44" xfId="2" applyNumberFormat="1" applyFont="1" applyBorder="1" applyAlignment="1">
      <alignment horizontal="right" vertical="center"/>
    </xf>
    <xf numFmtId="10" fontId="3" fillId="0" borderId="49" xfId="2" applyNumberFormat="1" applyFont="1" applyBorder="1" applyAlignment="1">
      <alignment horizontal="right" vertical="center"/>
    </xf>
    <xf numFmtId="10" fontId="3" fillId="0" borderId="44" xfId="2" applyNumberFormat="1" applyFont="1" applyBorder="1" applyAlignment="1">
      <alignment horizontal="right" vertical="center"/>
    </xf>
    <xf numFmtId="10" fontId="2" fillId="0" borderId="44" xfId="2" applyNumberFormat="1" applyFont="1" applyBorder="1" applyAlignment="1">
      <alignment horizontal="right" vertical="center"/>
    </xf>
    <xf numFmtId="10" fontId="2" fillId="0" borderId="49" xfId="2" applyNumberFormat="1" applyFont="1" applyBorder="1" applyAlignment="1">
      <alignment horizontal="right" vertical="center"/>
    </xf>
    <xf numFmtId="10" fontId="2" fillId="0" borderId="106" xfId="2" applyNumberFormat="1" applyFont="1" applyBorder="1" applyAlignment="1">
      <alignment horizontal="right" vertical="center"/>
    </xf>
    <xf numFmtId="10" fontId="24" fillId="0" borderId="165" xfId="2" applyNumberFormat="1" applyFont="1" applyBorder="1"/>
    <xf numFmtId="49" fontId="3" fillId="0" borderId="33" xfId="2" applyNumberFormat="1" applyFont="1" applyBorder="1" applyAlignment="1">
      <alignment horizontal="left" vertical="top" wrapText="1"/>
    </xf>
    <xf numFmtId="49" fontId="3" fillId="0" borderId="33" xfId="2" applyNumberFormat="1" applyFont="1" applyBorder="1" applyAlignment="1">
      <alignment horizontal="center" vertical="center"/>
    </xf>
    <xf numFmtId="4" fontId="3" fillId="0" borderId="41" xfId="2" applyNumberFormat="1" applyFont="1" applyBorder="1" applyAlignment="1">
      <alignment horizontal="right" vertical="center"/>
    </xf>
    <xf numFmtId="10" fontId="3" fillId="0" borderId="10" xfId="2" applyNumberFormat="1" applyFont="1" applyBorder="1" applyAlignment="1">
      <alignment horizontal="right" vertical="center"/>
    </xf>
    <xf numFmtId="49" fontId="39" fillId="0" borderId="4" xfId="2" applyNumberFormat="1" applyFont="1" applyBorder="1" applyAlignment="1">
      <alignment horizontal="center"/>
    </xf>
    <xf numFmtId="10" fontId="39" fillId="0" borderId="4" xfId="2" applyNumberFormat="1" applyFont="1" applyBorder="1" applyAlignment="1">
      <alignment horizontal="center"/>
    </xf>
    <xf numFmtId="0" fontId="3" fillId="0" borderId="7" xfId="2" applyFont="1" applyBorder="1" applyAlignment="1">
      <alignment horizontal="left" vertical="top" wrapText="1"/>
    </xf>
    <xf numFmtId="49" fontId="5" fillId="0" borderId="100" xfId="2" applyNumberFormat="1" applyFont="1" applyBorder="1" applyAlignment="1">
      <alignment horizontal="center" vertical="top" wrapText="1"/>
    </xf>
    <xf numFmtId="0" fontId="36" fillId="0" borderId="8" xfId="2" applyFont="1" applyBorder="1" applyAlignment="1">
      <alignment horizontal="left" vertical="top" wrapText="1"/>
    </xf>
    <xf numFmtId="49" fontId="2" fillId="0" borderId="8" xfId="2" applyNumberFormat="1" applyFont="1" applyBorder="1" applyAlignment="1">
      <alignment horizontal="center" vertical="center"/>
    </xf>
    <xf numFmtId="0" fontId="39" fillId="0" borderId="89" xfId="2" applyFont="1" applyBorder="1" applyAlignment="1">
      <alignment horizontal="left" vertical="top" wrapText="1"/>
    </xf>
    <xf numFmtId="49" fontId="5" fillId="0" borderId="89" xfId="2" applyNumberFormat="1" applyFont="1" applyBorder="1" applyAlignment="1">
      <alignment horizontal="center" vertical="top" wrapText="1"/>
    </xf>
    <xf numFmtId="49" fontId="3" fillId="0" borderId="89" xfId="2" applyNumberFormat="1" applyFont="1" applyBorder="1" applyAlignment="1">
      <alignment horizontal="left" vertical="top" wrapText="1"/>
    </xf>
    <xf numFmtId="49" fontId="3" fillId="0" borderId="89" xfId="2" applyNumberFormat="1" applyFont="1" applyBorder="1" applyAlignment="1">
      <alignment horizontal="center" vertical="center"/>
    </xf>
    <xf numFmtId="0" fontId="28" fillId="0" borderId="44" xfId="2" applyFont="1" applyBorder="1" applyAlignment="1">
      <alignment horizontal="left" vertical="top" wrapText="1"/>
    </xf>
    <xf numFmtId="0" fontId="111" fillId="0" borderId="44" xfId="2" applyFont="1" applyBorder="1" applyAlignment="1">
      <alignment horizontal="left" vertical="top" wrapText="1"/>
    </xf>
    <xf numFmtId="49" fontId="112" fillId="0" borderId="4" xfId="2" applyNumberFormat="1" applyFont="1" applyBorder="1" applyAlignment="1">
      <alignment horizontal="right" vertical="center"/>
    </xf>
    <xf numFmtId="4" fontId="112" fillId="0" borderId="4" xfId="2" applyNumberFormat="1" applyFont="1" applyBorder="1" applyAlignment="1">
      <alignment horizontal="right" vertical="center"/>
    </xf>
    <xf numFmtId="10" fontId="112" fillId="0" borderId="4" xfId="2" applyNumberFormat="1" applyFont="1" applyBorder="1" applyAlignment="1">
      <alignment horizontal="right" vertical="center"/>
    </xf>
    <xf numFmtId="0" fontId="113" fillId="0" borderId="4" xfId="2" applyFont="1" applyBorder="1" applyAlignment="1">
      <alignment horizontal="center" vertical="top" wrapText="1"/>
    </xf>
    <xf numFmtId="49" fontId="112" fillId="0" borderId="44" xfId="2" applyNumberFormat="1" applyFont="1" applyBorder="1" applyAlignment="1">
      <alignment horizontal="right" vertical="center"/>
    </xf>
    <xf numFmtId="4" fontId="112" fillId="0" borderId="44" xfId="2" applyNumberFormat="1" applyFont="1" applyBorder="1" applyAlignment="1">
      <alignment horizontal="right" vertical="center"/>
    </xf>
    <xf numFmtId="4" fontId="112" fillId="0" borderId="47" xfId="2" applyNumberFormat="1" applyFont="1" applyBorder="1" applyAlignment="1">
      <alignment horizontal="right" vertical="center"/>
    </xf>
    <xf numFmtId="10" fontId="112" fillId="0" borderId="44" xfId="2" applyNumberFormat="1" applyFont="1" applyBorder="1" applyAlignment="1">
      <alignment horizontal="right" vertical="center"/>
    </xf>
    <xf numFmtId="0" fontId="113" fillId="0" borderId="44" xfId="2" applyFont="1" applyBorder="1" applyAlignment="1">
      <alignment horizontal="center" vertical="top" wrapText="1"/>
    </xf>
    <xf numFmtId="49" fontId="112" fillId="0" borderId="109" xfId="2" applyNumberFormat="1" applyFont="1" applyBorder="1" applyAlignment="1">
      <alignment horizontal="right" vertical="center"/>
    </xf>
    <xf numFmtId="4" fontId="112" fillId="0" borderId="109" xfId="2" applyNumberFormat="1" applyFont="1" applyBorder="1" applyAlignment="1">
      <alignment horizontal="right" vertical="center"/>
    </xf>
    <xf numFmtId="49" fontId="112" fillId="0" borderId="4" xfId="2" applyNumberFormat="1" applyFont="1" applyBorder="1" applyAlignment="1">
      <alignment horizontal="center" vertical="center"/>
    </xf>
    <xf numFmtId="0" fontId="111" fillId="0" borderId="49" xfId="2" applyFont="1" applyBorder="1" applyAlignment="1">
      <alignment horizontal="left" vertical="top" wrapText="1"/>
    </xf>
    <xf numFmtId="0" fontId="111" fillId="0" borderId="10" xfId="2" applyFont="1" applyBorder="1" applyAlignment="1">
      <alignment horizontal="left" vertical="top" wrapText="1"/>
    </xf>
    <xf numFmtId="0" fontId="2" fillId="0" borderId="49" xfId="2" applyFont="1" applyBorder="1" applyAlignment="1">
      <alignment horizontal="left" vertical="top" wrapText="1"/>
    </xf>
    <xf numFmtId="49" fontId="2" fillId="0" borderId="49" xfId="2" applyNumberFormat="1" applyFont="1" applyBorder="1" applyAlignment="1">
      <alignment horizontal="center" vertical="center"/>
    </xf>
    <xf numFmtId="4" fontId="2" fillId="0" borderId="50" xfId="2" applyNumberFormat="1" applyFont="1" applyBorder="1" applyAlignment="1">
      <alignment horizontal="right" vertical="center"/>
    </xf>
    <xf numFmtId="4" fontId="2" fillId="0" borderId="53" xfId="2" applyNumberFormat="1" applyFont="1" applyBorder="1" applyAlignment="1">
      <alignment horizontal="right" vertical="center"/>
    </xf>
    <xf numFmtId="49" fontId="2" fillId="0" borderId="44" xfId="2" applyNumberFormat="1" applyFont="1" applyBorder="1" applyAlignment="1">
      <alignment horizontal="left" vertical="top" wrapText="1"/>
    </xf>
    <xf numFmtId="4" fontId="2" fillId="0" borderId="52" xfId="2" applyNumberFormat="1" applyFont="1" applyBorder="1" applyAlignment="1">
      <alignment horizontal="right" vertical="center"/>
    </xf>
    <xf numFmtId="0" fontId="115" fillId="0" borderId="0" xfId="51" applyNumberFormat="1" applyFont="1" applyFill="1" applyBorder="1" applyAlignment="1" applyProtection="1">
      <alignment horizontal="left"/>
      <protection locked="0"/>
    </xf>
    <xf numFmtId="49" fontId="118" fillId="19" borderId="89" xfId="51" applyNumberFormat="1" applyFont="1" applyFill="1" applyBorder="1" applyAlignment="1" applyProtection="1">
      <alignment horizontal="center" vertical="center" wrapText="1"/>
      <protection locked="0"/>
    </xf>
    <xf numFmtId="49" fontId="118" fillId="20" borderId="29" xfId="51" applyNumberFormat="1" applyFont="1" applyFill="1" applyBorder="1" applyAlignment="1" applyProtection="1">
      <alignment horizontal="center" vertical="center" wrapText="1"/>
      <protection locked="0"/>
    </xf>
    <xf numFmtId="49" fontId="119" fillId="20" borderId="29" xfId="51" applyNumberFormat="1" applyFont="1" applyFill="1" applyBorder="1" applyAlignment="1" applyProtection="1">
      <alignment horizontal="left" vertical="center" wrapText="1"/>
      <protection locked="0"/>
    </xf>
    <xf numFmtId="49" fontId="119" fillId="19" borderId="89" xfId="51" applyNumberFormat="1" applyFont="1" applyFill="1" applyBorder="1" applyAlignment="1" applyProtection="1">
      <alignment horizontal="center" vertical="center" wrapText="1"/>
      <protection locked="0"/>
    </xf>
    <xf numFmtId="49" fontId="119" fillId="19" borderId="29" xfId="51" applyNumberFormat="1" applyFont="1" applyFill="1" applyBorder="1" applyAlignment="1" applyProtection="1">
      <alignment horizontal="center" vertical="center" wrapText="1"/>
      <protection locked="0"/>
    </xf>
    <xf numFmtId="49" fontId="119" fillId="19" borderId="29" xfId="51" applyNumberFormat="1" applyFont="1" applyFill="1" applyBorder="1" applyAlignment="1" applyProtection="1">
      <alignment horizontal="left" vertical="center" wrapText="1"/>
      <protection locked="0"/>
    </xf>
    <xf numFmtId="49" fontId="119" fillId="20" borderId="29" xfId="51" applyNumberFormat="1" applyFont="1" applyFill="1" applyBorder="1" applyAlignment="1" applyProtection="1">
      <alignment horizontal="center" vertical="center" wrapText="1"/>
      <protection locked="0"/>
    </xf>
    <xf numFmtId="0" fontId="30" fillId="0" borderId="5" xfId="51" applyNumberFormat="1" applyFont="1" applyFill="1" applyBorder="1" applyAlignment="1" applyProtection="1">
      <alignment horizontal="left" vertical="center"/>
      <protection locked="0"/>
    </xf>
    <xf numFmtId="0" fontId="115" fillId="0" borderId="0" xfId="51" applyNumberFormat="1" applyFont="1" applyFill="1" applyBorder="1" applyAlignment="1" applyProtection="1">
      <alignment horizontal="right"/>
      <protection locked="0"/>
    </xf>
    <xf numFmtId="4" fontId="122" fillId="0" borderId="4" xfId="51" applyNumberFormat="1" applyFont="1" applyFill="1" applyBorder="1" applyAlignment="1" applyProtection="1">
      <alignment horizontal="right" vertical="center"/>
      <protection locked="0"/>
    </xf>
    <xf numFmtId="4" fontId="122" fillId="0" borderId="0" xfId="51" applyNumberFormat="1" applyFont="1" applyFill="1" applyBorder="1" applyAlignment="1" applyProtection="1">
      <alignment horizontal="right" vertical="center"/>
      <protection locked="0"/>
    </xf>
    <xf numFmtId="0" fontId="30" fillId="0" borderId="0" xfId="51" applyNumberFormat="1" applyFont="1" applyFill="1" applyBorder="1" applyAlignment="1" applyProtection="1">
      <alignment horizontal="left"/>
      <protection locked="0"/>
    </xf>
    <xf numFmtId="0" fontId="31" fillId="0" borderId="171" xfId="51" applyNumberFormat="1" applyFont="1" applyFill="1" applyBorder="1" applyAlignment="1" applyProtection="1">
      <alignment horizontal="center"/>
      <protection locked="0"/>
    </xf>
    <xf numFmtId="49" fontId="119" fillId="20" borderId="39" xfId="51" applyNumberFormat="1" applyFont="1" applyFill="1" applyBorder="1" applyAlignment="1" applyProtection="1">
      <alignment horizontal="left" vertical="center" wrapText="1"/>
      <protection locked="0"/>
    </xf>
    <xf numFmtId="49" fontId="119" fillId="19" borderId="39" xfId="51" applyNumberFormat="1" applyFont="1" applyFill="1" applyBorder="1" applyAlignment="1" applyProtection="1">
      <alignment horizontal="left" vertical="center" wrapText="1"/>
      <protection locked="0"/>
    </xf>
    <xf numFmtId="4" fontId="122" fillId="20" borderId="62" xfId="51" applyNumberFormat="1" applyFont="1" applyFill="1" applyBorder="1" applyAlignment="1" applyProtection="1">
      <alignment horizontal="right" vertical="center" wrapText="1"/>
      <protection locked="0"/>
    </xf>
    <xf numFmtId="4" fontId="122" fillId="0" borderId="5" xfId="51" applyNumberFormat="1" applyFont="1" applyFill="1" applyBorder="1" applyAlignment="1" applyProtection="1">
      <alignment horizontal="right" vertical="center"/>
      <protection locked="0"/>
    </xf>
    <xf numFmtId="4" fontId="122" fillId="19" borderId="173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176" xfId="51" applyNumberFormat="1" applyFont="1" applyFill="1" applyBorder="1" applyAlignment="1" applyProtection="1">
      <alignment horizontal="right" vertical="center" wrapText="1"/>
      <protection locked="0"/>
    </xf>
    <xf numFmtId="4" fontId="122" fillId="19" borderId="176" xfId="51" applyNumberFormat="1" applyFont="1" applyFill="1" applyBorder="1" applyAlignment="1" applyProtection="1">
      <alignment horizontal="right" vertical="center" wrapText="1"/>
      <protection locked="0"/>
    </xf>
    <xf numFmtId="4" fontId="121" fillId="19" borderId="176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173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4" xfId="51" applyNumberFormat="1" applyFont="1" applyFill="1" applyBorder="1" applyAlignment="1" applyProtection="1">
      <alignment horizontal="right" vertical="center" wrapText="1"/>
      <protection locked="0"/>
    </xf>
    <xf numFmtId="4" fontId="122" fillId="19" borderId="4" xfId="51" applyNumberFormat="1" applyFont="1" applyFill="1" applyBorder="1" applyAlignment="1" applyProtection="1">
      <alignment horizontal="right" vertical="center" wrapText="1"/>
      <protection locked="0"/>
    </xf>
    <xf numFmtId="4" fontId="121" fillId="19" borderId="4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108" xfId="51" applyNumberFormat="1" applyFont="1" applyFill="1" applyBorder="1" applyAlignment="1" applyProtection="1">
      <alignment horizontal="right" vertical="center" wrapText="1"/>
      <protection locked="0"/>
    </xf>
    <xf numFmtId="4" fontId="122" fillId="0" borderId="54" xfId="51" applyNumberFormat="1" applyFont="1" applyFill="1" applyBorder="1" applyAlignment="1" applyProtection="1">
      <alignment horizontal="right" vertical="center"/>
      <protection locked="0"/>
    </xf>
    <xf numFmtId="10" fontId="122" fillId="20" borderId="4" xfId="51" applyNumberFormat="1" applyFont="1" applyFill="1" applyBorder="1" applyAlignment="1" applyProtection="1">
      <alignment horizontal="right" vertical="center" wrapText="1"/>
      <protection locked="0"/>
    </xf>
    <xf numFmtId="49" fontId="117" fillId="21" borderId="168" xfId="51" applyNumberFormat="1" applyFont="1" applyFill="1" applyBorder="1" applyAlignment="1" applyProtection="1">
      <alignment horizontal="center" vertical="center" wrapText="1"/>
      <protection locked="0"/>
    </xf>
    <xf numFmtId="49" fontId="117" fillId="21" borderId="169" xfId="51" applyNumberFormat="1" applyFont="1" applyFill="1" applyBorder="1" applyAlignment="1" applyProtection="1">
      <alignment horizontal="left" vertical="center" wrapText="1"/>
      <protection locked="0"/>
    </xf>
    <xf numFmtId="4" fontId="121" fillId="21" borderId="175" xfId="51" applyNumberFormat="1" applyFont="1" applyFill="1" applyBorder="1" applyAlignment="1" applyProtection="1">
      <alignment horizontal="right" vertical="center" wrapText="1"/>
      <protection locked="0"/>
    </xf>
    <xf numFmtId="4" fontId="121" fillId="21" borderId="4" xfId="51" applyNumberFormat="1" applyFont="1" applyFill="1" applyBorder="1" applyAlignment="1" applyProtection="1">
      <alignment horizontal="right" vertical="center" wrapText="1"/>
      <protection locked="0"/>
    </xf>
    <xf numFmtId="4" fontId="121" fillId="21" borderId="177" xfId="51" applyNumberFormat="1" applyFont="1" applyFill="1" applyBorder="1" applyAlignment="1" applyProtection="1">
      <alignment horizontal="right" vertical="center" wrapText="1"/>
      <protection locked="0"/>
    </xf>
    <xf numFmtId="4" fontId="121" fillId="21" borderId="170" xfId="51" applyNumberFormat="1" applyFont="1" applyFill="1" applyBorder="1" applyAlignment="1" applyProtection="1">
      <alignment horizontal="right" vertical="center" wrapText="1"/>
      <protection locked="0"/>
    </xf>
    <xf numFmtId="10" fontId="121" fillId="21" borderId="4" xfId="51" applyNumberFormat="1" applyFont="1" applyFill="1" applyBorder="1" applyAlignment="1" applyProtection="1">
      <alignment horizontal="right" vertical="center" wrapText="1"/>
      <protection locked="0"/>
    </xf>
    <xf numFmtId="49" fontId="117" fillId="21" borderId="29" xfId="51" applyNumberFormat="1" applyFont="1" applyFill="1" applyBorder="1" applyAlignment="1" applyProtection="1">
      <alignment horizontal="center" vertical="center" wrapText="1"/>
      <protection locked="0"/>
    </xf>
    <xf numFmtId="49" fontId="117" fillId="21" borderId="39" xfId="51" applyNumberFormat="1" applyFont="1" applyFill="1" applyBorder="1" applyAlignment="1" applyProtection="1">
      <alignment horizontal="left" vertical="center" wrapText="1"/>
      <protection locked="0"/>
    </xf>
    <xf numFmtId="4" fontId="121" fillId="21" borderId="176" xfId="51" applyNumberFormat="1" applyFont="1" applyFill="1" applyBorder="1" applyAlignment="1" applyProtection="1">
      <alignment horizontal="right" vertical="center" wrapText="1"/>
      <protection locked="0"/>
    </xf>
    <xf numFmtId="4" fontId="121" fillId="21" borderId="62" xfId="51" applyNumberFormat="1" applyFont="1" applyFill="1" applyBorder="1" applyAlignment="1" applyProtection="1">
      <alignment horizontal="right" vertical="center" wrapText="1"/>
      <protection locked="0"/>
    </xf>
    <xf numFmtId="0" fontId="6" fillId="0" borderId="4" xfId="51" applyNumberFormat="1" applyFont="1" applyFill="1" applyBorder="1" applyAlignment="1" applyProtection="1">
      <alignment horizontal="left" vertical="center" wrapText="1"/>
      <protection locked="0"/>
    </xf>
    <xf numFmtId="4" fontId="6" fillId="0" borderId="0" xfId="3" applyNumberFormat="1" applyAlignment="1"/>
    <xf numFmtId="0" fontId="115" fillId="0" borderId="0" xfId="51" applyNumberFormat="1" applyFont="1" applyFill="1" applyBorder="1" applyAlignment="1" applyProtection="1">
      <alignment horizontal="left"/>
      <protection locked="0"/>
    </xf>
    <xf numFmtId="49" fontId="119" fillId="20" borderId="29" xfId="51" applyNumberFormat="1" applyFont="1" applyFill="1" applyBorder="1" applyAlignment="1" applyProtection="1">
      <alignment horizontal="center" vertical="center" wrapText="1"/>
      <protection locked="0"/>
    </xf>
    <xf numFmtId="49" fontId="119" fillId="19" borderId="89" xfId="51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51" applyNumberFormat="1" applyFont="1" applyFill="1" applyBorder="1" applyAlignment="1" applyProtection="1">
      <alignment horizontal="center"/>
      <protection locked="0"/>
    </xf>
    <xf numFmtId="4" fontId="119" fillId="20" borderId="29" xfId="51" applyNumberFormat="1" applyFont="1" applyFill="1" applyBorder="1" applyAlignment="1" applyProtection="1">
      <alignment horizontal="right" vertical="center" wrapText="1"/>
      <protection locked="0"/>
    </xf>
    <xf numFmtId="4" fontId="119" fillId="19" borderId="29" xfId="51" applyNumberFormat="1" applyFont="1" applyFill="1" applyBorder="1" applyAlignment="1" applyProtection="1">
      <alignment horizontal="right" vertical="center" wrapText="1"/>
      <protection locked="0"/>
    </xf>
    <xf numFmtId="4" fontId="80" fillId="20" borderId="29" xfId="51" applyNumberFormat="1" applyFont="1" applyFill="1" applyBorder="1" applyAlignment="1" applyProtection="1">
      <alignment horizontal="right" vertical="center" wrapText="1"/>
      <protection locked="0"/>
    </xf>
    <xf numFmtId="4" fontId="80" fillId="20" borderId="39" xfId="51" applyNumberFormat="1" applyFont="1" applyFill="1" applyBorder="1" applyAlignment="1" applyProtection="1">
      <alignment horizontal="right" vertical="center" wrapText="1"/>
      <protection locked="0"/>
    </xf>
    <xf numFmtId="4" fontId="119" fillId="19" borderId="39" xfId="51" applyNumberFormat="1" applyFont="1" applyFill="1" applyBorder="1" applyAlignment="1" applyProtection="1">
      <alignment horizontal="right" vertical="center" wrapText="1"/>
      <protection locked="0"/>
    </xf>
    <xf numFmtId="4" fontId="80" fillId="20" borderId="4" xfId="51" applyNumberFormat="1" applyFont="1" applyFill="1" applyBorder="1" applyAlignment="1" applyProtection="1">
      <alignment horizontal="right" vertical="center" wrapText="1"/>
      <protection locked="0"/>
    </xf>
    <xf numFmtId="0" fontId="30" fillId="0" borderId="10" xfId="51" applyNumberFormat="1" applyFont="1" applyFill="1" applyBorder="1" applyAlignment="1" applyProtection="1">
      <alignment vertical="center" wrapText="1"/>
      <protection locked="0"/>
    </xf>
    <xf numFmtId="0" fontId="7" fillId="0" borderId="10" xfId="51" applyNumberFormat="1" applyFont="1" applyFill="1" applyBorder="1" applyAlignment="1" applyProtection="1">
      <alignment horizontal="left" vertical="center" wrapText="1"/>
      <protection locked="0"/>
    </xf>
    <xf numFmtId="49" fontId="80" fillId="19" borderId="29" xfId="51" quotePrefix="1" applyNumberFormat="1" applyFont="1" applyFill="1" applyBorder="1" applyAlignment="1" applyProtection="1">
      <alignment horizontal="center" vertical="center" wrapText="1"/>
      <protection locked="0"/>
    </xf>
    <xf numFmtId="49" fontId="80" fillId="19" borderId="29" xfId="51" applyNumberFormat="1" applyFont="1" applyFill="1" applyBorder="1" applyAlignment="1" applyProtection="1">
      <alignment horizontal="left" vertical="center" wrapText="1"/>
      <protection locked="0"/>
    </xf>
    <xf numFmtId="49" fontId="80" fillId="20" borderId="29" xfId="51" quotePrefix="1" applyNumberFormat="1" applyFont="1" applyFill="1" applyBorder="1" applyAlignment="1" applyProtection="1">
      <alignment horizontal="center" vertical="center" wrapText="1"/>
      <protection locked="0"/>
    </xf>
    <xf numFmtId="49" fontId="80" fillId="20" borderId="29" xfId="51" applyNumberFormat="1" applyFont="1" applyFill="1" applyBorder="1" applyAlignment="1" applyProtection="1">
      <alignment horizontal="left" vertical="center" wrapText="1"/>
      <protection locked="0"/>
    </xf>
    <xf numFmtId="49" fontId="80" fillId="19" borderId="29" xfId="51" applyNumberFormat="1" applyFont="1" applyFill="1" applyBorder="1" applyAlignment="1" applyProtection="1">
      <alignment horizontal="center" vertical="center" wrapText="1"/>
      <protection locked="0"/>
    </xf>
    <xf numFmtId="49" fontId="118" fillId="22" borderId="89" xfId="51" applyNumberFormat="1" applyFont="1" applyFill="1" applyBorder="1" applyAlignment="1" applyProtection="1">
      <alignment horizontal="center" vertical="center" wrapText="1"/>
      <protection locked="0"/>
    </xf>
    <xf numFmtId="49" fontId="119" fillId="22" borderId="89" xfId="51" applyNumberFormat="1" applyFont="1" applyFill="1" applyBorder="1" applyAlignment="1" applyProtection="1">
      <alignment horizontal="center" vertical="center" wrapText="1"/>
      <protection locked="0"/>
    </xf>
    <xf numFmtId="0" fontId="115" fillId="6" borderId="0" xfId="51" applyNumberFormat="1" applyFont="1" applyFill="1" applyBorder="1" applyAlignment="1" applyProtection="1">
      <alignment horizontal="left"/>
      <protection locked="0"/>
    </xf>
    <xf numFmtId="49" fontId="122" fillId="22" borderId="29" xfId="51" quotePrefix="1" applyNumberFormat="1" applyFont="1" applyFill="1" applyBorder="1" applyAlignment="1" applyProtection="1">
      <alignment horizontal="center" vertical="center" wrapText="1"/>
      <protection locked="0"/>
    </xf>
    <xf numFmtId="49" fontId="122" fillId="22" borderId="29" xfId="51" applyNumberFormat="1" applyFont="1" applyFill="1" applyBorder="1" applyAlignment="1" applyProtection="1">
      <alignment horizontal="left" vertical="center" wrapText="1"/>
      <protection locked="0"/>
    </xf>
    <xf numFmtId="4" fontId="122" fillId="22" borderId="29" xfId="51" applyNumberFormat="1" applyFont="1" applyFill="1" applyBorder="1" applyAlignment="1" applyProtection="1">
      <alignment horizontal="right" vertical="center" wrapText="1"/>
      <protection locked="0"/>
    </xf>
    <xf numFmtId="4" fontId="122" fillId="22" borderId="39" xfId="51" applyNumberFormat="1" applyFont="1" applyFill="1" applyBorder="1" applyAlignment="1" applyProtection="1">
      <alignment horizontal="right" vertical="center" wrapText="1"/>
      <protection locked="0"/>
    </xf>
    <xf numFmtId="49" fontId="80" fillId="20" borderId="29" xfId="51" applyNumberFormat="1" applyFont="1" applyFill="1" applyBorder="1" applyAlignment="1" applyProtection="1">
      <alignment horizontal="center" vertical="center" wrapText="1"/>
      <protection locked="0"/>
    </xf>
    <xf numFmtId="4" fontId="69" fillId="0" borderId="8" xfId="30" applyNumberFormat="1" applyFont="1" applyBorder="1" applyAlignment="1">
      <alignment vertical="center"/>
    </xf>
    <xf numFmtId="4" fontId="69" fillId="0" borderId="8" xfId="47" applyNumberFormat="1" applyFont="1" applyBorder="1" applyAlignment="1">
      <alignment vertical="center"/>
    </xf>
    <xf numFmtId="10" fontId="69" fillId="0" borderId="8" xfId="30" applyNumberFormat="1" applyFont="1" applyBorder="1" applyAlignment="1">
      <alignment vertical="center"/>
    </xf>
    <xf numFmtId="10" fontId="69" fillId="0" borderId="9" xfId="30" applyNumberFormat="1" applyFont="1" applyBorder="1" applyAlignment="1">
      <alignment vertical="center"/>
    </xf>
    <xf numFmtId="4" fontId="69" fillId="0" borderId="10" xfId="30" applyNumberFormat="1" applyFont="1" applyBorder="1" applyAlignment="1">
      <alignment vertical="center"/>
    </xf>
    <xf numFmtId="10" fontId="69" fillId="0" borderId="8" xfId="47" applyNumberFormat="1" applyFont="1" applyBorder="1" applyAlignment="1">
      <alignment vertical="center"/>
    </xf>
    <xf numFmtId="4" fontId="81" fillId="0" borderId="10" xfId="30" applyNumberFormat="1" applyFont="1" applyBorder="1" applyAlignment="1">
      <alignment vertical="center"/>
    </xf>
    <xf numFmtId="4" fontId="81" fillId="0" borderId="4" xfId="30" applyNumberFormat="1" applyFont="1" applyBorder="1"/>
    <xf numFmtId="4" fontId="88" fillId="14" borderId="39" xfId="30" applyNumberFormat="1" applyFont="1" applyFill="1" applyBorder="1" applyAlignment="1" applyProtection="1">
      <alignment horizontal="right" vertical="center" wrapText="1"/>
      <protection locked="0"/>
    </xf>
    <xf numFmtId="4" fontId="86" fillId="14" borderId="39" xfId="30" applyNumberFormat="1" applyFont="1" applyFill="1" applyBorder="1" applyAlignment="1" applyProtection="1">
      <alignment horizontal="right" vertical="center" wrapText="1"/>
      <protection locked="0"/>
    </xf>
    <xf numFmtId="4" fontId="29" fillId="0" borderId="8" xfId="47" applyNumberFormat="1" applyFont="1" applyBorder="1" applyAlignment="1">
      <alignment vertical="center"/>
    </xf>
    <xf numFmtId="4" fontId="52" fillId="0" borderId="8" xfId="47" applyNumberFormat="1" applyFont="1" applyBorder="1" applyAlignment="1">
      <alignment vertical="center"/>
    </xf>
    <xf numFmtId="4" fontId="69" fillId="0" borderId="8" xfId="47" applyNumberFormat="1" applyFont="1" applyBorder="1" applyAlignment="1">
      <alignment vertical="center" wrapText="1"/>
    </xf>
    <xf numFmtId="4" fontId="69" fillId="0" borderId="10" xfId="47" applyNumberFormat="1" applyFont="1" applyBorder="1" applyAlignment="1">
      <alignment vertical="center"/>
    </xf>
    <xf numFmtId="4" fontId="29" fillId="0" borderId="8" xfId="30" applyNumberFormat="1" applyFont="1" applyBorder="1" applyAlignment="1">
      <alignment vertical="center"/>
    </xf>
    <xf numFmtId="4" fontId="29" fillId="0" borderId="4" xfId="30" applyNumberFormat="1" applyFont="1" applyBorder="1"/>
    <xf numFmtId="4" fontId="29" fillId="0" borderId="4" xfId="30" applyNumberFormat="1" applyFont="1" applyBorder="1" applyAlignment="1">
      <alignment vertical="center"/>
    </xf>
    <xf numFmtId="4" fontId="82" fillId="14" borderId="108" xfId="30" applyNumberFormat="1" applyFont="1" applyFill="1" applyBorder="1" applyAlignment="1" applyProtection="1">
      <alignment horizontal="right" vertical="center" wrapText="1"/>
      <protection locked="0"/>
    </xf>
    <xf numFmtId="4" fontId="95" fillId="0" borderId="4" xfId="30" applyNumberFormat="1" applyFont="1" applyBorder="1" applyAlignment="1">
      <alignment vertical="center"/>
    </xf>
    <xf numFmtId="10" fontId="69" fillId="0" borderId="10" xfId="30" applyNumberFormat="1" applyFont="1" applyBorder="1" applyAlignment="1">
      <alignment vertical="center"/>
    </xf>
    <xf numFmtId="4" fontId="29" fillId="0" borderId="10" xfId="30" applyNumberFormat="1" applyFont="1" applyBorder="1" applyAlignment="1">
      <alignment vertical="center"/>
    </xf>
    <xf numFmtId="4" fontId="102" fillId="0" borderId="8" xfId="47" applyNumberFormat="1" applyFont="1" applyBorder="1" applyAlignment="1">
      <alignment vertical="center"/>
    </xf>
    <xf numFmtId="172" fontId="94" fillId="0" borderId="4" xfId="30" applyNumberFormat="1" applyFont="1" applyBorder="1" applyAlignment="1">
      <alignment vertical="center"/>
    </xf>
    <xf numFmtId="4" fontId="69" fillId="0" borderId="8" xfId="30" applyNumberFormat="1" applyFont="1" applyBorder="1" applyAlignment="1">
      <alignment vertical="center" wrapText="1"/>
    </xf>
    <xf numFmtId="4" fontId="69" fillId="0" borderId="10" xfId="30" applyNumberFormat="1" applyFont="1" applyBorder="1" applyAlignment="1">
      <alignment vertical="center" wrapText="1"/>
    </xf>
    <xf numFmtId="0" fontId="76" fillId="0" borderId="4" xfId="47" applyFont="1" applyBorder="1" applyAlignment="1">
      <alignment horizontal="center" vertical="center" wrapText="1"/>
    </xf>
    <xf numFmtId="10" fontId="69" fillId="0" borderId="178" xfId="30" applyNumberFormat="1" applyFont="1" applyBorder="1" applyAlignment="1">
      <alignment vertical="center"/>
    </xf>
    <xf numFmtId="10" fontId="103" fillId="7" borderId="4" xfId="49" applyNumberFormat="1" applyFont="1" applyFill="1" applyBorder="1" applyAlignment="1">
      <alignment horizontal="right" vertical="top"/>
    </xf>
    <xf numFmtId="10" fontId="18" fillId="3" borderId="4" xfId="49" applyNumberFormat="1" applyFont="1" applyFill="1" applyBorder="1" applyAlignment="1">
      <alignment horizontal="right" vertical="top" wrapText="1"/>
    </xf>
    <xf numFmtId="10" fontId="2" fillId="0" borderId="4" xfId="49" applyNumberFormat="1" applyBorder="1"/>
    <xf numFmtId="10" fontId="104" fillId="0" borderId="10" xfId="49" applyNumberFormat="1" applyFont="1" applyBorder="1" applyAlignment="1">
      <alignment horizontal="right"/>
    </xf>
    <xf numFmtId="10" fontId="5" fillId="7" borderId="5" xfId="49" applyNumberFormat="1" applyFont="1" applyFill="1" applyBorder="1" applyAlignment="1">
      <alignment horizontal="right" vertical="top"/>
    </xf>
    <xf numFmtId="10" fontId="18" fillId="3" borderId="5" xfId="49" applyNumberFormat="1" applyFont="1" applyFill="1" applyBorder="1" applyAlignment="1">
      <alignment horizontal="right" vertical="top"/>
    </xf>
    <xf numFmtId="10" fontId="18" fillId="0" borderId="4" xfId="49" applyNumberFormat="1" applyFont="1" applyBorder="1" applyAlignment="1">
      <alignment vertical="top"/>
    </xf>
    <xf numFmtId="10" fontId="104" fillId="0" borderId="110" xfId="49" applyNumberFormat="1" applyFont="1" applyBorder="1" applyAlignment="1">
      <alignment horizontal="right"/>
    </xf>
    <xf numFmtId="0" fontId="35" fillId="0" borderId="0" xfId="49" applyFont="1" applyBorder="1" applyAlignment="1">
      <alignment horizontal="left" vertical="center" wrapText="1"/>
    </xf>
    <xf numFmtId="0" fontId="62" fillId="0" borderId="0" xfId="49" applyFont="1" applyBorder="1" applyAlignment="1">
      <alignment horizontal="left" vertical="center"/>
    </xf>
    <xf numFmtId="0" fontId="35" fillId="0" borderId="0" xfId="49" applyFont="1" applyBorder="1" applyAlignment="1">
      <alignment horizontal="center" vertical="center" wrapText="1"/>
    </xf>
    <xf numFmtId="0" fontId="18" fillId="0" borderId="0" xfId="49" applyFont="1" applyBorder="1" applyAlignment="1">
      <alignment horizontal="left"/>
    </xf>
    <xf numFmtId="4" fontId="18" fillId="0" borderId="0" xfId="49" applyNumberFormat="1" applyFont="1" applyBorder="1" applyAlignment="1">
      <alignment horizontal="right"/>
    </xf>
    <xf numFmtId="0" fontId="18" fillId="0" borderId="0" xfId="49" applyFont="1" applyBorder="1"/>
    <xf numFmtId="4" fontId="103" fillId="0" borderId="0" xfId="49" applyNumberFormat="1" applyFont="1" applyBorder="1" applyAlignment="1">
      <alignment horizontal="right"/>
    </xf>
    <xf numFmtId="0" fontId="125" fillId="0" borderId="0" xfId="49" applyFont="1" applyBorder="1" applyAlignment="1">
      <alignment horizontal="center" vertical="center" wrapText="1"/>
    </xf>
    <xf numFmtId="4" fontId="28" fillId="0" borderId="0" xfId="49" applyNumberFormat="1" applyFont="1"/>
    <xf numFmtId="4" fontId="128" fillId="0" borderId="0" xfId="49" applyNumberFormat="1" applyFont="1"/>
    <xf numFmtId="4" fontId="2" fillId="0" borderId="0" xfId="49" applyNumberFormat="1"/>
    <xf numFmtId="0" fontId="2" fillId="0" borderId="0" xfId="49" applyAlignment="1">
      <alignment horizontal="left" vertical="top"/>
    </xf>
    <xf numFmtId="4" fontId="2" fillId="0" borderId="0" xfId="49" applyNumberFormat="1" applyBorder="1"/>
    <xf numFmtId="0" fontId="2" fillId="0" borderId="0" xfId="49" applyAlignment="1">
      <alignment vertical="top"/>
    </xf>
    <xf numFmtId="0" fontId="2" fillId="0" borderId="87" xfId="49" applyBorder="1" applyAlignment="1">
      <alignment horizontal="center" vertical="center" wrapText="1"/>
    </xf>
    <xf numFmtId="0" fontId="28" fillId="0" borderId="0" xfId="49" applyFont="1" applyBorder="1" applyAlignment="1">
      <alignment vertical="center" wrapText="1"/>
    </xf>
    <xf numFmtId="4" fontId="127" fillId="0" borderId="87" xfId="49" applyNumberFormat="1" applyFont="1" applyBorder="1" applyAlignment="1">
      <alignment horizontal="right" vertical="top" wrapText="1"/>
    </xf>
    <xf numFmtId="4" fontId="127" fillId="0" borderId="0" xfId="49" applyNumberFormat="1" applyFont="1" applyBorder="1" applyAlignment="1">
      <alignment horizontal="right" vertical="top" wrapText="1"/>
    </xf>
    <xf numFmtId="4" fontId="43" fillId="0" borderId="87" xfId="49" applyNumberFormat="1" applyFont="1" applyBorder="1"/>
    <xf numFmtId="4" fontId="43" fillId="0" borderId="0" xfId="49" applyNumberFormat="1" applyFont="1" applyBorder="1"/>
    <xf numFmtId="4" fontId="131" fillId="0" borderId="87" xfId="49" applyNumberFormat="1" applyFont="1" applyBorder="1" applyAlignment="1">
      <alignment horizontal="right" vertical="top" wrapText="1"/>
    </xf>
    <xf numFmtId="4" fontId="131" fillId="0" borderId="0" xfId="49" applyNumberFormat="1" applyFont="1" applyBorder="1" applyAlignment="1">
      <alignment horizontal="right" vertical="top" wrapText="1"/>
    </xf>
    <xf numFmtId="4" fontId="2" fillId="0" borderId="87" xfId="49" applyNumberFormat="1" applyBorder="1"/>
    <xf numFmtId="4" fontId="130" fillId="0" borderId="0" xfId="49" applyNumberFormat="1" applyFont="1" applyBorder="1"/>
    <xf numFmtId="0" fontId="43" fillId="0" borderId="0" xfId="49" applyFont="1" applyBorder="1"/>
    <xf numFmtId="4" fontId="126" fillId="0" borderId="87" xfId="49" applyNumberFormat="1" applyFont="1" applyBorder="1"/>
    <xf numFmtId="4" fontId="126" fillId="0" borderId="0" xfId="49" applyNumberFormat="1" applyFont="1" applyBorder="1"/>
    <xf numFmtId="4" fontId="129" fillId="0" borderId="0" xfId="49" applyNumberFormat="1" applyFont="1" applyBorder="1"/>
    <xf numFmtId="4" fontId="127" fillId="0" borderId="0" xfId="49" applyNumberFormat="1" applyFont="1" applyBorder="1"/>
    <xf numFmtId="4" fontId="126" fillId="0" borderId="87" xfId="49" applyNumberFormat="1" applyFont="1" applyBorder="1" applyAlignment="1">
      <alignment vertical="top"/>
    </xf>
    <xf numFmtId="4" fontId="126" fillId="0" borderId="0" xfId="49" applyNumberFormat="1" applyFont="1" applyBorder="1" applyAlignment="1">
      <alignment vertical="top"/>
    </xf>
    <xf numFmtId="4" fontId="127" fillId="6" borderId="87" xfId="49" applyNumberFormat="1" applyFont="1" applyFill="1" applyBorder="1" applyAlignment="1">
      <alignment horizontal="right" vertical="top" wrapText="1"/>
    </xf>
    <xf numFmtId="4" fontId="127" fillId="6" borderId="0" xfId="49" applyNumberFormat="1" applyFont="1" applyFill="1" applyBorder="1" applyAlignment="1">
      <alignment horizontal="right" vertical="top" wrapText="1"/>
    </xf>
    <xf numFmtId="0" fontId="2" fillId="0" borderId="0" xfId="49" applyFont="1"/>
    <xf numFmtId="4" fontId="63" fillId="0" borderId="7" xfId="49" applyNumberFormat="1" applyFont="1" applyBorder="1" applyAlignment="1">
      <alignment horizontal="right" vertical="top" wrapText="1"/>
    </xf>
    <xf numFmtId="0" fontId="2" fillId="0" borderId="0" xfId="49" applyAlignment="1">
      <alignment horizontal="center"/>
    </xf>
    <xf numFmtId="0" fontId="5" fillId="0" borderId="0" xfId="49" applyFont="1" applyAlignment="1">
      <alignment horizontal="right" vertical="top"/>
    </xf>
    <xf numFmtId="4" fontId="127" fillId="0" borderId="87" xfId="49" applyNumberFormat="1" applyFont="1" applyBorder="1" applyAlignment="1">
      <alignment vertical="top" wrapText="1"/>
    </xf>
    <xf numFmtId="4" fontId="127" fillId="0" borderId="0" xfId="49" applyNumberFormat="1" applyFont="1" applyBorder="1" applyAlignment="1">
      <alignment vertical="top" wrapText="1"/>
    </xf>
    <xf numFmtId="4" fontId="126" fillId="6" borderId="87" xfId="49" applyNumberFormat="1" applyFont="1" applyFill="1" applyBorder="1" applyAlignment="1">
      <alignment vertical="top" wrapText="1"/>
    </xf>
    <xf numFmtId="4" fontId="126" fillId="6" borderId="0" xfId="49" applyNumberFormat="1" applyFont="1" applyFill="1" applyBorder="1" applyAlignment="1">
      <alignment vertical="top" wrapText="1"/>
    </xf>
    <xf numFmtId="0" fontId="62" fillId="0" borderId="4" xfId="49" applyFont="1" applyBorder="1" applyAlignment="1">
      <alignment horizontal="left" vertical="center" wrapText="1"/>
    </xf>
    <xf numFmtId="0" fontId="19" fillId="0" borderId="4" xfId="49" applyFont="1" applyBorder="1"/>
    <xf numFmtId="0" fontId="19" fillId="0" borderId="25" xfId="49" applyFont="1" applyBorder="1"/>
    <xf numFmtId="0" fontId="19" fillId="0" borderId="5" xfId="49" applyFont="1" applyBorder="1"/>
    <xf numFmtId="0" fontId="19" fillId="0" borderId="5" xfId="49" applyFont="1" applyBorder="1" applyAlignment="1">
      <alignment vertical="center" wrapText="1"/>
    </xf>
    <xf numFmtId="0" fontId="56" fillId="0" borderId="4" xfId="49" applyFont="1" applyBorder="1" applyAlignment="1">
      <alignment horizontal="center" vertical="center" wrapText="1"/>
    </xf>
    <xf numFmtId="0" fontId="133" fillId="0" borderId="4" xfId="49" applyFont="1" applyBorder="1" applyAlignment="1">
      <alignment horizontal="center" vertical="center" wrapText="1"/>
    </xf>
    <xf numFmtId="0" fontId="4" fillId="0" borderId="4" xfId="49" applyFont="1" applyBorder="1" applyAlignment="1">
      <alignment vertical="top" wrapText="1"/>
    </xf>
    <xf numFmtId="4" fontId="19" fillId="0" borderId="25" xfId="49" applyNumberFormat="1" applyFont="1" applyBorder="1" applyAlignment="1">
      <alignment vertical="top" wrapText="1"/>
    </xf>
    <xf numFmtId="0" fontId="19" fillId="0" borderId="4" xfId="49" applyFont="1" applyBorder="1" applyAlignment="1">
      <alignment vertical="top" wrapText="1"/>
    </xf>
    <xf numFmtId="0" fontId="52" fillId="7" borderId="115" xfId="49" applyFont="1" applyFill="1" applyBorder="1" applyAlignment="1">
      <alignment horizontal="left" vertical="top"/>
    </xf>
    <xf numFmtId="0" fontId="52" fillId="7" borderId="53" xfId="49" applyFont="1" applyFill="1" applyBorder="1" applyAlignment="1">
      <alignment horizontal="left" vertical="top"/>
    </xf>
    <xf numFmtId="0" fontId="52" fillId="7" borderId="6" xfId="49" applyFont="1" applyFill="1" applyBorder="1" applyAlignment="1">
      <alignment horizontal="left" vertical="top"/>
    </xf>
    <xf numFmtId="0" fontId="52" fillId="7" borderId="10" xfId="49" applyFont="1" applyFill="1" applyBorder="1" applyAlignment="1">
      <alignment horizontal="left" vertical="top" wrapText="1"/>
    </xf>
    <xf numFmtId="4" fontId="52" fillId="7" borderId="10" xfId="49" applyNumberFormat="1" applyFont="1" applyFill="1" applyBorder="1" applyAlignment="1">
      <alignment horizontal="right" vertical="top"/>
    </xf>
    <xf numFmtId="4" fontId="52" fillId="7" borderId="53" xfId="49" applyNumberFormat="1" applyFont="1" applyFill="1" applyBorder="1" applyAlignment="1">
      <alignment horizontal="right" vertical="top"/>
    </xf>
    <xf numFmtId="4" fontId="52" fillId="7" borderId="122" xfId="49" applyNumberFormat="1" applyFont="1" applyFill="1" applyBorder="1" applyAlignment="1">
      <alignment horizontal="right" vertical="top"/>
    </xf>
    <xf numFmtId="4" fontId="134" fillId="7" borderId="6" xfId="49" applyNumberFormat="1" applyFont="1" applyFill="1" applyBorder="1" applyAlignment="1">
      <alignment horizontal="right" vertical="top"/>
    </xf>
    <xf numFmtId="10" fontId="52" fillId="7" borderId="10" xfId="49" applyNumberFormat="1" applyFont="1" applyFill="1" applyBorder="1" applyAlignment="1">
      <alignment horizontal="right" vertical="top"/>
    </xf>
    <xf numFmtId="0" fontId="19" fillId="0" borderId="179" xfId="49" applyFont="1" applyBorder="1"/>
    <xf numFmtId="0" fontId="57" fillId="3" borderId="4" xfId="49" applyFont="1" applyFill="1" applyBorder="1" applyAlignment="1">
      <alignment horizontal="left" vertical="top"/>
    </xf>
    <xf numFmtId="0" fontId="57" fillId="3" borderId="4" xfId="49" applyFont="1" applyFill="1" applyBorder="1" applyAlignment="1">
      <alignment horizontal="left" vertical="top" wrapText="1"/>
    </xf>
    <xf numFmtId="4" fontId="57" fillId="3" borderId="4" xfId="49" applyNumberFormat="1" applyFont="1" applyFill="1" applyBorder="1" applyAlignment="1">
      <alignment horizontal="right" vertical="top" wrapText="1"/>
    </xf>
    <xf numFmtId="4" fontId="57" fillId="3" borderId="25" xfId="49" applyNumberFormat="1" applyFont="1" applyFill="1" applyBorder="1" applyAlignment="1">
      <alignment horizontal="right" vertical="top" wrapText="1"/>
    </xf>
    <xf numFmtId="4" fontId="57" fillId="3" borderId="125" xfId="49" applyNumberFormat="1" applyFont="1" applyFill="1" applyBorder="1" applyAlignment="1">
      <alignment horizontal="right" vertical="top" wrapText="1"/>
    </xf>
    <xf numFmtId="4" fontId="135" fillId="3" borderId="5" xfId="49" applyNumberFormat="1" applyFont="1" applyFill="1" applyBorder="1" applyAlignment="1">
      <alignment horizontal="right" vertical="top" wrapText="1"/>
    </xf>
    <xf numFmtId="10" fontId="57" fillId="3" borderId="4" xfId="49" applyNumberFormat="1" applyFont="1" applyFill="1" applyBorder="1" applyAlignment="1">
      <alignment horizontal="right" vertical="top" wrapText="1"/>
    </xf>
    <xf numFmtId="0" fontId="19" fillId="0" borderId="117" xfId="49" applyFont="1" applyBorder="1"/>
    <xf numFmtId="0" fontId="19" fillId="0" borderId="0" xfId="49" applyFont="1" applyBorder="1" applyAlignment="1">
      <alignment horizontal="left"/>
    </xf>
    <xf numFmtId="0" fontId="19" fillId="0" borderId="111" xfId="49" applyFont="1" applyBorder="1"/>
    <xf numFmtId="0" fontId="19" fillId="0" borderId="15" xfId="49" applyFont="1" applyBorder="1" applyAlignment="1">
      <alignment horizontal="left"/>
    </xf>
    <xf numFmtId="0" fontId="57" fillId="0" borderId="15" xfId="49" quotePrefix="1" applyFont="1" applyBorder="1" applyAlignment="1">
      <alignment horizontal="left"/>
    </xf>
    <xf numFmtId="0" fontId="70" fillId="0" borderId="15" xfId="49" applyFont="1" applyBorder="1" applyAlignment="1">
      <alignment horizontal="right"/>
    </xf>
    <xf numFmtId="4" fontId="52" fillId="0" borderId="15" xfId="49" applyNumberFormat="1" applyFont="1" applyBorder="1" applyAlignment="1">
      <alignment horizontal="right"/>
    </xf>
    <xf numFmtId="4" fontId="52" fillId="0" borderId="17" xfId="49" applyNumberFormat="1" applyFont="1" applyBorder="1" applyAlignment="1">
      <alignment horizontal="right"/>
    </xf>
    <xf numFmtId="4" fontId="52" fillId="0" borderId="119" xfId="49" applyNumberFormat="1" applyFont="1" applyBorder="1" applyAlignment="1">
      <alignment horizontal="right"/>
    </xf>
    <xf numFmtId="4" fontId="134" fillId="0" borderId="19" xfId="49" applyNumberFormat="1" applyFont="1" applyBorder="1" applyAlignment="1">
      <alignment horizontal="right"/>
    </xf>
    <xf numFmtId="10" fontId="52" fillId="0" borderId="15" xfId="49" applyNumberFormat="1" applyFont="1" applyBorder="1" applyAlignment="1">
      <alignment horizontal="right"/>
    </xf>
    <xf numFmtId="0" fontId="76" fillId="0" borderId="111" xfId="49" applyFont="1" applyBorder="1" applyAlignment="1">
      <alignment horizontal="left" vertical="center"/>
    </xf>
    <xf numFmtId="0" fontId="76" fillId="0" borderId="15" xfId="49" applyFont="1" applyBorder="1" applyAlignment="1">
      <alignment vertical="center"/>
    </xf>
    <xf numFmtId="0" fontId="56" fillId="0" borderId="15" xfId="49" applyFont="1" applyBorder="1" applyAlignment="1">
      <alignment horizontal="center" vertical="center"/>
    </xf>
    <xf numFmtId="0" fontId="56" fillId="0" borderId="15" xfId="49" applyFont="1" applyBorder="1" applyAlignment="1">
      <alignment horizontal="center" vertical="center" wrapText="1"/>
    </xf>
    <xf numFmtId="0" fontId="56" fillId="0" borderId="18" xfId="49" applyFont="1" applyBorder="1" applyAlignment="1">
      <alignment horizontal="center" vertical="center" wrapText="1"/>
    </xf>
    <xf numFmtId="0" fontId="133" fillId="0" borderId="119" xfId="49" applyFont="1" applyBorder="1" applyAlignment="1">
      <alignment horizontal="center" vertical="center" wrapText="1"/>
    </xf>
    <xf numFmtId="0" fontId="76" fillId="0" borderId="180" xfId="49" applyFont="1" applyBorder="1" applyAlignment="1">
      <alignment vertical="center" wrapText="1"/>
    </xf>
    <xf numFmtId="0" fontId="132" fillId="0" borderId="180" xfId="49" applyFont="1" applyBorder="1" applyAlignment="1">
      <alignment vertical="top" wrapText="1"/>
    </xf>
    <xf numFmtId="0" fontId="52" fillId="0" borderId="119" xfId="49" applyFont="1" applyBorder="1" applyAlignment="1">
      <alignment horizontal="center" vertical="center" wrapText="1"/>
    </xf>
    <xf numFmtId="0" fontId="19" fillId="0" borderId="0" xfId="49" applyFont="1"/>
    <xf numFmtId="0" fontId="132" fillId="0" borderId="17" xfId="49" applyFont="1" applyBorder="1" applyAlignment="1">
      <alignment horizontal="center" vertical="center" wrapText="1"/>
    </xf>
    <xf numFmtId="0" fontId="29" fillId="0" borderId="15" xfId="49" applyFont="1" applyBorder="1" applyAlignment="1">
      <alignment vertical="center" wrapText="1"/>
    </xf>
    <xf numFmtId="0" fontId="52" fillId="7" borderId="118" xfId="49" applyFont="1" applyFill="1" applyBorder="1" applyAlignment="1">
      <alignment horizontal="left" vertical="top"/>
    </xf>
    <xf numFmtId="0" fontId="52" fillId="7" borderId="20" xfId="49" applyFont="1" applyFill="1" applyBorder="1" applyAlignment="1">
      <alignment horizontal="left" vertical="top"/>
    </xf>
    <xf numFmtId="0" fontId="52" fillId="7" borderId="5" xfId="49" applyFont="1" applyFill="1" applyBorder="1" applyAlignment="1">
      <alignment horizontal="left" vertical="top"/>
    </xf>
    <xf numFmtId="0" fontId="52" fillId="7" borderId="4" xfId="49" applyFont="1" applyFill="1" applyBorder="1" applyAlignment="1">
      <alignment horizontal="left" vertical="top" wrapText="1"/>
    </xf>
    <xf numFmtId="4" fontId="52" fillId="7" borderId="4" xfId="49" applyNumberFormat="1" applyFont="1" applyFill="1" applyBorder="1" applyAlignment="1">
      <alignment horizontal="right" vertical="top" wrapText="1"/>
    </xf>
    <xf numFmtId="4" fontId="52" fillId="7" borderId="25" xfId="49" applyNumberFormat="1" applyFont="1" applyFill="1" applyBorder="1" applyAlignment="1">
      <alignment horizontal="right" vertical="top" wrapText="1"/>
    </xf>
    <xf numFmtId="4" fontId="52" fillId="7" borderId="122" xfId="49" applyNumberFormat="1" applyFont="1" applyFill="1" applyBorder="1" applyAlignment="1">
      <alignment horizontal="right" vertical="top" wrapText="1"/>
    </xf>
    <xf numFmtId="4" fontId="134" fillId="7" borderId="122" xfId="49" applyNumberFormat="1" applyFont="1" applyFill="1" applyBorder="1" applyAlignment="1">
      <alignment horizontal="right" vertical="top" wrapText="1"/>
    </xf>
    <xf numFmtId="10" fontId="52" fillId="7" borderId="182" xfId="49" applyNumberFormat="1" applyFont="1" applyFill="1" applyBorder="1" applyAlignment="1">
      <alignment horizontal="right" vertical="top" wrapText="1"/>
    </xf>
    <xf numFmtId="4" fontId="52" fillId="7" borderId="10" xfId="49" applyNumberFormat="1" applyFont="1" applyFill="1" applyBorder="1" applyAlignment="1">
      <alignment horizontal="right" vertical="top" wrapText="1"/>
    </xf>
    <xf numFmtId="0" fontId="19" fillId="0" borderId="116" xfId="49" applyFont="1" applyBorder="1" applyAlignment="1">
      <alignment vertical="top"/>
    </xf>
    <xf numFmtId="0" fontId="56" fillId="3" borderId="4" xfId="49" applyFont="1" applyFill="1" applyBorder="1" applyAlignment="1">
      <alignment horizontal="left" vertical="top" wrapText="1"/>
    </xf>
    <xf numFmtId="4" fontId="56" fillId="3" borderId="4" xfId="49" applyNumberFormat="1" applyFont="1" applyFill="1" applyBorder="1" applyAlignment="1">
      <alignment horizontal="right" vertical="top" wrapText="1"/>
    </xf>
    <xf numFmtId="4" fontId="56" fillId="3" borderId="25" xfId="49" applyNumberFormat="1" applyFont="1" applyFill="1" applyBorder="1" applyAlignment="1">
      <alignment horizontal="right" vertical="top" wrapText="1"/>
    </xf>
    <xf numFmtId="4" fontId="56" fillId="3" borderId="125" xfId="49" applyNumberFormat="1" applyFont="1" applyFill="1" applyBorder="1" applyAlignment="1">
      <alignment horizontal="right" vertical="top" wrapText="1"/>
    </xf>
    <xf numFmtId="4" fontId="131" fillId="3" borderId="125" xfId="49" applyNumberFormat="1" applyFont="1" applyFill="1" applyBorder="1" applyAlignment="1">
      <alignment horizontal="right" vertical="top" wrapText="1"/>
    </xf>
    <xf numFmtId="10" fontId="56" fillId="3" borderId="174" xfId="49" applyNumberFormat="1" applyFont="1" applyFill="1" applyBorder="1" applyAlignment="1">
      <alignment horizontal="right" vertical="top" wrapText="1"/>
    </xf>
    <xf numFmtId="0" fontId="19" fillId="0" borderId="117" xfId="49" applyFont="1" applyBorder="1" applyAlignment="1">
      <alignment vertical="top"/>
    </xf>
    <xf numFmtId="0" fontId="19" fillId="0" borderId="7" xfId="49" applyFont="1" applyBorder="1" applyAlignment="1">
      <alignment horizontal="left" vertical="top"/>
    </xf>
    <xf numFmtId="0" fontId="19" fillId="0" borderId="8" xfId="49" applyFont="1" applyBorder="1" applyAlignment="1">
      <alignment horizontal="left" vertical="top"/>
    </xf>
    <xf numFmtId="0" fontId="57" fillId="0" borderId="0" xfId="49" applyFont="1"/>
    <xf numFmtId="0" fontId="57" fillId="6" borderId="8" xfId="49" applyFont="1" applyFill="1" applyBorder="1" applyAlignment="1">
      <alignment horizontal="left" vertical="top"/>
    </xf>
    <xf numFmtId="10" fontId="57" fillId="6" borderId="123" xfId="49" applyNumberFormat="1" applyFont="1" applyFill="1" applyBorder="1" applyAlignment="1">
      <alignment horizontal="right" vertical="top"/>
    </xf>
    <xf numFmtId="49" fontId="63" fillId="6" borderId="7" xfId="49" applyNumberFormat="1" applyFont="1" applyFill="1" applyBorder="1" applyAlignment="1">
      <alignment horizontal="left" vertical="top"/>
    </xf>
    <xf numFmtId="0" fontId="63" fillId="0" borderId="7" xfId="49" applyFont="1" applyBorder="1" applyAlignment="1">
      <alignment horizontal="left" vertical="top" wrapText="1"/>
    </xf>
    <xf numFmtId="4" fontId="63" fillId="6" borderId="140" xfId="49" applyNumberFormat="1" applyFont="1" applyFill="1" applyBorder="1" applyAlignment="1">
      <alignment horizontal="right" vertical="top"/>
    </xf>
    <xf numFmtId="0" fontId="57" fillId="0" borderId="181" xfId="49" applyFont="1" applyBorder="1" applyAlignment="1">
      <alignment vertical="top"/>
    </xf>
    <xf numFmtId="0" fontId="57" fillId="0" borderId="179" xfId="49" applyFont="1" applyBorder="1"/>
    <xf numFmtId="0" fontId="57" fillId="0" borderId="123" xfId="49" applyFont="1" applyBorder="1"/>
    <xf numFmtId="10" fontId="57" fillId="0" borderId="24" xfId="49" applyNumberFormat="1" applyFont="1" applyBorder="1"/>
    <xf numFmtId="0" fontId="57" fillId="0" borderId="7" xfId="49" applyFont="1" applyBorder="1"/>
    <xf numFmtId="49" fontId="63" fillId="6" borderId="8" xfId="49" applyNumberFormat="1" applyFont="1" applyFill="1" applyBorder="1" applyAlignment="1">
      <alignment horizontal="left" vertical="top"/>
    </xf>
    <xf numFmtId="0" fontId="63" fillId="0" borderId="183" xfId="49" applyFont="1" applyBorder="1" applyAlignment="1">
      <alignment horizontal="left" vertical="top" wrapText="1"/>
    </xf>
    <xf numFmtId="4" fontId="63" fillId="0" borderId="183" xfId="49" applyNumberFormat="1" applyFont="1" applyBorder="1" applyAlignment="1">
      <alignment horizontal="right" vertical="center" wrapText="1"/>
    </xf>
    <xf numFmtId="4" fontId="63" fillId="6" borderId="184" xfId="49" applyNumberFormat="1" applyFont="1" applyFill="1" applyBorder="1" applyAlignment="1">
      <alignment horizontal="right" vertical="center"/>
    </xf>
    <xf numFmtId="10" fontId="57" fillId="6" borderId="185" xfId="49" applyNumberFormat="1" applyFont="1" applyFill="1" applyBorder="1" applyAlignment="1">
      <alignment horizontal="right" vertical="center"/>
    </xf>
    <xf numFmtId="4" fontId="63" fillId="0" borderId="186" xfId="49" applyNumberFormat="1" applyFont="1" applyBorder="1" applyAlignment="1">
      <alignment vertical="center"/>
    </xf>
    <xf numFmtId="10" fontId="57" fillId="0" borderId="186" xfId="49" applyNumberFormat="1" applyFont="1" applyBorder="1" applyAlignment="1">
      <alignment vertical="center"/>
    </xf>
    <xf numFmtId="4" fontId="63" fillId="0" borderId="185" xfId="49" applyNumberFormat="1" applyFont="1" applyBorder="1" applyAlignment="1">
      <alignment vertical="center"/>
    </xf>
    <xf numFmtId="4" fontId="57" fillId="0" borderId="184" xfId="49" applyNumberFormat="1" applyFont="1" applyBorder="1"/>
    <xf numFmtId="10" fontId="63" fillId="0" borderId="187" xfId="49" applyNumberFormat="1" applyFont="1" applyBorder="1" applyAlignment="1">
      <alignment horizontal="right" vertical="center"/>
    </xf>
    <xf numFmtId="4" fontId="63" fillId="0" borderId="183" xfId="49" applyNumberFormat="1" applyFont="1" applyBorder="1" applyAlignment="1">
      <alignment vertical="center"/>
    </xf>
    <xf numFmtId="4" fontId="63" fillId="0" borderId="183" xfId="49" applyNumberFormat="1" applyFont="1" applyBorder="1"/>
    <xf numFmtId="10" fontId="63" fillId="0" borderId="186" xfId="49" applyNumberFormat="1" applyFont="1" applyBorder="1" applyAlignment="1">
      <alignment vertical="center"/>
    </xf>
    <xf numFmtId="0" fontId="57" fillId="0" borderId="184" xfId="49" applyFont="1" applyBorder="1"/>
    <xf numFmtId="4" fontId="57" fillId="0" borderId="186" xfId="49" applyNumberFormat="1" applyFont="1" applyBorder="1" applyAlignment="1">
      <alignment vertical="center"/>
    </xf>
    <xf numFmtId="0" fontId="63" fillId="0" borderId="8" xfId="49" applyFont="1" applyBorder="1" applyAlignment="1">
      <alignment horizontal="left" vertical="top" wrapText="1"/>
    </xf>
    <xf numFmtId="4" fontId="63" fillId="0" borderId="8" xfId="49" applyNumberFormat="1" applyFont="1" applyBorder="1" applyAlignment="1">
      <alignment horizontal="right" vertical="center" wrapText="1"/>
    </xf>
    <xf numFmtId="4" fontId="63" fillId="6" borderId="0" xfId="49" applyNumberFormat="1" applyFont="1" applyFill="1" applyBorder="1" applyAlignment="1">
      <alignment horizontal="right" vertical="center"/>
    </xf>
    <xf numFmtId="10" fontId="57" fillId="6" borderId="124" xfId="49" applyNumberFormat="1" applyFont="1" applyFill="1" applyBorder="1" applyAlignment="1">
      <alignment horizontal="right" vertical="center"/>
    </xf>
    <xf numFmtId="4" fontId="57" fillId="0" borderId="0" xfId="49" applyNumberFormat="1" applyFont="1" applyBorder="1" applyAlignment="1">
      <alignment vertical="center"/>
    </xf>
    <xf numFmtId="10" fontId="63" fillId="0" borderId="179" xfId="49" applyNumberFormat="1" applyFont="1" applyBorder="1" applyAlignment="1">
      <alignment vertical="center"/>
    </xf>
    <xf numFmtId="4" fontId="63" fillId="0" borderId="122" xfId="49" applyNumberFormat="1" applyFont="1" applyBorder="1" applyAlignment="1">
      <alignment vertical="center"/>
    </xf>
    <xf numFmtId="10" fontId="63" fillId="0" borderId="87" xfId="49" applyNumberFormat="1" applyFont="1" applyBorder="1" applyAlignment="1">
      <alignment horizontal="right" vertical="center"/>
    </xf>
    <xf numFmtId="4" fontId="63" fillId="0" borderId="10" xfId="49" applyNumberFormat="1" applyFont="1" applyBorder="1"/>
    <xf numFmtId="0" fontId="19" fillId="0" borderId="111" xfId="49" applyFont="1" applyBorder="1" applyAlignment="1">
      <alignment vertical="top"/>
    </xf>
    <xf numFmtId="0" fontId="19" fillId="0" borderId="15" xfId="49" applyFont="1" applyBorder="1" applyAlignment="1">
      <alignment horizontal="left" vertical="top"/>
    </xf>
    <xf numFmtId="0" fontId="52" fillId="0" borderId="15" xfId="49" applyFont="1" applyBorder="1" applyAlignment="1">
      <alignment horizontal="right"/>
    </xf>
    <xf numFmtId="4" fontId="19" fillId="0" borderId="18" xfId="49" applyNumberFormat="1" applyFont="1" applyBorder="1"/>
    <xf numFmtId="10" fontId="52" fillId="0" borderId="15" xfId="49" applyNumberFormat="1" applyFont="1" applyBorder="1"/>
    <xf numFmtId="4" fontId="52" fillId="0" borderId="15" xfId="49" applyNumberFormat="1" applyFont="1" applyBorder="1"/>
    <xf numFmtId="0" fontId="102" fillId="0" borderId="0" xfId="49" applyFont="1" applyBorder="1"/>
    <xf numFmtId="0" fontId="19" fillId="0" borderId="0" xfId="49" applyFont="1" applyBorder="1"/>
    <xf numFmtId="0" fontId="19" fillId="0" borderId="0" xfId="49" applyFont="1" applyBorder="1" applyAlignment="1"/>
    <xf numFmtId="4" fontId="19" fillId="0" borderId="0" xfId="49" applyNumberFormat="1" applyFont="1" applyBorder="1" applyAlignment="1">
      <alignment horizontal="left"/>
    </xf>
    <xf numFmtId="0" fontId="19" fillId="0" borderId="0" xfId="49" applyFont="1" applyBorder="1" applyAlignment="1">
      <alignment vertical="top"/>
    </xf>
    <xf numFmtId="4" fontId="19" fillId="0" borderId="0" xfId="49" applyNumberFormat="1" applyFont="1" applyBorder="1" applyAlignment="1">
      <alignment horizontal="left" vertical="top"/>
    </xf>
    <xf numFmtId="0" fontId="29" fillId="0" borderId="0" xfId="49" applyFont="1" applyBorder="1" applyAlignment="1">
      <alignment horizontal="left" vertical="top" wrapText="1"/>
    </xf>
    <xf numFmtId="0" fontId="29" fillId="0" borderId="0" xfId="49" applyFont="1" applyBorder="1" applyAlignment="1">
      <alignment horizontal="left" vertical="top"/>
    </xf>
    <xf numFmtId="0" fontId="19" fillId="0" borderId="0" xfId="49" applyFont="1" applyBorder="1" applyAlignment="1">
      <alignment horizontal="left" vertical="top"/>
    </xf>
    <xf numFmtId="0" fontId="19" fillId="0" borderId="0" xfId="49" applyFont="1" applyAlignment="1">
      <alignment horizontal="left" vertical="top"/>
    </xf>
    <xf numFmtId="0" fontId="19" fillId="0" borderId="0" xfId="49" applyFont="1" applyAlignment="1">
      <alignment vertical="top"/>
    </xf>
    <xf numFmtId="4" fontId="19" fillId="0" borderId="0" xfId="49" applyNumberFormat="1" applyFont="1" applyAlignment="1">
      <alignment horizontal="left" vertical="top"/>
    </xf>
    <xf numFmtId="4" fontId="52" fillId="0" borderId="0" xfId="49" applyNumberFormat="1" applyFont="1" applyAlignment="1">
      <alignment horizontal="left" vertical="center"/>
    </xf>
    <xf numFmtId="0" fontId="52" fillId="0" borderId="0" xfId="49" applyFont="1"/>
    <xf numFmtId="0" fontId="19" fillId="0" borderId="0" xfId="49" applyFont="1" applyAlignment="1">
      <alignment horizontal="center"/>
    </xf>
    <xf numFmtId="4" fontId="19" fillId="0" borderId="0" xfId="49" applyNumberFormat="1" applyFont="1"/>
    <xf numFmtId="4" fontId="52" fillId="0" borderId="0" xfId="49" applyNumberFormat="1" applyFont="1"/>
    <xf numFmtId="0" fontId="52" fillId="0" borderId="4" xfId="49" applyFont="1" applyBorder="1" applyAlignment="1">
      <alignment horizontal="left" vertical="top" wrapText="1"/>
    </xf>
    <xf numFmtId="4" fontId="52" fillId="0" borderId="4" xfId="49" applyNumberFormat="1" applyFont="1" applyBorder="1" applyAlignment="1">
      <alignment horizontal="right" vertical="top" wrapText="1"/>
    </xf>
    <xf numFmtId="4" fontId="52" fillId="0" borderId="25" xfId="49" applyNumberFormat="1" applyFont="1" applyBorder="1" applyAlignment="1">
      <alignment horizontal="right" vertical="top" wrapText="1"/>
    </xf>
    <xf numFmtId="4" fontId="52" fillId="0" borderId="125" xfId="49" applyNumberFormat="1" applyFont="1" applyBorder="1" applyAlignment="1">
      <alignment horizontal="right" vertical="top" wrapText="1"/>
    </xf>
    <xf numFmtId="4" fontId="134" fillId="0" borderId="125" xfId="49" applyNumberFormat="1" applyFont="1" applyBorder="1" applyAlignment="1">
      <alignment horizontal="right" vertical="top" wrapText="1"/>
    </xf>
    <xf numFmtId="10" fontId="52" fillId="0" borderId="174" xfId="49" applyNumberFormat="1" applyFont="1" applyBorder="1" applyAlignment="1">
      <alignment horizontal="right" vertical="top" wrapText="1"/>
    </xf>
    <xf numFmtId="0" fontId="102" fillId="0" borderId="4" xfId="49" applyFont="1" applyBorder="1" applyAlignment="1">
      <alignment horizontal="left" vertical="top" wrapText="1"/>
    </xf>
    <xf numFmtId="4" fontId="101" fillId="0" borderId="7" xfId="49" applyNumberFormat="1" applyFont="1" applyBorder="1" applyAlignment="1">
      <alignment horizontal="right" vertical="top" wrapText="1"/>
    </xf>
    <xf numFmtId="4" fontId="101" fillId="0" borderId="140" xfId="49" applyNumberFormat="1" applyFont="1" applyBorder="1" applyAlignment="1">
      <alignment horizontal="right" vertical="top"/>
    </xf>
    <xf numFmtId="10" fontId="101" fillId="0" borderId="123" xfId="49" applyNumberFormat="1" applyFont="1" applyBorder="1" applyAlignment="1">
      <alignment horizontal="right" vertical="top"/>
    </xf>
    <xf numFmtId="4" fontId="101" fillId="0" borderId="174" xfId="49" applyNumberFormat="1" applyFont="1" applyBorder="1" applyAlignment="1">
      <alignment vertical="top"/>
    </xf>
    <xf numFmtId="4" fontId="19" fillId="0" borderId="174" xfId="49" applyNumberFormat="1" applyFont="1" applyBorder="1" applyAlignment="1">
      <alignment horizontal="right" vertical="top" wrapText="1"/>
    </xf>
    <xf numFmtId="4" fontId="101" fillId="0" borderId="125" xfId="49" applyNumberFormat="1" applyFont="1" applyBorder="1"/>
    <xf numFmtId="4" fontId="101" fillId="0" borderId="0" xfId="49" applyNumberFormat="1" applyFont="1"/>
    <xf numFmtId="4" fontId="101" fillId="0" borderId="4" xfId="49" applyNumberFormat="1" applyFont="1" applyBorder="1"/>
    <xf numFmtId="10" fontId="101" fillId="0" borderId="140" xfId="49" applyNumberFormat="1" applyFont="1" applyBorder="1" applyAlignment="1">
      <alignment horizontal="right" vertical="top"/>
    </xf>
    <xf numFmtId="4" fontId="101" fillId="0" borderId="54" xfId="49" applyNumberFormat="1" applyFont="1" applyBorder="1" applyAlignment="1">
      <alignment vertical="top"/>
    </xf>
    <xf numFmtId="4" fontId="19" fillId="0" borderId="54" xfId="49" applyNumberFormat="1" applyFont="1" applyBorder="1" applyAlignment="1">
      <alignment horizontal="right" vertical="top" wrapText="1"/>
    </xf>
    <xf numFmtId="49" fontId="30" fillId="19" borderId="87" xfId="40" applyNumberFormat="1" applyFont="1" applyFill="1" applyBorder="1" applyAlignment="1" applyProtection="1">
      <alignment vertical="top" wrapText="1"/>
      <protection locked="0"/>
    </xf>
    <xf numFmtId="49" fontId="30" fillId="19" borderId="86" xfId="40" applyNumberFormat="1" applyFont="1" applyFill="1" applyBorder="1" applyAlignment="1" applyProtection="1">
      <alignment horizontal="left" vertical="center" wrapText="1"/>
      <protection locked="0"/>
    </xf>
    <xf numFmtId="49" fontId="136" fillId="19" borderId="4" xfId="40" applyNumberFormat="1" applyFont="1" applyFill="1" applyBorder="1" applyAlignment="1" applyProtection="1">
      <alignment horizontal="left" vertical="top" wrapText="1"/>
      <protection locked="0"/>
    </xf>
    <xf numFmtId="4" fontId="101" fillId="0" borderId="174" xfId="49" applyNumberFormat="1" applyFont="1" applyBorder="1" applyAlignment="1">
      <alignment horizontal="right" vertical="top" wrapText="1"/>
    </xf>
    <xf numFmtId="49" fontId="136" fillId="19" borderId="4" xfId="40" applyNumberFormat="1" applyFont="1" applyFill="1" applyBorder="1" applyAlignment="1" applyProtection="1">
      <alignment horizontal="left" vertical="center" wrapText="1"/>
      <protection locked="0"/>
    </xf>
    <xf numFmtId="0" fontId="101" fillId="0" borderId="4" xfId="49" applyFont="1" applyBorder="1" applyAlignment="1">
      <alignment horizontal="left" vertical="top" wrapText="1"/>
    </xf>
    <xf numFmtId="4" fontId="101" fillId="0" borderId="54" xfId="49" applyNumberFormat="1" applyFont="1" applyBorder="1" applyAlignment="1">
      <alignment horizontal="right" vertical="top" wrapText="1"/>
    </xf>
    <xf numFmtId="0" fontId="52" fillId="0" borderId="7" xfId="49" applyFont="1" applyBorder="1" applyAlignment="1">
      <alignment horizontal="left" vertical="top"/>
    </xf>
    <xf numFmtId="0" fontId="52" fillId="0" borderId="7" xfId="49" applyFont="1" applyBorder="1" applyAlignment="1">
      <alignment horizontal="left" vertical="top" wrapText="1"/>
    </xf>
    <xf numFmtId="0" fontId="101" fillId="0" borderId="7" xfId="49" applyFont="1" applyBorder="1" applyAlignment="1">
      <alignment horizontal="left" vertical="top" wrapText="1"/>
    </xf>
    <xf numFmtId="4" fontId="101" fillId="0" borderId="4" xfId="49" applyNumberFormat="1" applyFont="1" applyBorder="1" applyAlignment="1">
      <alignment horizontal="right" vertical="top" wrapText="1"/>
    </xf>
    <xf numFmtId="0" fontId="19" fillId="0" borderId="10" xfId="49" applyFont="1" applyBorder="1" applyAlignment="1">
      <alignment horizontal="center" vertical="top"/>
    </xf>
    <xf numFmtId="0" fontId="52" fillId="0" borderId="4" xfId="49" applyFont="1" applyBorder="1" applyAlignment="1">
      <alignment horizontal="left" vertical="top"/>
    </xf>
    <xf numFmtId="49" fontId="52" fillId="0" borderId="4" xfId="49" applyNumberFormat="1" applyFont="1" applyBorder="1" applyAlignment="1">
      <alignment horizontal="left" vertical="top" wrapText="1"/>
    </xf>
    <xf numFmtId="4" fontId="19" fillId="0" borderId="4" xfId="49" applyNumberFormat="1" applyFont="1" applyBorder="1" applyAlignment="1">
      <alignment horizontal="right" vertical="top" wrapText="1"/>
    </xf>
    <xf numFmtId="10" fontId="19" fillId="0" borderId="123" xfId="49" applyNumberFormat="1" applyFont="1" applyBorder="1" applyAlignment="1">
      <alignment horizontal="right" vertical="top"/>
    </xf>
    <xf numFmtId="4" fontId="19" fillId="0" borderId="174" xfId="49" applyNumberFormat="1" applyFont="1" applyBorder="1" applyAlignment="1">
      <alignment vertical="top"/>
    </xf>
    <xf numFmtId="0" fontId="19" fillId="0" borderId="174" xfId="49" applyFont="1" applyBorder="1" applyAlignment="1">
      <alignment vertical="top"/>
    </xf>
    <xf numFmtId="4" fontId="19" fillId="0" borderId="125" xfId="49" applyNumberFormat="1" applyFont="1" applyBorder="1"/>
    <xf numFmtId="0" fontId="52" fillId="0" borderId="10" xfId="49" applyFont="1" applyBorder="1" applyAlignment="1">
      <alignment horizontal="left" vertical="top"/>
    </xf>
    <xf numFmtId="4" fontId="52" fillId="0" borderId="125" xfId="49" applyNumberFormat="1" applyFont="1" applyBorder="1"/>
    <xf numFmtId="4" fontId="52" fillId="0" borderId="4" xfId="49" applyNumberFormat="1" applyFont="1" applyBorder="1"/>
    <xf numFmtId="0" fontId="52" fillId="6" borderId="7" xfId="49" applyFont="1" applyFill="1" applyBorder="1" applyAlignment="1">
      <alignment horizontal="left" vertical="top"/>
    </xf>
    <xf numFmtId="0" fontId="52" fillId="6" borderId="7" xfId="49" applyFont="1" applyFill="1" applyBorder="1" applyAlignment="1">
      <alignment horizontal="left" vertical="top" wrapText="1"/>
    </xf>
    <xf numFmtId="4" fontId="52" fillId="6" borderId="7" xfId="49" applyNumberFormat="1" applyFont="1" applyFill="1" applyBorder="1" applyAlignment="1">
      <alignment horizontal="right" vertical="top" wrapText="1"/>
    </xf>
    <xf numFmtId="4" fontId="19" fillId="6" borderId="140" xfId="49" applyNumberFormat="1" applyFont="1" applyFill="1" applyBorder="1" applyAlignment="1">
      <alignment horizontal="right" vertical="top"/>
    </xf>
    <xf numFmtId="10" fontId="19" fillId="6" borderId="123" xfId="49" applyNumberFormat="1" applyFont="1" applyFill="1" applyBorder="1" applyAlignment="1">
      <alignment horizontal="right" vertical="top"/>
    </xf>
    <xf numFmtId="10" fontId="19" fillId="0" borderId="174" xfId="49" applyNumberFormat="1" applyFont="1" applyBorder="1"/>
    <xf numFmtId="4" fontId="90" fillId="0" borderId="125" xfId="49" applyNumberFormat="1" applyFont="1" applyBorder="1"/>
    <xf numFmtId="4" fontId="19" fillId="0" borderId="4" xfId="49" applyNumberFormat="1" applyFont="1" applyBorder="1"/>
    <xf numFmtId="4" fontId="52" fillId="0" borderId="7" xfId="49" applyNumberFormat="1" applyFont="1" applyBorder="1" applyAlignment="1">
      <alignment horizontal="right" vertical="top" wrapText="1"/>
    </xf>
    <xf numFmtId="4" fontId="19" fillId="0" borderId="140" xfId="49" applyNumberFormat="1" applyFont="1" applyBorder="1" applyAlignment="1">
      <alignment horizontal="right" vertical="top" wrapText="1"/>
    </xf>
    <xf numFmtId="49" fontId="19" fillId="0" borderId="4" xfId="49" applyNumberFormat="1" applyFont="1" applyBorder="1" applyAlignment="1">
      <alignment horizontal="left" vertical="top" wrapText="1"/>
    </xf>
    <xf numFmtId="4" fontId="52" fillId="0" borderId="54" xfId="49" applyNumberFormat="1" applyFont="1" applyBorder="1" applyAlignment="1">
      <alignment horizontal="right" vertical="top"/>
    </xf>
    <xf numFmtId="4" fontId="52" fillId="0" borderId="125" xfId="49" applyNumberFormat="1" applyFont="1" applyBorder="1" applyAlignment="1">
      <alignment vertical="top"/>
    </xf>
    <xf numFmtId="10" fontId="19" fillId="0" borderId="25" xfId="49" applyNumberFormat="1" applyFont="1" applyBorder="1" applyAlignment="1">
      <alignment vertical="top"/>
    </xf>
    <xf numFmtId="4" fontId="134" fillId="0" borderId="4" xfId="49" applyNumberFormat="1" applyFont="1" applyBorder="1" applyAlignment="1">
      <alignment vertical="top"/>
    </xf>
    <xf numFmtId="49" fontId="52" fillId="6" borderId="4" xfId="49" applyNumberFormat="1" applyFont="1" applyFill="1" applyBorder="1" applyAlignment="1">
      <alignment horizontal="left" vertical="top"/>
    </xf>
    <xf numFmtId="49" fontId="31" fillId="19" borderId="39" xfId="51" applyNumberFormat="1" applyFont="1" applyFill="1" applyBorder="1" applyAlignment="1" applyProtection="1">
      <alignment horizontal="left" vertical="top" wrapText="1"/>
      <protection locked="0"/>
    </xf>
    <xf numFmtId="4" fontId="134" fillId="0" borderId="4" xfId="49" applyNumberFormat="1" applyFont="1" applyBorder="1"/>
    <xf numFmtId="0" fontId="52" fillId="0" borderId="8" xfId="49" applyFont="1" applyBorder="1" applyAlignment="1">
      <alignment horizontal="left" vertical="top"/>
    </xf>
    <xf numFmtId="49" fontId="19" fillId="0" borderId="8" xfId="49" applyNumberFormat="1" applyFont="1" applyBorder="1" applyAlignment="1">
      <alignment horizontal="left" vertical="top" wrapText="1"/>
    </xf>
    <xf numFmtId="4" fontId="52" fillId="0" borderId="8" xfId="49" applyNumberFormat="1" applyFont="1" applyBorder="1" applyAlignment="1">
      <alignment horizontal="right" vertical="top" wrapText="1"/>
    </xf>
    <xf numFmtId="4" fontId="52" fillId="0" borderId="123" xfId="49" applyNumberFormat="1" applyFont="1" applyBorder="1" applyAlignment="1">
      <alignment vertical="top"/>
    </xf>
    <xf numFmtId="10" fontId="19" fillId="0" borderId="24" xfId="49" applyNumberFormat="1" applyFont="1" applyBorder="1" applyAlignment="1">
      <alignment vertical="top"/>
    </xf>
    <xf numFmtId="4" fontId="134" fillId="0" borderId="7" xfId="49" applyNumberFormat="1" applyFont="1" applyBorder="1" applyAlignment="1">
      <alignment vertical="top"/>
    </xf>
    <xf numFmtId="0" fontId="19" fillId="0" borderId="7" xfId="49" quotePrefix="1" applyFont="1" applyBorder="1" applyAlignment="1">
      <alignment horizontal="left" vertical="top"/>
    </xf>
    <xf numFmtId="0" fontId="19" fillId="0" borderId="7" xfId="49" applyFont="1" applyBorder="1" applyAlignment="1">
      <alignment horizontal="left" vertical="top" wrapText="1"/>
    </xf>
    <xf numFmtId="4" fontId="19" fillId="0" borderId="4" xfId="49" applyNumberFormat="1" applyFont="1" applyBorder="1" applyAlignment="1">
      <alignment horizontal="right" vertical="top"/>
    </xf>
    <xf numFmtId="10" fontId="19" fillId="0" borderId="4" xfId="49" applyNumberFormat="1" applyFont="1" applyBorder="1" applyAlignment="1">
      <alignment horizontal="right" vertical="top"/>
    </xf>
    <xf numFmtId="4" fontId="19" fillId="0" borderId="4" xfId="49" applyNumberFormat="1" applyFont="1" applyBorder="1" applyAlignment="1">
      <alignment vertical="top"/>
    </xf>
    <xf numFmtId="4" fontId="19" fillId="0" borderId="25" xfId="49" applyNumberFormat="1" applyFont="1" applyBorder="1" applyAlignment="1">
      <alignment vertical="top"/>
    </xf>
    <xf numFmtId="4" fontId="19" fillId="0" borderId="125" xfId="49" applyNumberFormat="1" applyFont="1" applyBorder="1" applyAlignment="1">
      <alignment vertical="top"/>
    </xf>
    <xf numFmtId="10" fontId="52" fillId="0" borderId="4" xfId="49" applyNumberFormat="1" applyFont="1" applyBorder="1" applyAlignment="1">
      <alignment vertical="top" wrapText="1"/>
    </xf>
    <xf numFmtId="0" fontId="19" fillId="0" borderId="4" xfId="49" quotePrefix="1" applyFont="1" applyBorder="1" applyAlignment="1">
      <alignment horizontal="left" vertical="top"/>
    </xf>
    <xf numFmtId="0" fontId="19" fillId="0" borderId="4" xfId="49" applyFont="1" applyBorder="1" applyAlignment="1">
      <alignment horizontal="left" vertical="top"/>
    </xf>
    <xf numFmtId="0" fontId="19" fillId="0" borderId="8" xfId="49" quotePrefix="1" applyFont="1" applyBorder="1" applyAlignment="1">
      <alignment horizontal="left" vertical="top"/>
    </xf>
    <xf numFmtId="0" fontId="19" fillId="0" borderId="8" xfId="49" applyFont="1" applyBorder="1" applyAlignment="1">
      <alignment horizontal="left" vertical="top" wrapText="1"/>
    </xf>
    <xf numFmtId="4" fontId="19" fillId="0" borderId="7" xfId="49" applyNumberFormat="1" applyFont="1" applyBorder="1" applyAlignment="1">
      <alignment horizontal="right" vertical="top" wrapText="1"/>
    </xf>
    <xf numFmtId="4" fontId="19" fillId="0" borderId="7" xfId="49" applyNumberFormat="1" applyFont="1" applyBorder="1" applyAlignment="1">
      <alignment horizontal="right" vertical="top"/>
    </xf>
    <xf numFmtId="10" fontId="19" fillId="0" borderId="7" xfId="49" applyNumberFormat="1" applyFont="1" applyBorder="1" applyAlignment="1">
      <alignment horizontal="right" vertical="top"/>
    </xf>
    <xf numFmtId="4" fontId="19" fillId="0" borderId="7" xfId="49" applyNumberFormat="1" applyFont="1" applyBorder="1" applyAlignment="1">
      <alignment vertical="top"/>
    </xf>
    <xf numFmtId="4" fontId="19" fillId="0" borderId="24" xfId="49" applyNumberFormat="1" applyFont="1" applyBorder="1" applyAlignment="1">
      <alignment vertical="top"/>
    </xf>
    <xf numFmtId="4" fontId="19" fillId="0" borderId="123" xfId="49" applyNumberFormat="1" applyFont="1" applyBorder="1" applyAlignment="1">
      <alignment vertical="top"/>
    </xf>
    <xf numFmtId="4" fontId="19" fillId="0" borderId="5" xfId="49" applyNumberFormat="1" applyFont="1" applyBorder="1" applyAlignment="1">
      <alignment vertical="top"/>
    </xf>
    <xf numFmtId="4" fontId="19" fillId="0" borderId="23" xfId="49" applyNumberFormat="1" applyFont="1" applyBorder="1" applyAlignment="1">
      <alignment vertical="top"/>
    </xf>
    <xf numFmtId="49" fontId="122" fillId="22" borderId="89" xfId="51" applyNumberFormat="1" applyFont="1" applyFill="1" applyBorder="1" applyAlignment="1" applyProtection="1">
      <alignment horizontal="center" vertical="center" wrapText="1"/>
      <protection locked="0"/>
    </xf>
    <xf numFmtId="0" fontId="122" fillId="6" borderId="0" xfId="51" applyNumberFormat="1" applyFont="1" applyFill="1" applyBorder="1" applyAlignment="1" applyProtection="1">
      <alignment horizontal="left"/>
      <protection locked="0"/>
    </xf>
    <xf numFmtId="0" fontId="30" fillId="0" borderId="10" xfId="51" applyNumberFormat="1" applyFont="1" applyFill="1" applyBorder="1" applyAlignment="1" applyProtection="1">
      <alignment horizontal="center" vertical="center" wrapText="1"/>
      <protection locked="0"/>
    </xf>
    <xf numFmtId="4" fontId="119" fillId="19" borderId="62" xfId="51" applyNumberFormat="1" applyFont="1" applyFill="1" applyBorder="1" applyAlignment="1" applyProtection="1">
      <alignment horizontal="right" vertical="center" wrapText="1"/>
      <protection locked="0"/>
    </xf>
    <xf numFmtId="4" fontId="119" fillId="19" borderId="108" xfId="51" applyNumberFormat="1" applyFont="1" applyFill="1" applyBorder="1" applyAlignment="1" applyProtection="1">
      <alignment horizontal="right" vertical="center" wrapText="1"/>
      <protection locked="0"/>
    </xf>
    <xf numFmtId="10" fontId="122" fillId="22" borderId="4" xfId="51" applyNumberFormat="1" applyFont="1" applyFill="1" applyBorder="1" applyAlignment="1" applyProtection="1">
      <alignment horizontal="right" vertical="center" wrapText="1"/>
      <protection locked="0"/>
    </xf>
    <xf numFmtId="10" fontId="60" fillId="22" borderId="4" xfId="51" applyNumberFormat="1" applyFont="1" applyFill="1" applyBorder="1" applyAlignment="1" applyProtection="1">
      <alignment horizontal="right" vertical="center" wrapText="1"/>
      <protection locked="0"/>
    </xf>
    <xf numFmtId="10" fontId="115" fillId="0" borderId="0" xfId="51" applyNumberFormat="1" applyFont="1" applyFill="1" applyBorder="1" applyAlignment="1" applyProtection="1">
      <alignment horizontal="left"/>
      <protection locked="0"/>
    </xf>
    <xf numFmtId="4" fontId="119" fillId="20" borderId="39" xfId="51" applyNumberFormat="1" applyFont="1" applyFill="1" applyBorder="1" applyAlignment="1" applyProtection="1">
      <alignment horizontal="right" vertical="center" wrapText="1"/>
      <protection locked="0"/>
    </xf>
    <xf numFmtId="10" fontId="80" fillId="20" borderId="5" xfId="51" applyNumberFormat="1" applyFont="1" applyFill="1" applyBorder="1" applyAlignment="1" applyProtection="1">
      <alignment horizontal="right" vertical="center" wrapText="1"/>
      <protection locked="0"/>
    </xf>
    <xf numFmtId="4" fontId="80" fillId="20" borderId="125" xfId="51" applyNumberFormat="1" applyFont="1" applyFill="1" applyBorder="1" applyAlignment="1" applyProtection="1">
      <alignment horizontal="right" vertical="center" wrapText="1"/>
      <protection locked="0"/>
    </xf>
    <xf numFmtId="4" fontId="119" fillId="20" borderId="189" xfId="51" applyNumberFormat="1" applyFont="1" applyFill="1" applyBorder="1" applyAlignment="1" applyProtection="1">
      <alignment horizontal="right" vertical="center" wrapText="1"/>
      <protection locked="0"/>
    </xf>
    <xf numFmtId="4" fontId="138" fillId="19" borderId="62" xfId="51" applyNumberFormat="1" applyFont="1" applyFill="1" applyBorder="1" applyAlignment="1" applyProtection="1">
      <alignment horizontal="right" vertical="center" wrapText="1"/>
      <protection locked="0"/>
    </xf>
    <xf numFmtId="4" fontId="138" fillId="19" borderId="108" xfId="51" applyNumberFormat="1" applyFont="1" applyFill="1" applyBorder="1" applyAlignment="1" applyProtection="1">
      <alignment horizontal="right" vertical="center" wrapText="1"/>
      <protection locked="0"/>
    </xf>
    <xf numFmtId="49" fontId="117" fillId="21" borderId="29" xfId="51" applyNumberFormat="1" applyFont="1" applyFill="1" applyBorder="1" applyAlignment="1" applyProtection="1">
      <alignment horizontal="left" vertical="center" wrapText="1"/>
      <protection locked="0"/>
    </xf>
    <xf numFmtId="4" fontId="117" fillId="21" borderId="29" xfId="51" applyNumberFormat="1" applyFont="1" applyFill="1" applyBorder="1" applyAlignment="1" applyProtection="1">
      <alignment horizontal="right" vertical="center" wrapText="1"/>
      <protection locked="0"/>
    </xf>
    <xf numFmtId="4" fontId="117" fillId="21" borderId="39" xfId="51" applyNumberFormat="1" applyFont="1" applyFill="1" applyBorder="1" applyAlignment="1" applyProtection="1">
      <alignment horizontal="right" vertical="center" wrapText="1"/>
      <protection locked="0"/>
    </xf>
    <xf numFmtId="4" fontId="117" fillId="21" borderId="189" xfId="51" applyNumberFormat="1" applyFont="1" applyFill="1" applyBorder="1" applyAlignment="1" applyProtection="1">
      <alignment horizontal="right" vertical="center" wrapText="1"/>
      <protection locked="0"/>
    </xf>
    <xf numFmtId="10" fontId="117" fillId="21" borderId="62" xfId="51" applyNumberFormat="1" applyFont="1" applyFill="1" applyBorder="1" applyAlignment="1" applyProtection="1">
      <alignment horizontal="right" vertical="center" wrapText="1"/>
      <protection locked="0"/>
    </xf>
    <xf numFmtId="4" fontId="117" fillId="21" borderId="168" xfId="51" applyNumberFormat="1" applyFont="1" applyFill="1" applyBorder="1" applyAlignment="1" applyProtection="1">
      <alignment horizontal="right" vertical="center" wrapText="1"/>
      <protection locked="0"/>
    </xf>
    <xf numFmtId="4" fontId="122" fillId="0" borderId="191" xfId="51" applyNumberFormat="1" applyFont="1" applyFill="1" applyBorder="1" applyAlignment="1" applyProtection="1">
      <alignment horizontal="right" vertical="center"/>
      <protection locked="0"/>
    </xf>
    <xf numFmtId="4" fontId="122" fillId="0" borderId="118" xfId="51" applyNumberFormat="1" applyFont="1" applyFill="1" applyBorder="1" applyAlignment="1" applyProtection="1">
      <alignment horizontal="right" vertical="center"/>
      <protection locked="0"/>
    </xf>
    <xf numFmtId="49" fontId="80" fillId="19" borderId="39" xfId="51" applyNumberFormat="1" applyFont="1" applyFill="1" applyBorder="1" applyAlignment="1" applyProtection="1">
      <alignment horizontal="left" vertical="center" wrapText="1"/>
      <protection locked="0"/>
    </xf>
    <xf numFmtId="4" fontId="95" fillId="19" borderId="4" xfId="51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27" applyNumberFormat="1" applyFont="1" applyFill="1" applyBorder="1" applyAlignment="1" applyProtection="1">
      <alignment horizontal="left"/>
      <protection locked="0"/>
    </xf>
    <xf numFmtId="0" fontId="30" fillId="0" borderId="0" xfId="27" applyNumberFormat="1" applyFont="1" applyFill="1" applyBorder="1" applyAlignment="1" applyProtection="1">
      <alignment horizontal="left"/>
      <protection locked="0"/>
    </xf>
    <xf numFmtId="0" fontId="31" fillId="0" borderId="0" xfId="25" applyNumberFormat="1" applyFont="1" applyFill="1" applyBorder="1" applyAlignment="1" applyProtection="1">
      <alignment horizontal="left"/>
      <protection locked="0"/>
    </xf>
    <xf numFmtId="0" fontId="30" fillId="0" borderId="0" xfId="25" applyNumberFormat="1" applyFont="1" applyFill="1" applyBorder="1" applyAlignment="1" applyProtection="1">
      <alignment horizontal="left"/>
      <protection locked="0"/>
    </xf>
    <xf numFmtId="0" fontId="143" fillId="0" borderId="8" xfId="25" applyNumberFormat="1" applyFont="1" applyFill="1" applyBorder="1" applyAlignment="1" applyProtection="1">
      <alignment horizontal="right" vertical="top"/>
      <protection locked="0"/>
    </xf>
    <xf numFmtId="0" fontId="142" fillId="0" borderId="8" xfId="25" applyNumberFormat="1" applyFont="1" applyFill="1" applyBorder="1" applyAlignment="1" applyProtection="1">
      <alignment horizontal="right" vertical="top"/>
      <protection locked="0"/>
    </xf>
    <xf numFmtId="0" fontId="122" fillId="0" borderId="194" xfId="27" applyNumberFormat="1" applyFont="1" applyFill="1" applyBorder="1" applyAlignment="1" applyProtection="1">
      <alignment horizontal="right" vertical="top"/>
      <protection locked="0"/>
    </xf>
    <xf numFmtId="0" fontId="31" fillId="0" borderId="87" xfId="27" applyNumberFormat="1" applyFont="1" applyFill="1" applyBorder="1" applyAlignment="1" applyProtection="1">
      <alignment horizontal="left"/>
      <protection locked="0"/>
    </xf>
    <xf numFmtId="0" fontId="6" fillId="0" borderId="198" xfId="51" applyNumberFormat="1" applyFont="1" applyFill="1" applyBorder="1" applyAlignment="1" applyProtection="1">
      <alignment horizontal="right"/>
      <protection locked="0"/>
    </xf>
    <xf numFmtId="0" fontId="6" fillId="0" borderId="195" xfId="27" applyNumberFormat="1" applyFont="1" applyFill="1" applyBorder="1" applyAlignment="1" applyProtection="1">
      <alignment horizontal="right" vertical="top" wrapText="1"/>
      <protection locked="0"/>
    </xf>
    <xf numFmtId="0" fontId="122" fillId="0" borderId="199" xfId="27" applyNumberFormat="1" applyFont="1" applyFill="1" applyBorder="1" applyAlignment="1" applyProtection="1">
      <alignment horizontal="right" vertical="top"/>
      <protection locked="0"/>
    </xf>
    <xf numFmtId="0" fontId="139" fillId="0" borderId="4" xfId="27" applyNumberFormat="1" applyFont="1" applyFill="1" applyBorder="1" applyAlignment="1" applyProtection="1">
      <alignment horizontal="left" vertical="center"/>
      <protection locked="0"/>
    </xf>
    <xf numFmtId="0" fontId="115" fillId="0" borderId="54" xfId="51" applyNumberFormat="1" applyFont="1" applyFill="1" applyBorder="1" applyAlignment="1" applyProtection="1">
      <alignment horizontal="left"/>
      <protection locked="0"/>
    </xf>
    <xf numFmtId="10" fontId="115" fillId="0" borderId="54" xfId="51" applyNumberFormat="1" applyFont="1" applyFill="1" applyBorder="1" applyAlignment="1" applyProtection="1">
      <alignment horizontal="left"/>
      <protection locked="0"/>
    </xf>
    <xf numFmtId="0" fontId="139" fillId="0" borderId="4" xfId="25" applyNumberFormat="1" applyFont="1" applyFill="1" applyBorder="1" applyAlignment="1" applyProtection="1">
      <alignment horizontal="left" vertical="center"/>
      <protection locked="0"/>
    </xf>
    <xf numFmtId="0" fontId="144" fillId="0" borderId="4" xfId="25" applyNumberFormat="1" applyFont="1" applyFill="1" applyBorder="1" applyAlignment="1" applyProtection="1">
      <alignment horizontal="left" vertical="center"/>
      <protection locked="0"/>
    </xf>
    <xf numFmtId="0" fontId="145" fillId="0" borderId="4" xfId="25" applyNumberFormat="1" applyFont="1" applyFill="1" applyBorder="1" applyAlignment="1" applyProtection="1">
      <alignment vertical="center" wrapText="1"/>
      <protection locked="0"/>
    </xf>
    <xf numFmtId="0" fontId="115" fillId="0" borderId="54" xfId="51" applyNumberFormat="1" applyFont="1" applyFill="1" applyBorder="1" applyAlignment="1" applyProtection="1">
      <alignment horizontal="right" vertical="top"/>
      <protection locked="0"/>
    </xf>
    <xf numFmtId="10" fontId="115" fillId="0" borderId="54" xfId="51" applyNumberFormat="1" applyFont="1" applyFill="1" applyBorder="1" applyAlignment="1" applyProtection="1">
      <alignment horizontal="right" vertical="top"/>
      <protection locked="0"/>
    </xf>
    <xf numFmtId="4" fontId="6" fillId="0" borderId="4" xfId="51" applyNumberFormat="1" applyFont="1" applyFill="1" applyBorder="1" applyAlignment="1" applyProtection="1">
      <alignment horizontal="right" vertical="top"/>
      <protection locked="0"/>
    </xf>
    <xf numFmtId="4" fontId="145" fillId="0" borderId="4" xfId="51" applyNumberFormat="1" applyFont="1" applyFill="1" applyBorder="1" applyAlignment="1" applyProtection="1">
      <alignment horizontal="right" vertical="center"/>
      <protection locked="0"/>
    </xf>
    <xf numFmtId="4" fontId="6" fillId="0" borderId="4" xfId="51" applyNumberFormat="1" applyFont="1" applyFill="1" applyBorder="1" applyAlignment="1" applyProtection="1">
      <alignment horizontal="right"/>
      <protection locked="0"/>
    </xf>
    <xf numFmtId="0" fontId="6" fillId="0" borderId="54" xfId="51" applyNumberFormat="1" applyFont="1" applyFill="1" applyBorder="1" applyAlignment="1" applyProtection="1">
      <alignment vertical="top"/>
      <protection locked="0"/>
    </xf>
    <xf numFmtId="10" fontId="6" fillId="0" borderId="54" xfId="51" applyNumberFormat="1" applyFont="1" applyFill="1" applyBorder="1" applyAlignment="1" applyProtection="1">
      <alignment vertical="top"/>
      <protection locked="0"/>
    </xf>
    <xf numFmtId="4" fontId="6" fillId="0" borderId="4" xfId="51" applyNumberFormat="1" applyFont="1" applyFill="1" applyBorder="1" applyAlignment="1" applyProtection="1">
      <alignment vertical="top"/>
      <protection locked="0"/>
    </xf>
    <xf numFmtId="0" fontId="122" fillId="0" borderId="8" xfId="25" applyNumberFormat="1" applyFont="1" applyFill="1" applyBorder="1" applyAlignment="1" applyProtection="1">
      <alignment horizontal="right" vertical="top"/>
      <protection locked="0"/>
    </xf>
    <xf numFmtId="0" fontId="122" fillId="0" borderId="25" xfId="25" applyNumberFormat="1" applyFont="1" applyFill="1" applyBorder="1" applyAlignment="1" applyProtection="1">
      <alignment vertical="top" wrapText="1"/>
      <protection locked="0"/>
    </xf>
    <xf numFmtId="0" fontId="122" fillId="0" borderId="24" xfId="25" applyNumberFormat="1" applyFont="1" applyFill="1" applyBorder="1" applyAlignment="1" applyProtection="1">
      <alignment vertical="top" wrapText="1"/>
      <protection locked="0"/>
    </xf>
    <xf numFmtId="173" fontId="6" fillId="0" borderId="4" xfId="51" applyNumberFormat="1" applyFont="1" applyFill="1" applyBorder="1" applyAlignment="1" applyProtection="1">
      <alignment horizontal="right" vertical="top"/>
      <protection locked="0"/>
    </xf>
    <xf numFmtId="4" fontId="96" fillId="0" borderId="54" xfId="51" applyNumberFormat="1" applyFont="1" applyFill="1" applyBorder="1" applyAlignment="1" applyProtection="1">
      <alignment horizontal="left"/>
      <protection locked="0"/>
    </xf>
    <xf numFmtId="0" fontId="147" fillId="0" borderId="25" xfId="25" applyNumberFormat="1" applyFont="1" applyFill="1" applyBorder="1" applyAlignment="1" applyProtection="1">
      <alignment vertical="top" wrapText="1"/>
      <protection locked="0"/>
    </xf>
    <xf numFmtId="4" fontId="147" fillId="0" borderId="4" xfId="51" applyNumberFormat="1" applyFont="1" applyFill="1" applyBorder="1" applyAlignment="1" applyProtection="1">
      <alignment vertical="top"/>
      <protection locked="0"/>
    </xf>
    <xf numFmtId="0" fontId="148" fillId="0" borderId="25" xfId="25" applyNumberFormat="1" applyFont="1" applyFill="1" applyBorder="1" applyAlignment="1" applyProtection="1">
      <alignment vertical="top" wrapText="1"/>
      <protection locked="0"/>
    </xf>
    <xf numFmtId="4" fontId="147" fillId="0" borderId="4" xfId="51" applyNumberFormat="1" applyFont="1" applyFill="1" applyBorder="1" applyAlignment="1" applyProtection="1">
      <alignment horizontal="right" vertical="top"/>
      <protection locked="0"/>
    </xf>
    <xf numFmtId="4" fontId="122" fillId="0" borderId="131" xfId="51" applyNumberFormat="1" applyFont="1" applyFill="1" applyBorder="1" applyAlignment="1" applyProtection="1">
      <alignment horizontal="right" vertical="center"/>
      <protection locked="0"/>
    </xf>
    <xf numFmtId="4" fontId="122" fillId="0" borderId="179" xfId="51" applyNumberFormat="1" applyFont="1" applyFill="1" applyBorder="1" applyAlignment="1" applyProtection="1">
      <alignment horizontal="right" vertical="center"/>
      <protection locked="0"/>
    </xf>
    <xf numFmtId="4" fontId="122" fillId="0" borderId="210" xfId="51" applyNumberFormat="1" applyFont="1" applyFill="1" applyBorder="1" applyAlignment="1" applyProtection="1">
      <alignment horizontal="right" vertical="center"/>
      <protection locked="0"/>
    </xf>
    <xf numFmtId="4" fontId="122" fillId="0" borderId="186" xfId="51" applyNumberFormat="1" applyFont="1" applyFill="1" applyBorder="1" applyAlignment="1" applyProtection="1">
      <alignment horizontal="right" vertical="center"/>
      <protection locked="0"/>
    </xf>
    <xf numFmtId="4" fontId="122" fillId="0" borderId="212" xfId="51" applyNumberFormat="1" applyFont="1" applyFill="1" applyBorder="1" applyAlignment="1" applyProtection="1">
      <alignment horizontal="right" vertical="top"/>
      <protection locked="0"/>
    </xf>
    <xf numFmtId="4" fontId="122" fillId="0" borderId="209" xfId="51" applyNumberFormat="1" applyFont="1" applyFill="1" applyBorder="1" applyAlignment="1" applyProtection="1">
      <alignment horizontal="right" vertical="center"/>
      <protection locked="0"/>
    </xf>
    <xf numFmtId="4" fontId="122" fillId="0" borderId="214" xfId="51" applyNumberFormat="1" applyFont="1" applyFill="1" applyBorder="1" applyAlignment="1" applyProtection="1">
      <alignment horizontal="right" vertical="center"/>
      <protection locked="0"/>
    </xf>
    <xf numFmtId="4" fontId="122" fillId="0" borderId="183" xfId="51" applyNumberFormat="1" applyFont="1" applyFill="1" applyBorder="1" applyAlignment="1" applyProtection="1">
      <alignment horizontal="right" vertical="center"/>
      <protection locked="0"/>
    </xf>
    <xf numFmtId="4" fontId="122" fillId="0" borderId="8" xfId="51" applyNumberFormat="1" applyFont="1" applyFill="1" applyBorder="1" applyAlignment="1" applyProtection="1">
      <alignment horizontal="right" vertical="center"/>
      <protection locked="0"/>
    </xf>
    <xf numFmtId="4" fontId="122" fillId="0" borderId="205" xfId="51" applyNumberFormat="1" applyFont="1" applyFill="1" applyBorder="1" applyAlignment="1" applyProtection="1">
      <alignment horizontal="right" vertical="top"/>
      <protection locked="0"/>
    </xf>
    <xf numFmtId="4" fontId="122" fillId="0" borderId="216" xfId="51" applyNumberFormat="1" applyFont="1" applyFill="1" applyBorder="1" applyAlignment="1" applyProtection="1">
      <alignment horizontal="right" vertical="center"/>
      <protection locked="0"/>
    </xf>
    <xf numFmtId="4" fontId="122" fillId="0" borderId="218" xfId="51" applyNumberFormat="1" applyFont="1" applyFill="1" applyBorder="1" applyAlignment="1" applyProtection="1">
      <alignment horizontal="right" vertical="center"/>
      <protection locked="0"/>
    </xf>
    <xf numFmtId="4" fontId="122" fillId="0" borderId="219" xfId="51" applyNumberFormat="1" applyFont="1" applyFill="1" applyBorder="1" applyAlignment="1" applyProtection="1">
      <alignment horizontal="right" vertical="top"/>
      <protection locked="0"/>
    </xf>
    <xf numFmtId="4" fontId="149" fillId="0" borderId="54" xfId="51" applyNumberFormat="1" applyFont="1" applyFill="1" applyBorder="1" applyAlignment="1" applyProtection="1">
      <alignment horizontal="right" vertical="center"/>
      <protection locked="0"/>
    </xf>
    <xf numFmtId="4" fontId="149" fillId="0" borderId="4" xfId="51" applyNumberFormat="1" applyFont="1" applyFill="1" applyBorder="1" applyAlignment="1" applyProtection="1">
      <alignment horizontal="right" vertical="center"/>
      <protection locked="0"/>
    </xf>
    <xf numFmtId="4" fontId="149" fillId="0" borderId="174" xfId="51" applyNumberFormat="1" applyFont="1" applyFill="1" applyBorder="1" applyAlignment="1" applyProtection="1">
      <alignment horizontal="right" vertical="center"/>
      <protection locked="0"/>
    </xf>
    <xf numFmtId="4" fontId="122" fillId="0" borderId="184" xfId="51" applyNumberFormat="1" applyFont="1" applyFill="1" applyBorder="1" applyAlignment="1" applyProtection="1">
      <alignment horizontal="right" vertical="center"/>
      <protection locked="0"/>
    </xf>
    <xf numFmtId="4" fontId="141" fillId="0" borderId="186" xfId="51" applyNumberFormat="1" applyFont="1" applyFill="1" applyBorder="1" applyAlignment="1" applyProtection="1">
      <alignment horizontal="right" vertical="center"/>
      <protection locked="0"/>
    </xf>
    <xf numFmtId="4" fontId="89" fillId="0" borderId="0" xfId="51" applyNumberFormat="1" applyFont="1" applyFill="1" applyBorder="1" applyAlignment="1" applyProtection="1">
      <alignment horizontal="right" vertical="center"/>
      <protection locked="0"/>
    </xf>
    <xf numFmtId="4" fontId="141" fillId="0" borderId="184" xfId="51" applyNumberFormat="1" applyFont="1" applyFill="1" applyBorder="1" applyAlignment="1" applyProtection="1">
      <alignment horizontal="right" vertical="center"/>
      <protection locked="0"/>
    </xf>
    <xf numFmtId="4" fontId="141" fillId="0" borderId="183" xfId="51" applyNumberFormat="1" applyFont="1" applyFill="1" applyBorder="1" applyAlignment="1" applyProtection="1">
      <alignment horizontal="right" vertical="center"/>
      <protection locked="0"/>
    </xf>
    <xf numFmtId="4" fontId="81" fillId="0" borderId="210" xfId="51" applyNumberFormat="1" applyFont="1" applyFill="1" applyBorder="1" applyAlignment="1" applyProtection="1">
      <alignment horizontal="right" vertical="center"/>
      <protection locked="0"/>
    </xf>
    <xf numFmtId="4" fontId="81" fillId="0" borderId="218" xfId="51" applyNumberFormat="1" applyFont="1" applyFill="1" applyBorder="1" applyAlignment="1" applyProtection="1">
      <alignment horizontal="right" vertical="center"/>
      <protection locked="0"/>
    </xf>
    <xf numFmtId="4" fontId="81" fillId="0" borderId="220" xfId="51" applyNumberFormat="1" applyFont="1" applyFill="1" applyBorder="1" applyAlignment="1" applyProtection="1">
      <alignment horizontal="right" vertical="center"/>
      <protection locked="0"/>
    </xf>
    <xf numFmtId="0" fontId="136" fillId="0" borderId="196" xfId="27" applyNumberFormat="1" applyFont="1" applyFill="1" applyBorder="1" applyAlignment="1" applyProtection="1">
      <alignment horizontal="left" vertical="top"/>
      <protection locked="0"/>
    </xf>
    <xf numFmtId="0" fontId="136" fillId="0" borderId="199" xfId="27" applyNumberFormat="1" applyFont="1" applyFill="1" applyBorder="1" applyAlignment="1" applyProtection="1">
      <alignment horizontal="left" vertical="top"/>
      <protection locked="0"/>
    </xf>
    <xf numFmtId="0" fontId="136" fillId="0" borderId="197" xfId="27" applyNumberFormat="1" applyFont="1" applyFill="1" applyBorder="1" applyAlignment="1" applyProtection="1">
      <alignment horizontal="left" vertical="top"/>
      <protection locked="0"/>
    </xf>
    <xf numFmtId="10" fontId="149" fillId="0" borderId="54" xfId="51" applyNumberFormat="1" applyFont="1" applyFill="1" applyBorder="1" applyAlignment="1" applyProtection="1">
      <alignment horizontal="right" vertical="center"/>
      <protection locked="0"/>
    </xf>
    <xf numFmtId="10" fontId="81" fillId="0" borderId="218" xfId="51" applyNumberFormat="1" applyFont="1" applyFill="1" applyBorder="1" applyAlignment="1" applyProtection="1">
      <alignment horizontal="right" vertical="center"/>
      <protection locked="0"/>
    </xf>
    <xf numFmtId="10" fontId="122" fillId="0" borderId="184" xfId="51" applyNumberFormat="1" applyFont="1" applyFill="1" applyBorder="1" applyAlignment="1" applyProtection="1">
      <alignment horizontal="right" vertical="center"/>
      <protection locked="0"/>
    </xf>
    <xf numFmtId="10" fontId="141" fillId="0" borderId="184" xfId="51" applyNumberFormat="1" applyFont="1" applyFill="1" applyBorder="1" applyAlignment="1" applyProtection="1">
      <alignment horizontal="right" vertical="center"/>
      <protection locked="0"/>
    </xf>
    <xf numFmtId="10" fontId="122" fillId="0" borderId="0" xfId="51" applyNumberFormat="1" applyFont="1" applyFill="1" applyBorder="1" applyAlignment="1" applyProtection="1">
      <alignment horizontal="right" vertical="center"/>
      <protection locked="0"/>
    </xf>
    <xf numFmtId="10" fontId="122" fillId="0" borderId="205" xfId="51" applyNumberFormat="1" applyFont="1" applyFill="1" applyBorder="1" applyAlignment="1" applyProtection="1">
      <alignment horizontal="right" vertical="center"/>
      <protection locked="0"/>
    </xf>
    <xf numFmtId="4" fontId="150" fillId="0" borderId="211" xfId="51" applyNumberFormat="1" applyFont="1" applyFill="1" applyBorder="1" applyAlignment="1" applyProtection="1">
      <alignment horizontal="right" vertical="center"/>
      <protection locked="0"/>
    </xf>
    <xf numFmtId="4" fontId="150" fillId="0" borderId="215" xfId="51" applyNumberFormat="1" applyFont="1" applyFill="1" applyBorder="1" applyAlignment="1" applyProtection="1">
      <alignment horizontal="right" vertical="center"/>
      <protection locked="0"/>
    </xf>
    <xf numFmtId="4" fontId="150" fillId="0" borderId="217" xfId="51" applyNumberFormat="1" applyFont="1" applyFill="1" applyBorder="1" applyAlignment="1" applyProtection="1">
      <alignment horizontal="right" vertical="center"/>
      <protection locked="0"/>
    </xf>
    <xf numFmtId="10" fontId="150" fillId="0" borderId="204" xfId="51" applyNumberFormat="1" applyFont="1" applyFill="1" applyBorder="1" applyAlignment="1" applyProtection="1">
      <alignment horizontal="right" vertical="center"/>
      <protection locked="0"/>
    </xf>
    <xf numFmtId="4" fontId="150" fillId="0" borderId="186" xfId="51" applyNumberFormat="1" applyFont="1" applyFill="1" applyBorder="1" applyAlignment="1" applyProtection="1">
      <alignment horizontal="right" vertical="center"/>
      <protection locked="0"/>
    </xf>
    <xf numFmtId="4" fontId="150" fillId="0" borderId="183" xfId="51" applyNumberFormat="1" applyFont="1" applyFill="1" applyBorder="1" applyAlignment="1" applyProtection="1">
      <alignment horizontal="right" vertical="center"/>
      <protection locked="0"/>
    </xf>
    <xf numFmtId="4" fontId="150" fillId="0" borderId="184" xfId="51" applyNumberFormat="1" applyFont="1" applyFill="1" applyBorder="1" applyAlignment="1" applyProtection="1">
      <alignment horizontal="right" vertical="center"/>
      <protection locked="0"/>
    </xf>
    <xf numFmtId="4" fontId="150" fillId="0" borderId="179" xfId="51" applyNumberFormat="1" applyFont="1" applyFill="1" applyBorder="1" applyAlignment="1" applyProtection="1">
      <alignment horizontal="right" vertical="center"/>
      <protection locked="0"/>
    </xf>
    <xf numFmtId="4" fontId="150" fillId="0" borderId="8" xfId="51" applyNumberFormat="1" applyFont="1" applyFill="1" applyBorder="1" applyAlignment="1" applyProtection="1">
      <alignment horizontal="right" vertical="center"/>
      <protection locked="0"/>
    </xf>
    <xf numFmtId="4" fontId="150" fillId="0" borderId="0" xfId="51" applyNumberFormat="1" applyFont="1" applyFill="1" applyBorder="1" applyAlignment="1" applyProtection="1">
      <alignment horizontal="right" vertical="center"/>
      <protection locked="0"/>
    </xf>
    <xf numFmtId="0" fontId="151" fillId="0" borderId="196" xfId="27" applyNumberFormat="1" applyFont="1" applyFill="1" applyBorder="1" applyAlignment="1" applyProtection="1">
      <alignment horizontal="right" vertical="top"/>
      <protection locked="0"/>
    </xf>
    <xf numFmtId="4" fontId="151" fillId="0" borderId="186" xfId="51" applyNumberFormat="1" applyFont="1" applyFill="1" applyBorder="1" applyAlignment="1" applyProtection="1">
      <alignment horizontal="right" vertical="center"/>
      <protection locked="0"/>
    </xf>
    <xf numFmtId="4" fontId="151" fillId="0" borderId="183" xfId="51" applyNumberFormat="1" applyFont="1" applyFill="1" applyBorder="1" applyAlignment="1" applyProtection="1">
      <alignment horizontal="right" vertical="center"/>
      <protection locked="0"/>
    </xf>
    <xf numFmtId="4" fontId="151" fillId="0" borderId="184" xfId="51" applyNumberFormat="1" applyFont="1" applyFill="1" applyBorder="1" applyAlignment="1" applyProtection="1">
      <alignment horizontal="right" vertical="center"/>
      <protection locked="0"/>
    </xf>
    <xf numFmtId="10" fontId="151" fillId="0" borderId="184" xfId="51" applyNumberFormat="1" applyFont="1" applyFill="1" applyBorder="1" applyAlignment="1" applyProtection="1">
      <alignment horizontal="right" vertical="center"/>
      <protection locked="0"/>
    </xf>
    <xf numFmtId="0" fontId="151" fillId="0" borderId="197" xfId="27" applyNumberFormat="1" applyFont="1" applyFill="1" applyBorder="1" applyAlignment="1" applyProtection="1">
      <alignment horizontal="right" vertical="top"/>
      <protection locked="0"/>
    </xf>
    <xf numFmtId="0" fontId="151" fillId="0" borderId="199" xfId="27" applyNumberFormat="1" applyFont="1" applyFill="1" applyBorder="1" applyAlignment="1" applyProtection="1">
      <alignment horizontal="right" vertical="top"/>
      <protection locked="0"/>
    </xf>
    <xf numFmtId="0" fontId="152" fillId="0" borderId="195" xfId="27" applyNumberFormat="1" applyFont="1" applyFill="1" applyBorder="1" applyAlignment="1" applyProtection="1">
      <alignment horizontal="right" vertical="top" wrapText="1"/>
      <protection locked="0"/>
    </xf>
    <xf numFmtId="4" fontId="151" fillId="0" borderId="209" xfId="51" applyNumberFormat="1" applyFont="1" applyFill="1" applyBorder="1" applyAlignment="1" applyProtection="1">
      <alignment horizontal="right" vertical="center"/>
      <protection locked="0"/>
    </xf>
    <xf numFmtId="4" fontId="122" fillId="20" borderId="189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29" xfId="51" applyNumberFormat="1" applyFont="1" applyFill="1" applyBorder="1" applyAlignment="1" applyProtection="1">
      <alignment horizontal="right" vertical="center" wrapText="1"/>
      <protection locked="0"/>
    </xf>
    <xf numFmtId="4" fontId="121" fillId="21" borderId="189" xfId="51" applyNumberFormat="1" applyFont="1" applyFill="1" applyBorder="1" applyAlignment="1" applyProtection="1">
      <alignment horizontal="right" vertical="center" wrapText="1"/>
      <protection locked="0"/>
    </xf>
    <xf numFmtId="4" fontId="121" fillId="21" borderId="29" xfId="51" applyNumberFormat="1" applyFont="1" applyFill="1" applyBorder="1" applyAlignment="1" applyProtection="1">
      <alignment horizontal="right" vertical="center" wrapText="1"/>
      <protection locked="0"/>
    </xf>
    <xf numFmtId="4" fontId="121" fillId="19" borderId="189" xfId="51" applyNumberFormat="1" applyFont="1" applyFill="1" applyBorder="1" applyAlignment="1" applyProtection="1">
      <alignment horizontal="right" vertical="center" wrapText="1"/>
      <protection locked="0"/>
    </xf>
    <xf numFmtId="4" fontId="121" fillId="19" borderId="62" xfId="51" applyNumberFormat="1" applyFont="1" applyFill="1" applyBorder="1" applyAlignment="1" applyProtection="1">
      <alignment horizontal="right" vertical="center" wrapText="1"/>
      <protection locked="0"/>
    </xf>
    <xf numFmtId="4" fontId="122" fillId="0" borderId="125" xfId="51" applyNumberFormat="1" applyFont="1" applyFill="1" applyBorder="1" applyAlignment="1" applyProtection="1">
      <alignment horizontal="right" vertical="center"/>
      <protection locked="0"/>
    </xf>
    <xf numFmtId="4" fontId="122" fillId="6" borderId="125" xfId="51" applyNumberFormat="1" applyFont="1" applyFill="1" applyBorder="1" applyAlignment="1" applyProtection="1">
      <alignment horizontal="right" vertical="center"/>
      <protection locked="0"/>
    </xf>
    <xf numFmtId="4" fontId="122" fillId="6" borderId="4" xfId="51" applyNumberFormat="1" applyFont="1" applyFill="1" applyBorder="1" applyAlignment="1" applyProtection="1">
      <alignment horizontal="right" vertical="center"/>
      <protection locked="0"/>
    </xf>
    <xf numFmtId="10" fontId="122" fillId="22" borderId="5" xfId="51" applyNumberFormat="1" applyFont="1" applyFill="1" applyBorder="1" applyAlignment="1" applyProtection="1">
      <alignment horizontal="right" vertical="center" wrapText="1"/>
      <protection locked="0"/>
    </xf>
    <xf numFmtId="10" fontId="122" fillId="23" borderId="5" xfId="51" applyNumberFormat="1" applyFont="1" applyFill="1" applyBorder="1" applyAlignment="1" applyProtection="1">
      <alignment horizontal="right" vertical="center" wrapText="1"/>
      <protection locked="0"/>
    </xf>
    <xf numFmtId="10" fontId="122" fillId="21" borderId="5" xfId="51" applyNumberFormat="1" applyFont="1" applyFill="1" applyBorder="1" applyAlignment="1" applyProtection="1">
      <alignment horizontal="right" vertical="center" wrapText="1"/>
      <protection locked="0"/>
    </xf>
    <xf numFmtId="4" fontId="122" fillId="0" borderId="124" xfId="51" applyNumberFormat="1" applyFont="1" applyFill="1" applyBorder="1" applyAlignment="1" applyProtection="1">
      <alignment horizontal="right" vertical="center"/>
      <protection locked="0"/>
    </xf>
    <xf numFmtId="49" fontId="80" fillId="19" borderId="89" xfId="51" quotePrefix="1" applyNumberFormat="1" applyFont="1" applyFill="1" applyBorder="1" applyAlignment="1" applyProtection="1">
      <alignment horizontal="center" vertical="center" wrapText="1"/>
      <protection locked="0"/>
    </xf>
    <xf numFmtId="4" fontId="122" fillId="20" borderId="168" xfId="51" applyNumberFormat="1" applyFont="1" applyFill="1" applyBorder="1" applyAlignment="1" applyProtection="1">
      <alignment horizontal="right" vertical="center" wrapText="1"/>
      <protection locked="0"/>
    </xf>
    <xf numFmtId="4" fontId="122" fillId="22" borderId="124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31" xfId="51" applyNumberFormat="1" applyFont="1" applyFill="1" applyBorder="1" applyAlignment="1" applyProtection="1">
      <alignment horizontal="right" vertical="center" wrapText="1"/>
      <protection locked="0"/>
    </xf>
    <xf numFmtId="4" fontId="122" fillId="22" borderId="4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222" xfId="51" applyNumberFormat="1" applyFont="1" applyFill="1" applyBorder="1" applyAlignment="1" applyProtection="1">
      <alignment horizontal="right" vertical="center" wrapText="1"/>
      <protection locked="0"/>
    </xf>
    <xf numFmtId="4" fontId="122" fillId="22" borderId="29" xfId="51" quotePrefix="1" applyNumberFormat="1" applyFont="1" applyFill="1" applyBorder="1" applyAlignment="1" applyProtection="1">
      <alignment horizontal="center" vertical="center" wrapText="1"/>
      <protection locked="0"/>
    </xf>
    <xf numFmtId="49" fontId="119" fillId="19" borderId="86" xfId="51" applyNumberFormat="1" applyFont="1" applyFill="1" applyBorder="1" applyAlignment="1" applyProtection="1">
      <alignment horizontal="center" vertical="center" wrapText="1"/>
      <protection locked="0"/>
    </xf>
    <xf numFmtId="49" fontId="80" fillId="19" borderId="31" xfId="51" quotePrefix="1" applyNumberFormat="1" applyFont="1" applyFill="1" applyBorder="1" applyAlignment="1" applyProtection="1">
      <alignment horizontal="center" vertical="center" wrapText="1"/>
      <protection locked="0"/>
    </xf>
    <xf numFmtId="49" fontId="80" fillId="19" borderId="168" xfId="51" quotePrefix="1" applyNumberFormat="1" applyFont="1" applyFill="1" applyBorder="1" applyAlignment="1" applyProtection="1">
      <alignment horizontal="center" vertical="center" wrapText="1"/>
      <protection locked="0"/>
    </xf>
    <xf numFmtId="49" fontId="80" fillId="23" borderId="4" xfId="51" applyNumberFormat="1" applyFont="1" applyFill="1" applyBorder="1" applyAlignment="1" applyProtection="1">
      <alignment horizontal="center" vertical="center" wrapText="1"/>
      <protection locked="0"/>
    </xf>
    <xf numFmtId="49" fontId="80" fillId="23" borderId="4" xfId="51" quotePrefix="1" applyNumberFormat="1" applyFont="1" applyFill="1" applyBorder="1" applyAlignment="1" applyProtection="1">
      <alignment horizontal="center" vertical="center" wrapText="1"/>
      <protection locked="0"/>
    </xf>
    <xf numFmtId="49" fontId="122" fillId="23" borderId="4" xfId="51" applyNumberFormat="1" applyFont="1" applyFill="1" applyBorder="1" applyAlignment="1" applyProtection="1">
      <alignment horizontal="left" vertical="center" wrapText="1"/>
      <protection locked="0"/>
    </xf>
    <xf numFmtId="4" fontId="119" fillId="23" borderId="108" xfId="51" applyNumberFormat="1" applyFont="1" applyFill="1" applyBorder="1" applyAlignment="1" applyProtection="1">
      <alignment horizontal="right" vertical="center" wrapText="1"/>
      <protection locked="0"/>
    </xf>
    <xf numFmtId="4" fontId="119" fillId="19" borderId="31" xfId="51" applyNumberFormat="1" applyFont="1" applyFill="1" applyBorder="1" applyAlignment="1" applyProtection="1">
      <alignment horizontal="right" vertical="center" wrapText="1"/>
      <protection locked="0"/>
    </xf>
    <xf numFmtId="4" fontId="119" fillId="19" borderId="40" xfId="51" applyNumberFormat="1" applyFont="1" applyFill="1" applyBorder="1" applyAlignment="1" applyProtection="1">
      <alignment horizontal="right" vertical="center" wrapText="1"/>
      <protection locked="0"/>
    </xf>
    <xf numFmtId="4" fontId="122" fillId="0" borderId="123" xfId="51" applyNumberFormat="1" applyFont="1" applyFill="1" applyBorder="1" applyAlignment="1" applyProtection="1">
      <alignment horizontal="right" vertical="center"/>
      <protection locked="0"/>
    </xf>
    <xf numFmtId="10" fontId="122" fillId="22" borderId="23" xfId="51" applyNumberFormat="1" applyFont="1" applyFill="1" applyBorder="1" applyAlignment="1" applyProtection="1">
      <alignment horizontal="right" vertical="center" wrapText="1"/>
      <protection locked="0"/>
    </xf>
    <xf numFmtId="4" fontId="122" fillId="0" borderId="7" xfId="51" applyNumberFormat="1" applyFont="1" applyFill="1" applyBorder="1" applyAlignment="1" applyProtection="1">
      <alignment horizontal="right" vertical="center"/>
      <protection locked="0"/>
    </xf>
    <xf numFmtId="4" fontId="119" fillId="19" borderId="168" xfId="51" applyNumberFormat="1" applyFont="1" applyFill="1" applyBorder="1" applyAlignment="1" applyProtection="1">
      <alignment horizontal="right" vertical="center" wrapText="1"/>
      <protection locked="0"/>
    </xf>
    <xf numFmtId="4" fontId="119" fillId="19" borderId="169" xfId="51" applyNumberFormat="1" applyFont="1" applyFill="1" applyBorder="1" applyAlignment="1" applyProtection="1">
      <alignment horizontal="right" vertical="center" wrapText="1"/>
      <protection locked="0"/>
    </xf>
    <xf numFmtId="10" fontId="122" fillId="22" borderId="178" xfId="51" applyNumberFormat="1" applyFont="1" applyFill="1" applyBorder="1" applyAlignment="1" applyProtection="1">
      <alignment horizontal="right" vertical="center" wrapText="1"/>
      <protection locked="0"/>
    </xf>
    <xf numFmtId="4" fontId="119" fillId="23" borderId="4" xfId="51" applyNumberFormat="1" applyFont="1" applyFill="1" applyBorder="1" applyAlignment="1" applyProtection="1">
      <alignment horizontal="right" vertical="center" wrapText="1"/>
      <protection locked="0"/>
    </xf>
    <xf numFmtId="4" fontId="122" fillId="24" borderId="4" xfId="51" applyNumberFormat="1" applyFont="1" applyFill="1" applyBorder="1" applyAlignment="1" applyProtection="1">
      <alignment horizontal="right" vertical="center"/>
      <protection locked="0"/>
    </xf>
    <xf numFmtId="10" fontId="122" fillId="23" borderId="4" xfId="51" applyNumberFormat="1" applyFont="1" applyFill="1" applyBorder="1" applyAlignment="1" applyProtection="1">
      <alignment horizontal="right" vertical="center" wrapText="1"/>
      <protection locked="0"/>
    </xf>
    <xf numFmtId="10" fontId="117" fillId="21" borderId="29" xfId="51" applyNumberFormat="1" applyFont="1" applyFill="1" applyBorder="1" applyAlignment="1" applyProtection="1">
      <alignment horizontal="right" vertical="center" wrapText="1"/>
      <protection locked="0"/>
    </xf>
    <xf numFmtId="4" fontId="119" fillId="23" borderId="189" xfId="51" applyNumberFormat="1" applyFont="1" applyFill="1" applyBorder="1" applyAlignment="1" applyProtection="1">
      <alignment horizontal="right" vertical="center" wrapText="1"/>
      <protection locked="0"/>
    </xf>
    <xf numFmtId="10" fontId="122" fillId="20" borderId="176" xfId="51" applyNumberFormat="1" applyFont="1" applyFill="1" applyBorder="1" applyAlignment="1" applyProtection="1">
      <alignment horizontal="right" vertical="center" wrapText="1"/>
      <protection locked="0"/>
    </xf>
    <xf numFmtId="49" fontId="119" fillId="19" borderId="31" xfId="51" applyNumberFormat="1" applyFont="1" applyFill="1" applyBorder="1" applyAlignment="1" applyProtection="1">
      <alignment horizontal="left" vertical="center" wrapText="1"/>
      <protection locked="0"/>
    </xf>
    <xf numFmtId="10" fontId="122" fillId="23" borderId="178" xfId="51" applyNumberFormat="1" applyFont="1" applyFill="1" applyBorder="1" applyAlignment="1" applyProtection="1">
      <alignment horizontal="right" vertical="center" wrapText="1"/>
      <protection locked="0"/>
    </xf>
    <xf numFmtId="49" fontId="80" fillId="23" borderId="4" xfId="51" applyNumberFormat="1" applyFont="1" applyFill="1" applyBorder="1" applyAlignment="1" applyProtection="1">
      <alignment horizontal="left" vertical="center" wrapText="1"/>
      <protection locked="0"/>
    </xf>
    <xf numFmtId="4" fontId="122" fillId="20" borderId="223" xfId="51" applyNumberFormat="1" applyFont="1" applyFill="1" applyBorder="1" applyAlignment="1" applyProtection="1">
      <alignment horizontal="right" vertical="center" wrapText="1"/>
      <protection locked="0"/>
    </xf>
    <xf numFmtId="4" fontId="96" fillId="0" borderId="0" xfId="51" applyNumberFormat="1" applyFont="1" applyFill="1" applyBorder="1" applyAlignment="1" applyProtection="1">
      <alignment horizontal="left"/>
      <protection locked="0"/>
    </xf>
    <xf numFmtId="0" fontId="4" fillId="0" borderId="0" xfId="44" applyFont="1" applyBorder="1" applyAlignment="1"/>
    <xf numFmtId="0" fontId="62" fillId="0" borderId="0" xfId="44" applyFont="1" applyBorder="1" applyAlignment="1">
      <alignment horizontal="center" vertical="center"/>
    </xf>
    <xf numFmtId="4" fontId="121" fillId="21" borderId="108" xfId="51" applyNumberFormat="1" applyFont="1" applyFill="1" applyBorder="1" applyAlignment="1" applyProtection="1">
      <alignment horizontal="right" vertical="center" wrapText="1"/>
      <protection locked="0"/>
    </xf>
    <xf numFmtId="0" fontId="139" fillId="0" borderId="192" xfId="27" applyNumberFormat="1" applyFont="1" applyFill="1" applyBorder="1" applyAlignment="1" applyProtection="1">
      <alignment horizontal="left" vertical="center"/>
      <protection locked="0"/>
    </xf>
    <xf numFmtId="4" fontId="149" fillId="0" borderId="182" xfId="51" applyNumberFormat="1" applyFont="1" applyFill="1" applyBorder="1" applyAlignment="1" applyProtection="1">
      <alignment horizontal="right" vertical="center"/>
      <protection locked="0"/>
    </xf>
    <xf numFmtId="4" fontId="149" fillId="0" borderId="192" xfId="51" applyNumberFormat="1" applyFont="1" applyFill="1" applyBorder="1" applyAlignment="1" applyProtection="1">
      <alignment horizontal="right" vertical="center"/>
      <protection locked="0"/>
    </xf>
    <xf numFmtId="4" fontId="149" fillId="0" borderId="171" xfId="51" applyNumberFormat="1" applyFont="1" applyFill="1" applyBorder="1" applyAlignment="1" applyProtection="1">
      <alignment horizontal="right" vertical="center"/>
      <protection locked="0"/>
    </xf>
    <xf numFmtId="10" fontId="149" fillId="0" borderId="171" xfId="51" applyNumberFormat="1" applyFont="1" applyFill="1" applyBorder="1" applyAlignment="1" applyProtection="1">
      <alignment horizontal="right" vertical="center"/>
      <protection locked="0"/>
    </xf>
    <xf numFmtId="0" fontId="115" fillId="0" borderId="218" xfId="51" applyNumberFormat="1" applyFont="1" applyFill="1" applyBorder="1" applyAlignment="1" applyProtection="1">
      <alignment horizontal="left"/>
      <protection locked="0"/>
    </xf>
    <xf numFmtId="10" fontId="150" fillId="0" borderId="184" xfId="51" applyNumberFormat="1" applyFont="1" applyFill="1" applyBorder="1" applyAlignment="1" applyProtection="1">
      <alignment horizontal="right" vertical="center"/>
      <protection locked="0"/>
    </xf>
    <xf numFmtId="4" fontId="121" fillId="21" borderId="224" xfId="51" applyNumberFormat="1" applyFont="1" applyFill="1" applyBorder="1" applyAlignment="1" applyProtection="1">
      <alignment horizontal="right" vertical="center" wrapText="1"/>
      <protection locked="0"/>
    </xf>
    <xf numFmtId="4" fontId="89" fillId="0" borderId="225" xfId="51" applyNumberFormat="1" applyFont="1" applyFill="1" applyBorder="1" applyAlignment="1" applyProtection="1">
      <alignment horizontal="right" vertical="center"/>
      <protection locked="0"/>
    </xf>
    <xf numFmtId="0" fontId="136" fillId="0" borderId="226" xfId="27" applyNumberFormat="1" applyFont="1" applyFill="1" applyBorder="1" applyAlignment="1" applyProtection="1">
      <alignment horizontal="left" vertical="top"/>
      <protection locked="0"/>
    </xf>
    <xf numFmtId="0" fontId="151" fillId="0" borderId="226" xfId="27" applyNumberFormat="1" applyFont="1" applyFill="1" applyBorder="1" applyAlignment="1" applyProtection="1">
      <alignment horizontal="right" vertical="top"/>
      <protection locked="0"/>
    </xf>
    <xf numFmtId="0" fontId="6" fillId="0" borderId="226" xfId="27" applyNumberFormat="1" applyFont="1" applyFill="1" applyBorder="1" applyAlignment="1" applyProtection="1">
      <alignment horizontal="right" vertical="top" wrapText="1"/>
      <protection locked="0"/>
    </xf>
    <xf numFmtId="0" fontId="152" fillId="0" borderId="226" xfId="27" applyNumberFormat="1" applyFont="1" applyFill="1" applyBorder="1" applyAlignment="1" applyProtection="1">
      <alignment horizontal="right" vertical="top" wrapText="1"/>
      <protection locked="0"/>
    </xf>
    <xf numFmtId="0" fontId="6" fillId="0" borderId="226" xfId="51" applyNumberFormat="1" applyFont="1" applyFill="1" applyBorder="1" applyAlignment="1" applyProtection="1">
      <alignment horizontal="right"/>
      <protection locked="0"/>
    </xf>
    <xf numFmtId="0" fontId="142" fillId="0" borderId="226" xfId="51" applyNumberFormat="1" applyFont="1" applyFill="1" applyBorder="1" applyAlignment="1" applyProtection="1">
      <alignment horizontal="right" vertical="top"/>
      <protection locked="0"/>
    </xf>
    <xf numFmtId="4" fontId="121" fillId="21" borderId="173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224" xfId="51" applyNumberFormat="1" applyFont="1" applyFill="1" applyBorder="1" applyAlignment="1" applyProtection="1">
      <alignment horizontal="right" vertical="center" wrapText="1"/>
      <protection locked="0"/>
    </xf>
    <xf numFmtId="4" fontId="121" fillId="19" borderId="224" xfId="51" applyNumberFormat="1" applyFont="1" applyFill="1" applyBorder="1" applyAlignment="1" applyProtection="1">
      <alignment horizontal="right" vertical="center" wrapText="1"/>
      <protection locked="0"/>
    </xf>
    <xf numFmtId="4" fontId="89" fillId="0" borderId="218" xfId="51" applyNumberFormat="1" applyFont="1" applyFill="1" applyBorder="1" applyAlignment="1" applyProtection="1">
      <alignment horizontal="right" vertical="center"/>
      <protection locked="0"/>
    </xf>
    <xf numFmtId="0" fontId="30" fillId="0" borderId="4" xfId="51" applyNumberFormat="1" applyFont="1" applyFill="1" applyBorder="1" applyAlignment="1" applyProtection="1">
      <alignment horizontal="left" vertical="center"/>
      <protection locked="0"/>
    </xf>
    <xf numFmtId="4" fontId="152" fillId="0" borderId="186" xfId="51" applyNumberFormat="1" applyFont="1" applyFill="1" applyBorder="1" applyAlignment="1" applyProtection="1">
      <alignment horizontal="right" vertical="center"/>
      <protection locked="0"/>
    </xf>
    <xf numFmtId="4" fontId="152" fillId="0" borderId="194" xfId="51" applyNumberFormat="1" applyFont="1" applyFill="1" applyBorder="1" applyAlignment="1" applyProtection="1">
      <alignment horizontal="right" vertical="center"/>
      <protection locked="0"/>
    </xf>
    <xf numFmtId="4" fontId="152" fillId="0" borderId="216" xfId="51" applyNumberFormat="1" applyFont="1" applyFill="1" applyBorder="1" applyAlignment="1" applyProtection="1">
      <alignment horizontal="right" vertical="center"/>
      <protection locked="0"/>
    </xf>
    <xf numFmtId="4" fontId="152" fillId="0" borderId="211" xfId="51" applyNumberFormat="1" applyFont="1" applyFill="1" applyBorder="1" applyAlignment="1" applyProtection="1">
      <alignment horizontal="right" vertical="center"/>
      <protection locked="0"/>
    </xf>
    <xf numFmtId="4" fontId="152" fillId="0" borderId="196" xfId="51" applyNumberFormat="1" applyFont="1" applyFill="1" applyBorder="1" applyAlignment="1" applyProtection="1">
      <alignment horizontal="right" vertical="center"/>
      <protection locked="0"/>
    </xf>
    <xf numFmtId="4" fontId="152" fillId="0" borderId="213" xfId="51" applyNumberFormat="1" applyFont="1" applyFill="1" applyBorder="1" applyAlignment="1" applyProtection="1">
      <alignment horizontal="right" vertical="center"/>
      <protection locked="0"/>
    </xf>
    <xf numFmtId="4" fontId="152" fillId="0" borderId="204" xfId="51" applyNumberFormat="1" applyFont="1" applyFill="1" applyBorder="1" applyAlignment="1" applyProtection="1">
      <alignment horizontal="right" vertical="center"/>
      <protection locked="0"/>
    </xf>
    <xf numFmtId="4" fontId="153" fillId="0" borderId="186" xfId="51" applyNumberFormat="1" applyFont="1" applyFill="1" applyBorder="1" applyAlignment="1" applyProtection="1">
      <alignment horizontal="right" vertical="center"/>
      <protection locked="0"/>
    </xf>
    <xf numFmtId="4" fontId="153" fillId="0" borderId="210" xfId="51" applyNumberFormat="1" applyFont="1" applyFill="1" applyBorder="1" applyAlignment="1" applyProtection="1">
      <alignment horizontal="right" vertical="center"/>
      <protection locked="0"/>
    </xf>
    <xf numFmtId="4" fontId="154" fillId="0" borderId="179" xfId="51" applyNumberFormat="1" applyFont="1" applyFill="1" applyBorder="1" applyAlignment="1" applyProtection="1">
      <alignment horizontal="right" vertical="center"/>
      <protection locked="0"/>
    </xf>
    <xf numFmtId="4" fontId="153" fillId="0" borderId="212" xfId="51" applyNumberFormat="1" applyFont="1" applyFill="1" applyBorder="1" applyAlignment="1" applyProtection="1">
      <alignment horizontal="right" vertical="top"/>
      <protection locked="0"/>
    </xf>
    <xf numFmtId="4" fontId="153" fillId="0" borderId="184" xfId="51" applyNumberFormat="1" applyFont="1" applyFill="1" applyBorder="1" applyAlignment="1" applyProtection="1">
      <alignment horizontal="right" vertical="center"/>
      <protection locked="0"/>
    </xf>
    <xf numFmtId="4" fontId="153" fillId="0" borderId="218" xfId="51" applyNumberFormat="1" applyFont="1" applyFill="1" applyBorder="1" applyAlignment="1" applyProtection="1">
      <alignment horizontal="right" vertical="center"/>
      <protection locked="0"/>
    </xf>
    <xf numFmtId="4" fontId="154" fillId="0" borderId="0" xfId="51" applyNumberFormat="1" applyFont="1" applyFill="1" applyBorder="1" applyAlignment="1" applyProtection="1">
      <alignment horizontal="right" vertical="center"/>
      <protection locked="0"/>
    </xf>
    <xf numFmtId="4" fontId="153" fillId="0" borderId="219" xfId="51" applyNumberFormat="1" applyFont="1" applyFill="1" applyBorder="1" applyAlignment="1" applyProtection="1">
      <alignment horizontal="right" vertical="top"/>
      <protection locked="0"/>
    </xf>
    <xf numFmtId="4" fontId="153" fillId="0" borderId="194" xfId="51" applyNumberFormat="1" applyFont="1" applyFill="1" applyBorder="1" applyAlignment="1" applyProtection="1">
      <alignment horizontal="right" vertical="center"/>
      <protection locked="0"/>
    </xf>
    <xf numFmtId="4" fontId="153" fillId="0" borderId="199" xfId="51" applyNumberFormat="1" applyFont="1" applyFill="1" applyBorder="1" applyAlignment="1" applyProtection="1">
      <alignment horizontal="right" vertical="center"/>
      <protection locked="0"/>
    </xf>
    <xf numFmtId="4" fontId="154" fillId="0" borderId="197" xfId="51" applyNumberFormat="1" applyFont="1" applyFill="1" applyBorder="1" applyAlignment="1" applyProtection="1">
      <alignment horizontal="right" vertical="center"/>
      <protection locked="0"/>
    </xf>
    <xf numFmtId="4" fontId="153" fillId="0" borderId="207" xfId="51" applyNumberFormat="1" applyFont="1" applyFill="1" applyBorder="1" applyAlignment="1" applyProtection="1">
      <alignment horizontal="right" vertical="top"/>
      <protection locked="0"/>
    </xf>
    <xf numFmtId="4" fontId="152" fillId="0" borderId="228" xfId="51" applyNumberFormat="1" applyFont="1" applyFill="1" applyBorder="1" applyAlignment="1" applyProtection="1">
      <alignment horizontal="right" vertical="center"/>
      <protection locked="0"/>
    </xf>
    <xf numFmtId="0" fontId="139" fillId="0" borderId="0" xfId="27" applyNumberFormat="1" applyFont="1" applyFill="1" applyBorder="1" applyAlignment="1" applyProtection="1">
      <alignment horizontal="left" vertical="center"/>
      <protection locked="0"/>
    </xf>
    <xf numFmtId="0" fontId="6" fillId="0" borderId="0" xfId="27" applyNumberFormat="1" applyFont="1" applyFill="1" applyBorder="1" applyAlignment="1" applyProtection="1">
      <alignment horizontal="right" vertical="top" wrapText="1"/>
      <protection locked="0"/>
    </xf>
    <xf numFmtId="4" fontId="151" fillId="0" borderId="204" xfId="51" applyNumberFormat="1" applyFont="1" applyFill="1" applyBorder="1" applyAlignment="1" applyProtection="1">
      <alignment horizontal="right" vertical="center"/>
      <protection locked="0"/>
    </xf>
    <xf numFmtId="4" fontId="153" fillId="0" borderId="229" xfId="51" applyNumberFormat="1" applyFont="1" applyFill="1" applyBorder="1" applyAlignment="1" applyProtection="1">
      <alignment horizontal="right" vertical="center"/>
      <protection locked="0"/>
    </xf>
    <xf numFmtId="4" fontId="153" fillId="0" borderId="230" xfId="51" applyNumberFormat="1" applyFont="1" applyFill="1" applyBorder="1" applyAlignment="1" applyProtection="1">
      <alignment horizontal="right" vertical="center"/>
      <protection locked="0"/>
    </xf>
    <xf numFmtId="4" fontId="153" fillId="0" borderId="231" xfId="51" applyNumberFormat="1" applyFont="1" applyFill="1" applyBorder="1" applyAlignment="1" applyProtection="1">
      <alignment horizontal="right" vertical="center"/>
      <protection locked="0"/>
    </xf>
    <xf numFmtId="10" fontId="121" fillId="22" borderId="4" xfId="51" applyNumberFormat="1" applyFont="1" applyFill="1" applyBorder="1" applyAlignment="1" applyProtection="1">
      <alignment horizontal="right" vertical="center" wrapText="1"/>
      <protection locked="0"/>
    </xf>
    <xf numFmtId="10" fontId="81" fillId="23" borderId="4" xfId="51" applyNumberFormat="1" applyFont="1" applyFill="1" applyBorder="1" applyAlignment="1" applyProtection="1">
      <alignment horizontal="right" vertical="center" wrapText="1"/>
      <protection locked="0"/>
    </xf>
    <xf numFmtId="4" fontId="152" fillId="0" borderId="200" xfId="51" applyNumberFormat="1" applyFont="1" applyFill="1" applyBorder="1" applyAlignment="1" applyProtection="1">
      <alignment horizontal="right" vertical="center"/>
      <protection locked="0"/>
    </xf>
    <xf numFmtId="4" fontId="153" fillId="0" borderId="200" xfId="51" applyNumberFormat="1" applyFont="1" applyFill="1" applyBorder="1" applyAlignment="1" applyProtection="1">
      <alignment horizontal="right" vertical="center"/>
      <protection locked="0"/>
    </xf>
    <xf numFmtId="4" fontId="153" fillId="0" borderId="202" xfId="51" applyNumberFormat="1" applyFont="1" applyFill="1" applyBorder="1" applyAlignment="1" applyProtection="1">
      <alignment horizontal="right" vertical="center"/>
      <protection locked="0"/>
    </xf>
    <xf numFmtId="4" fontId="154" fillId="0" borderId="227" xfId="51" applyNumberFormat="1" applyFont="1" applyFill="1" applyBorder="1" applyAlignment="1" applyProtection="1">
      <alignment horizontal="right" vertical="center"/>
      <protection locked="0"/>
    </xf>
    <xf numFmtId="4" fontId="153" fillId="0" borderId="208" xfId="51" applyNumberFormat="1" applyFont="1" applyFill="1" applyBorder="1" applyAlignment="1" applyProtection="1">
      <alignment horizontal="right" vertical="top"/>
      <protection locked="0"/>
    </xf>
    <xf numFmtId="4" fontId="152" fillId="0" borderId="203" xfId="51" applyNumberFormat="1" applyFont="1" applyFill="1" applyBorder="1" applyAlignment="1" applyProtection="1">
      <alignment horizontal="right" vertical="center"/>
      <protection locked="0"/>
    </xf>
    <xf numFmtId="4" fontId="152" fillId="0" borderId="229" xfId="51" applyNumberFormat="1" applyFont="1" applyFill="1" applyBorder="1" applyAlignment="1" applyProtection="1">
      <alignment horizontal="right" vertical="center"/>
      <protection locked="0"/>
    </xf>
    <xf numFmtId="4" fontId="122" fillId="0" borderId="229" xfId="51" applyNumberFormat="1" applyFont="1" applyFill="1" applyBorder="1" applyAlignment="1" applyProtection="1">
      <alignment horizontal="right" vertical="center"/>
      <protection locked="0"/>
    </xf>
    <xf numFmtId="4" fontId="153" fillId="0" borderId="232" xfId="51" applyNumberFormat="1" applyFont="1" applyFill="1" applyBorder="1" applyAlignment="1" applyProtection="1">
      <alignment horizontal="right" vertical="center"/>
      <protection locked="0"/>
    </xf>
    <xf numFmtId="4" fontId="154" fillId="0" borderId="226" xfId="51" applyNumberFormat="1" applyFont="1" applyFill="1" applyBorder="1" applyAlignment="1" applyProtection="1">
      <alignment horizontal="right" vertical="center"/>
      <protection locked="0"/>
    </xf>
    <xf numFmtId="4" fontId="153" fillId="0" borderId="233" xfId="51" applyNumberFormat="1" applyFont="1" applyFill="1" applyBorder="1" applyAlignment="1" applyProtection="1">
      <alignment horizontal="right" vertical="top"/>
      <protection locked="0"/>
    </xf>
    <xf numFmtId="4" fontId="152" fillId="0" borderId="234" xfId="51" applyNumberFormat="1" applyFont="1" applyFill="1" applyBorder="1" applyAlignment="1" applyProtection="1">
      <alignment horizontal="right" vertical="center"/>
      <protection locked="0"/>
    </xf>
    <xf numFmtId="10" fontId="122" fillId="22" borderId="7" xfId="51" applyNumberFormat="1" applyFont="1" applyFill="1" applyBorder="1" applyAlignment="1" applyProtection="1">
      <alignment horizontal="right" vertical="center" wrapText="1"/>
      <protection locked="0"/>
    </xf>
    <xf numFmtId="10" fontId="122" fillId="22" borderId="194" xfId="51" applyNumberFormat="1" applyFont="1" applyFill="1" applyBorder="1" applyAlignment="1" applyProtection="1">
      <alignment horizontal="right" vertical="center" wrapText="1"/>
      <protection locked="0"/>
    </xf>
    <xf numFmtId="10" fontId="122" fillId="22" borderId="199" xfId="51" applyNumberFormat="1" applyFont="1" applyFill="1" applyBorder="1" applyAlignment="1" applyProtection="1">
      <alignment horizontal="right" vertical="center" wrapText="1"/>
      <protection locked="0"/>
    </xf>
    <xf numFmtId="10" fontId="122" fillId="22" borderId="207" xfId="51" applyNumberFormat="1" applyFont="1" applyFill="1" applyBorder="1" applyAlignment="1" applyProtection="1">
      <alignment horizontal="right" vertical="center" wrapText="1"/>
      <protection locked="0"/>
    </xf>
    <xf numFmtId="4" fontId="153" fillId="0" borderId="235" xfId="51" applyNumberFormat="1" applyFont="1" applyFill="1" applyBorder="1" applyAlignment="1" applyProtection="1">
      <alignment horizontal="right" vertical="center"/>
      <protection locked="0"/>
    </xf>
    <xf numFmtId="4" fontId="153" fillId="0" borderId="207" xfId="51" applyNumberFormat="1" applyFont="1" applyFill="1" applyBorder="1" applyAlignment="1" applyProtection="1">
      <alignment horizontal="right" vertical="center"/>
      <protection locked="0"/>
    </xf>
    <xf numFmtId="4" fontId="153" fillId="0" borderId="236" xfId="51" applyNumberFormat="1" applyFont="1" applyFill="1" applyBorder="1" applyAlignment="1" applyProtection="1">
      <alignment horizontal="right" vertical="center"/>
      <protection locked="0"/>
    </xf>
    <xf numFmtId="4" fontId="153" fillId="0" borderId="233" xfId="51" applyNumberFormat="1" applyFont="1" applyFill="1" applyBorder="1" applyAlignment="1" applyProtection="1">
      <alignment horizontal="right" vertical="center"/>
      <protection locked="0"/>
    </xf>
    <xf numFmtId="4" fontId="153" fillId="0" borderId="208" xfId="51" applyNumberFormat="1" applyFont="1" applyFill="1" applyBorder="1" applyAlignment="1" applyProtection="1">
      <alignment horizontal="right" vertical="center"/>
      <protection locked="0"/>
    </xf>
    <xf numFmtId="10" fontId="122" fillId="22" borderId="184" xfId="51" applyNumberFormat="1" applyFont="1" applyFill="1" applyBorder="1" applyAlignment="1" applyProtection="1">
      <alignment horizontal="right" vertical="center" wrapText="1"/>
      <protection locked="0"/>
    </xf>
    <xf numFmtId="0" fontId="52" fillId="25" borderId="49" xfId="44" applyFont="1" applyFill="1" applyBorder="1" applyAlignment="1">
      <alignment horizontal="left" vertical="center"/>
    </xf>
    <xf numFmtId="168" fontId="52" fillId="25" borderId="55" xfId="44" applyNumberFormat="1" applyFont="1" applyFill="1" applyBorder="1" applyAlignment="1">
      <alignment horizontal="center" vertical="center" wrapText="1"/>
    </xf>
    <xf numFmtId="0" fontId="52" fillId="25" borderId="49" xfId="44" applyFont="1" applyFill="1" applyBorder="1" applyAlignment="1">
      <alignment horizontal="center" vertical="center"/>
    </xf>
    <xf numFmtId="0" fontId="52" fillId="25" borderId="49" xfId="44" applyFont="1" applyFill="1" applyBorder="1" applyAlignment="1">
      <alignment horizontal="center" vertical="center" wrapText="1"/>
    </xf>
    <xf numFmtId="0" fontId="19" fillId="0" borderId="168" xfId="44" applyFont="1" applyBorder="1" applyAlignment="1">
      <alignment vertical="top"/>
    </xf>
    <xf numFmtId="0" fontId="52" fillId="25" borderId="33" xfId="44" applyFont="1" applyFill="1" applyBorder="1" applyAlignment="1">
      <alignment vertical="center" wrapText="1"/>
    </xf>
    <xf numFmtId="168" fontId="52" fillId="25" borderId="81" xfId="44" applyNumberFormat="1" applyFont="1" applyFill="1" applyBorder="1" applyAlignment="1">
      <alignment horizontal="center" vertical="center" wrapText="1"/>
    </xf>
    <xf numFmtId="168" fontId="52" fillId="25" borderId="33" xfId="44" applyNumberFormat="1" applyFont="1" applyFill="1" applyBorder="1" applyAlignment="1">
      <alignment horizontal="center" vertical="center" wrapText="1"/>
    </xf>
    <xf numFmtId="164" fontId="52" fillId="25" borderId="49" xfId="44" applyNumberFormat="1" applyFont="1" applyFill="1" applyBorder="1" applyAlignment="1">
      <alignment horizontal="right" vertical="center" wrapText="1"/>
    </xf>
    <xf numFmtId="168" fontId="70" fillId="26" borderId="72" xfId="44" applyNumberFormat="1" applyFont="1" applyFill="1" applyBorder="1" applyAlignment="1">
      <alignment horizontal="center" vertical="center" wrapText="1"/>
    </xf>
    <xf numFmtId="10" fontId="52" fillId="25" borderId="55" xfId="44" applyNumberFormat="1" applyFont="1" applyFill="1" applyBorder="1" applyAlignment="1">
      <alignment horizontal="right" vertical="center" wrapText="1"/>
    </xf>
    <xf numFmtId="10" fontId="52" fillId="25" borderId="172" xfId="44" applyNumberFormat="1" applyFont="1" applyFill="1" applyBorder="1" applyAlignment="1">
      <alignment horizontal="right" vertical="center" wrapText="1"/>
    </xf>
    <xf numFmtId="43" fontId="70" fillId="26" borderId="4" xfId="44" applyNumberFormat="1" applyFont="1" applyFill="1" applyBorder="1" applyAlignment="1">
      <alignment horizontal="center" vertical="center" wrapText="1"/>
    </xf>
    <xf numFmtId="10" fontId="70" fillId="26" borderId="4" xfId="44" applyNumberFormat="1" applyFont="1" applyFill="1" applyBorder="1" applyAlignment="1">
      <alignment horizontal="right" vertical="center"/>
    </xf>
    <xf numFmtId="10" fontId="121" fillId="22" borderId="5" xfId="51" applyNumberFormat="1" applyFont="1" applyFill="1" applyBorder="1" applyAlignment="1" applyProtection="1">
      <alignment horizontal="right" vertical="center" wrapText="1"/>
      <protection locked="0"/>
    </xf>
    <xf numFmtId="10" fontId="96" fillId="0" borderId="54" xfId="51" applyNumberFormat="1" applyFont="1" applyFill="1" applyBorder="1" applyAlignment="1" applyProtection="1">
      <alignment horizontal="left"/>
      <protection locked="0"/>
    </xf>
    <xf numFmtId="4" fontId="145" fillId="0" borderId="25" xfId="51" applyNumberFormat="1" applyFont="1" applyFill="1" applyBorder="1" applyAlignment="1" applyProtection="1">
      <alignment horizontal="right" vertical="center"/>
      <protection locked="0"/>
    </xf>
    <xf numFmtId="10" fontId="145" fillId="0" borderId="5" xfId="51" applyNumberFormat="1" applyFont="1" applyFill="1" applyBorder="1" applyAlignment="1" applyProtection="1">
      <alignment horizontal="right" vertical="center"/>
      <protection locked="0"/>
    </xf>
    <xf numFmtId="4" fontId="145" fillId="0" borderId="125" xfId="51" applyNumberFormat="1" applyFont="1" applyFill="1" applyBorder="1" applyAlignment="1" applyProtection="1">
      <alignment horizontal="right" vertical="center"/>
      <protection locked="0"/>
    </xf>
    <xf numFmtId="4" fontId="6" fillId="0" borderId="25" xfId="51" applyNumberFormat="1" applyFont="1" applyFill="1" applyBorder="1" applyAlignment="1" applyProtection="1">
      <alignment horizontal="right" vertical="top"/>
      <protection locked="0"/>
    </xf>
    <xf numFmtId="4" fontId="6" fillId="0" borderId="25" xfId="51" applyNumberFormat="1" applyFont="1" applyFill="1" applyBorder="1" applyAlignment="1" applyProtection="1">
      <alignment vertical="top"/>
      <protection locked="0"/>
    </xf>
    <xf numFmtId="10" fontId="6" fillId="0" borderId="5" xfId="51" applyNumberFormat="1" applyFont="1" applyFill="1" applyBorder="1" applyAlignment="1" applyProtection="1">
      <alignment horizontal="right" vertical="top"/>
      <protection locked="0"/>
    </xf>
    <xf numFmtId="4" fontId="6" fillId="0" borderId="125" xfId="51" applyNumberFormat="1" applyFont="1" applyFill="1" applyBorder="1" applyAlignment="1" applyProtection="1">
      <alignment horizontal="right" vertical="top"/>
      <protection locked="0"/>
    </xf>
    <xf numFmtId="4" fontId="6" fillId="0" borderId="125" xfId="51" applyNumberFormat="1" applyFont="1" applyFill="1" applyBorder="1" applyAlignment="1" applyProtection="1">
      <alignment vertical="top"/>
      <protection locked="0"/>
    </xf>
    <xf numFmtId="4" fontId="147" fillId="0" borderId="25" xfId="51" applyNumberFormat="1" applyFont="1" applyFill="1" applyBorder="1" applyAlignment="1" applyProtection="1">
      <alignment vertical="top"/>
      <protection locked="0"/>
    </xf>
    <xf numFmtId="4" fontId="6" fillId="0" borderId="25" xfId="51" applyNumberFormat="1" applyFont="1" applyFill="1" applyBorder="1" applyAlignment="1" applyProtection="1">
      <alignment horizontal="right"/>
      <protection locked="0"/>
    </xf>
    <xf numFmtId="10" fontId="147" fillId="0" borderId="5" xfId="51" applyNumberFormat="1" applyFont="1" applyFill="1" applyBorder="1" applyAlignment="1" applyProtection="1">
      <alignment vertical="top"/>
      <protection locked="0"/>
    </xf>
    <xf numFmtId="10" fontId="6" fillId="0" borderId="5" xfId="51" applyNumberFormat="1" applyFont="1" applyFill="1" applyBorder="1" applyAlignment="1" applyProtection="1">
      <alignment horizontal="right"/>
      <protection locked="0"/>
    </xf>
    <xf numFmtId="4" fontId="147" fillId="0" borderId="125" xfId="51" applyNumberFormat="1" applyFont="1" applyFill="1" applyBorder="1" applyAlignment="1" applyProtection="1">
      <alignment vertical="top"/>
      <protection locked="0"/>
    </xf>
    <xf numFmtId="4" fontId="6" fillId="0" borderId="125" xfId="51" applyNumberFormat="1" applyFont="1" applyFill="1" applyBorder="1" applyAlignment="1" applyProtection="1">
      <alignment horizontal="right"/>
      <protection locked="0"/>
    </xf>
    <xf numFmtId="4" fontId="147" fillId="0" borderId="25" xfId="51" applyNumberFormat="1" applyFont="1" applyFill="1" applyBorder="1" applyAlignment="1" applyProtection="1">
      <alignment horizontal="right" vertical="top"/>
      <protection locked="0"/>
    </xf>
    <xf numFmtId="10" fontId="147" fillId="0" borderId="5" xfId="51" applyNumberFormat="1" applyFont="1" applyFill="1" applyBorder="1" applyAlignment="1" applyProtection="1">
      <alignment horizontal="right" vertical="top"/>
      <protection locked="0"/>
    </xf>
    <xf numFmtId="4" fontId="147" fillId="0" borderId="125" xfId="51" applyNumberFormat="1" applyFont="1" applyFill="1" applyBorder="1" applyAlignment="1" applyProtection="1">
      <alignment horizontal="right" vertical="top"/>
      <protection locked="0"/>
    </xf>
    <xf numFmtId="4" fontId="121" fillId="21" borderId="237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238" xfId="51" applyNumberFormat="1" applyFont="1" applyFill="1" applyBorder="1" applyAlignment="1" applyProtection="1">
      <alignment horizontal="right" vertical="center" wrapText="1"/>
      <protection locked="0"/>
    </xf>
    <xf numFmtId="4" fontId="121" fillId="21" borderId="238" xfId="51" applyNumberFormat="1" applyFont="1" applyFill="1" applyBorder="1" applyAlignment="1" applyProtection="1">
      <alignment horizontal="right" vertical="center" wrapText="1"/>
      <protection locked="0"/>
    </xf>
    <xf numFmtId="10" fontId="36" fillId="0" borderId="59" xfId="2" applyNumberFormat="1" applyFont="1" applyBorder="1" applyAlignment="1">
      <alignment horizontal="right" vertical="center"/>
    </xf>
    <xf numFmtId="49" fontId="112" fillId="0" borderId="55" xfId="2" applyNumberFormat="1" applyFont="1" applyBorder="1" applyAlignment="1">
      <alignment horizontal="right" vertical="center" wrapText="1"/>
    </xf>
    <xf numFmtId="49" fontId="86" fillId="14" borderId="168" xfId="30" applyNumberFormat="1" applyFont="1" applyFill="1" applyBorder="1" applyAlignment="1" applyProtection="1">
      <alignment horizontal="center" vertical="center" wrapText="1"/>
      <protection locked="0"/>
    </xf>
    <xf numFmtId="49" fontId="88" fillId="14" borderId="168" xfId="30" applyNumberFormat="1" applyFont="1" applyFill="1" applyBorder="1" applyAlignment="1" applyProtection="1">
      <alignment horizontal="left" vertical="center" wrapText="1"/>
      <protection locked="0"/>
    </xf>
    <xf numFmtId="171" fontId="88" fillId="14" borderId="169" xfId="30" applyNumberFormat="1" applyFont="1" applyFill="1" applyBorder="1" applyAlignment="1" applyProtection="1">
      <alignment horizontal="right" vertical="center" wrapText="1"/>
      <protection locked="0"/>
    </xf>
    <xf numFmtId="10" fontId="81" fillId="0" borderId="10" xfId="30" applyNumberFormat="1" applyFont="1" applyBorder="1" applyAlignment="1">
      <alignment horizontal="right" vertical="center"/>
    </xf>
    <xf numFmtId="49" fontId="88" fillId="14" borderId="51" xfId="30" applyNumberFormat="1" applyFont="1" applyFill="1" applyBorder="1" applyAlignment="1" applyProtection="1">
      <alignment horizontal="center" vertical="center" wrapText="1"/>
      <protection locked="0"/>
    </xf>
    <xf numFmtId="49" fontId="88" fillId="14" borderId="51" xfId="30" applyNumberFormat="1" applyFont="1" applyFill="1" applyBorder="1" applyAlignment="1" applyProtection="1">
      <alignment horizontal="left" vertical="center" wrapText="1"/>
      <protection locked="0"/>
    </xf>
    <xf numFmtId="171" fontId="88" fillId="14" borderId="52" xfId="30" applyNumberFormat="1" applyFont="1" applyFill="1" applyBorder="1" applyAlignment="1" applyProtection="1">
      <alignment horizontal="right" vertical="center" wrapText="1"/>
      <protection locked="0"/>
    </xf>
    <xf numFmtId="49" fontId="88" fillId="14" borderId="168" xfId="30" applyNumberFormat="1" applyFont="1" applyFill="1" applyBorder="1" applyAlignment="1" applyProtection="1">
      <alignment horizontal="center" vertical="center" wrapText="1"/>
      <protection locked="0"/>
    </xf>
    <xf numFmtId="49" fontId="122" fillId="20" borderId="39" xfId="51" applyNumberFormat="1" applyFont="1" applyFill="1" applyBorder="1" applyAlignment="1" applyProtection="1">
      <alignment horizontal="left" vertical="center" wrapText="1"/>
      <protection locked="0"/>
    </xf>
    <xf numFmtId="49" fontId="119" fillId="20" borderId="168" xfId="51" applyNumberFormat="1" applyFont="1" applyFill="1" applyBorder="1" applyAlignment="1" applyProtection="1">
      <alignment horizontal="center" vertical="center" wrapText="1"/>
      <protection locked="0"/>
    </xf>
    <xf numFmtId="49" fontId="118" fillId="20" borderId="168" xfId="51" applyNumberFormat="1" applyFont="1" applyFill="1" applyBorder="1" applyAlignment="1" applyProtection="1">
      <alignment horizontal="center" vertical="center" wrapText="1"/>
      <protection locked="0"/>
    </xf>
    <xf numFmtId="49" fontId="119" fillId="20" borderId="168" xfId="51" applyNumberFormat="1" applyFont="1" applyFill="1" applyBorder="1" applyAlignment="1" applyProtection="1">
      <alignment horizontal="left" vertical="center" wrapText="1"/>
      <protection locked="0"/>
    </xf>
    <xf numFmtId="4" fontId="119" fillId="20" borderId="168" xfId="51" applyNumberFormat="1" applyFont="1" applyFill="1" applyBorder="1" applyAlignment="1" applyProtection="1">
      <alignment horizontal="right" vertical="center" wrapText="1"/>
      <protection locked="0"/>
    </xf>
    <xf numFmtId="4" fontId="119" fillId="20" borderId="169" xfId="51" applyNumberFormat="1" applyFont="1" applyFill="1" applyBorder="1" applyAlignment="1" applyProtection="1">
      <alignment horizontal="right" vertical="center" wrapText="1"/>
      <protection locked="0"/>
    </xf>
    <xf numFmtId="4" fontId="122" fillId="20" borderId="239" xfId="51" applyNumberFormat="1" applyFont="1" applyFill="1" applyBorder="1" applyAlignment="1" applyProtection="1">
      <alignment horizontal="right" vertical="center" wrapText="1"/>
      <protection locked="0"/>
    </xf>
    <xf numFmtId="49" fontId="119" fillId="19" borderId="44" xfId="51" applyNumberFormat="1" applyFont="1" applyFill="1" applyBorder="1" applyAlignment="1" applyProtection="1">
      <alignment horizontal="center" vertical="center" wrapText="1"/>
      <protection locked="0"/>
    </xf>
    <xf numFmtId="49" fontId="80" fillId="19" borderId="51" xfId="51" quotePrefix="1" applyNumberFormat="1" applyFont="1" applyFill="1" applyBorder="1" applyAlignment="1" applyProtection="1">
      <alignment horizontal="center" vertical="center" wrapText="1"/>
      <protection locked="0"/>
    </xf>
    <xf numFmtId="49" fontId="122" fillId="22" borderId="51" xfId="51" applyNumberFormat="1" applyFont="1" applyFill="1" applyBorder="1" applyAlignment="1" applyProtection="1">
      <alignment horizontal="left" vertical="center" wrapText="1"/>
      <protection locked="0"/>
    </xf>
    <xf numFmtId="4" fontId="119" fillId="19" borderId="51" xfId="51" applyNumberFormat="1" applyFont="1" applyFill="1" applyBorder="1" applyAlignment="1" applyProtection="1">
      <alignment horizontal="right" vertical="center" wrapText="1"/>
      <protection locked="0"/>
    </xf>
    <xf numFmtId="4" fontId="119" fillId="19" borderId="52" xfId="51" applyNumberFormat="1" applyFont="1" applyFill="1" applyBorder="1" applyAlignment="1" applyProtection="1">
      <alignment horizontal="right" vertical="center" wrapText="1"/>
      <protection locked="0"/>
    </xf>
    <xf numFmtId="4" fontId="119" fillId="23" borderId="25" xfId="51" applyNumberFormat="1" applyFont="1" applyFill="1" applyBorder="1" applyAlignment="1" applyProtection="1">
      <alignment horizontal="right" vertical="center" wrapText="1"/>
      <protection locked="0"/>
    </xf>
    <xf numFmtId="4" fontId="122" fillId="24" borderId="125" xfId="51" applyNumberFormat="1" applyFont="1" applyFill="1" applyBorder="1" applyAlignment="1" applyProtection="1">
      <alignment horizontal="right" vertical="center"/>
      <protection locked="0"/>
    </xf>
    <xf numFmtId="0" fontId="6" fillId="0" borderId="192" xfId="51" applyNumberFormat="1" applyFont="1" applyFill="1" applyBorder="1" applyAlignment="1" applyProtection="1">
      <alignment horizontal="right" vertical="top"/>
      <protection locked="0"/>
    </xf>
    <xf numFmtId="10" fontId="69" fillId="0" borderId="5" xfId="51" applyNumberFormat="1" applyFont="1" applyFill="1" applyBorder="1" applyAlignment="1" applyProtection="1">
      <alignment horizontal="right" vertical="top"/>
      <protection locked="0"/>
    </xf>
    <xf numFmtId="4" fontId="47" fillId="0" borderId="0" xfId="46" applyNumberFormat="1" applyFont="1" applyAlignment="1">
      <alignment vertical="center"/>
    </xf>
    <xf numFmtId="0" fontId="6" fillId="0" borderId="206" xfId="51" applyNumberFormat="1" applyFont="1" applyFill="1" applyBorder="1" applyAlignment="1" applyProtection="1">
      <alignment horizontal="right" vertical="top"/>
      <protection locked="0"/>
    </xf>
    <xf numFmtId="49" fontId="3" fillId="0" borderId="49" xfId="2" applyNumberFormat="1" applyFont="1" applyBorder="1" applyAlignment="1">
      <alignment vertical="top" wrapText="1"/>
    </xf>
    <xf numFmtId="0" fontId="3" fillId="0" borderId="49" xfId="2" applyFont="1" applyBorder="1" applyAlignment="1">
      <alignment horizontal="left" vertical="top" wrapText="1"/>
    </xf>
    <xf numFmtId="49" fontId="3" fillId="0" borderId="49" xfId="2" applyNumberFormat="1" applyBorder="1" applyAlignment="1">
      <alignment horizontal="center" vertical="center"/>
    </xf>
    <xf numFmtId="4" fontId="3" fillId="0" borderId="49" xfId="2" applyNumberFormat="1" applyFont="1" applyBorder="1" applyAlignment="1">
      <alignment horizontal="right" vertical="center"/>
    </xf>
    <xf numFmtId="10" fontId="2" fillId="0" borderId="240" xfId="2" applyNumberFormat="1" applyFont="1" applyBorder="1" applyAlignment="1">
      <alignment horizontal="right" vertical="center"/>
    </xf>
    <xf numFmtId="10" fontId="121" fillId="21" borderId="5" xfId="51" applyNumberFormat="1" applyFont="1" applyFill="1" applyBorder="1" applyAlignment="1" applyProtection="1">
      <alignment horizontal="right" vertical="center" wrapText="1"/>
      <protection locked="0"/>
    </xf>
    <xf numFmtId="4" fontId="121" fillId="19" borderId="108" xfId="51" applyNumberFormat="1" applyFont="1" applyFill="1" applyBorder="1" applyAlignment="1" applyProtection="1">
      <alignment horizontal="right" vertical="center" wrapText="1"/>
      <protection locked="0"/>
    </xf>
    <xf numFmtId="0" fontId="30" fillId="0" borderId="87" xfId="25" applyNumberFormat="1" applyFont="1" applyFill="1" applyBorder="1" applyAlignment="1" applyProtection="1">
      <alignment horizontal="left"/>
      <protection locked="0"/>
    </xf>
    <xf numFmtId="0" fontId="140" fillId="0" borderId="54" xfId="25" applyNumberFormat="1" applyFont="1" applyFill="1" applyBorder="1" applyAlignment="1" applyProtection="1">
      <alignment horizontal="left"/>
      <protection locked="0"/>
    </xf>
    <xf numFmtId="0" fontId="146" fillId="0" borderId="87" xfId="25" applyNumberFormat="1" applyFont="1" applyFill="1" applyBorder="1" applyAlignment="1" applyProtection="1">
      <alignment horizontal="left" vertical="top"/>
      <protection locked="0"/>
    </xf>
    <xf numFmtId="0" fontId="140" fillId="0" borderId="54" xfId="25" applyNumberFormat="1" applyFont="1" applyFill="1" applyBorder="1" applyAlignment="1" applyProtection="1">
      <alignment vertical="top" wrapText="1"/>
      <protection locked="0"/>
    </xf>
    <xf numFmtId="0" fontId="143" fillId="0" borderId="87" xfId="25" applyNumberFormat="1" applyFont="1" applyFill="1" applyBorder="1" applyAlignment="1" applyProtection="1">
      <alignment horizontal="right" vertical="top"/>
      <protection locked="0"/>
    </xf>
    <xf numFmtId="0" fontId="155" fillId="0" borderId="54" xfId="25" applyNumberFormat="1" applyFont="1" applyFill="1" applyBorder="1" applyAlignment="1" applyProtection="1">
      <alignment vertical="top" wrapText="1"/>
      <protection locked="0"/>
    </xf>
    <xf numFmtId="0" fontId="142" fillId="0" borderId="87" xfId="25" applyNumberFormat="1" applyFont="1" applyFill="1" applyBorder="1" applyAlignment="1" applyProtection="1">
      <alignment horizontal="right" vertical="top"/>
      <protection locked="0"/>
    </xf>
    <xf numFmtId="0" fontId="156" fillId="0" borderId="28" xfId="43" applyFont="1" applyBorder="1" applyAlignment="1">
      <alignment horizontal="right" vertical="top"/>
    </xf>
    <xf numFmtId="0" fontId="156" fillId="0" borderId="30" xfId="43" applyFont="1" applyBorder="1" applyAlignment="1">
      <alignment horizontal="right" vertical="top"/>
    </xf>
    <xf numFmtId="0" fontId="156" fillId="0" borderId="34" xfId="43" applyFont="1" applyBorder="1" applyAlignment="1">
      <alignment horizontal="right" vertical="top"/>
    </xf>
    <xf numFmtId="0" fontId="56" fillId="0" borderId="0" xfId="43" applyFont="1"/>
    <xf numFmtId="0" fontId="30" fillId="0" borderId="25" xfId="51" applyNumberFormat="1" applyFont="1" applyFill="1" applyBorder="1" applyAlignment="1" applyProtection="1">
      <alignment horizontal="center" vertical="center" wrapText="1"/>
      <protection locked="0"/>
    </xf>
    <xf numFmtId="0" fontId="30" fillId="0" borderId="54" xfId="51" applyNumberFormat="1" applyFont="1" applyFill="1" applyBorder="1" applyAlignment="1" applyProtection="1">
      <alignment horizontal="center" vertical="center" wrapText="1"/>
      <protection locked="0"/>
    </xf>
    <xf numFmtId="0" fontId="30" fillId="0" borderId="5" xfId="51" applyNumberFormat="1" applyFont="1" applyFill="1" applyBorder="1" applyAlignment="1" applyProtection="1">
      <alignment horizontal="center" vertical="center" wrapText="1"/>
      <protection locked="0"/>
    </xf>
    <xf numFmtId="49" fontId="138" fillId="19" borderId="29" xfId="51" applyNumberFormat="1" applyFont="1" applyFill="1" applyBorder="1" applyAlignment="1" applyProtection="1">
      <alignment horizontal="right" vertical="center" wrapText="1"/>
      <protection locked="0"/>
    </xf>
    <xf numFmtId="0" fontId="123" fillId="0" borderId="0" xfId="51" applyNumberFormat="1" applyFont="1" applyFill="1" applyBorder="1" applyAlignment="1" applyProtection="1">
      <alignment horizontal="center"/>
      <protection locked="0"/>
    </xf>
    <xf numFmtId="49" fontId="7" fillId="19" borderId="4" xfId="51" applyNumberFormat="1" applyFont="1" applyFill="1" applyBorder="1" applyAlignment="1" applyProtection="1">
      <alignment horizontal="center" vertical="center" wrapText="1"/>
      <protection locked="0"/>
    </xf>
    <xf numFmtId="49" fontId="7" fillId="19" borderId="54" xfId="51" applyNumberFormat="1" applyFont="1" applyFill="1" applyBorder="1" applyAlignment="1" applyProtection="1">
      <alignment horizontal="center" vertical="center" wrapText="1"/>
      <protection locked="0"/>
    </xf>
    <xf numFmtId="49" fontId="7" fillId="19" borderId="190" xfId="51" applyNumberFormat="1" applyFont="1" applyFill="1" applyBorder="1" applyAlignment="1" applyProtection="1">
      <alignment horizontal="center" vertical="center" wrapText="1"/>
      <protection locked="0"/>
    </xf>
    <xf numFmtId="49" fontId="7" fillId="19" borderId="169" xfId="51" applyNumberFormat="1" applyFont="1" applyFill="1" applyBorder="1" applyAlignment="1" applyProtection="1">
      <alignment horizontal="center" vertical="center" wrapText="1"/>
      <protection locked="0"/>
    </xf>
    <xf numFmtId="49" fontId="7" fillId="19" borderId="106" xfId="51" applyNumberFormat="1" applyFont="1" applyFill="1" applyBorder="1" applyAlignment="1" applyProtection="1">
      <alignment horizontal="center" vertical="center" wrapText="1"/>
      <protection locked="0"/>
    </xf>
    <xf numFmtId="49" fontId="7" fillId="19" borderId="168" xfId="51" applyNumberFormat="1" applyFont="1" applyFill="1" applyBorder="1" applyAlignment="1" applyProtection="1">
      <alignment horizontal="center" vertical="center" wrapText="1"/>
      <protection locked="0"/>
    </xf>
    <xf numFmtId="0" fontId="7" fillId="0" borderId="123" xfId="51" applyNumberFormat="1" applyFont="1" applyFill="1" applyBorder="1" applyAlignment="1" applyProtection="1">
      <alignment horizontal="center" vertical="center" wrapText="1"/>
      <protection locked="0"/>
    </xf>
    <xf numFmtId="0" fontId="7" fillId="0" borderId="122" xfId="51" applyNumberFormat="1" applyFont="1" applyFill="1" applyBorder="1" applyAlignment="1" applyProtection="1">
      <alignment horizontal="center" vertical="center" wrapText="1"/>
      <protection locked="0"/>
    </xf>
    <xf numFmtId="0" fontId="137" fillId="0" borderId="23" xfId="51" applyNumberFormat="1" applyFont="1" applyFill="1" applyBorder="1" applyAlignment="1" applyProtection="1">
      <alignment horizontal="center" vertical="center" wrapText="1"/>
      <protection locked="0"/>
    </xf>
    <xf numFmtId="0" fontId="137" fillId="0" borderId="178" xfId="51" applyNumberFormat="1" applyFont="1" applyFill="1" applyBorder="1" applyAlignment="1" applyProtection="1">
      <alignment horizontal="center" vertical="center" wrapText="1"/>
      <protection locked="0"/>
    </xf>
    <xf numFmtId="0" fontId="6" fillId="0" borderId="207" xfId="27" applyNumberFormat="1" applyFont="1" applyFill="1" applyBorder="1" applyAlignment="1" applyProtection="1">
      <alignment horizontal="left" vertical="top" wrapText="1"/>
      <protection locked="0"/>
    </xf>
    <xf numFmtId="0" fontId="6" fillId="0" borderId="208" xfId="27" applyNumberFormat="1" applyFont="1" applyFill="1" applyBorder="1" applyAlignment="1" applyProtection="1">
      <alignment horizontal="left" vertical="top" wrapText="1"/>
      <protection locked="0"/>
    </xf>
    <xf numFmtId="0" fontId="150" fillId="0" borderId="203" xfId="27" applyNumberFormat="1" applyFont="1" applyFill="1" applyBorder="1" applyAlignment="1" applyProtection="1">
      <alignment horizontal="left" vertical="center" wrapText="1"/>
      <protection locked="0"/>
    </xf>
    <xf numFmtId="0" fontId="150" fillId="0" borderId="213" xfId="27" applyNumberFormat="1" applyFont="1" applyFill="1" applyBorder="1" applyAlignment="1" applyProtection="1">
      <alignment horizontal="left" vertical="center" wrapText="1"/>
      <protection locked="0"/>
    </xf>
    <xf numFmtId="0" fontId="150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150" fillId="0" borderId="184" xfId="27" applyNumberFormat="1" applyFont="1" applyFill="1" applyBorder="1" applyAlignment="1" applyProtection="1">
      <alignment horizontal="left" vertical="center" wrapText="1"/>
      <protection locked="0"/>
    </xf>
    <xf numFmtId="0" fontId="150" fillId="0" borderId="194" xfId="27" applyNumberFormat="1" applyFont="1" applyFill="1" applyBorder="1" applyAlignment="1" applyProtection="1">
      <alignment horizontal="left" vertical="center" wrapText="1"/>
      <protection locked="0"/>
    </xf>
    <xf numFmtId="0" fontId="140" fillId="0" borderId="221" xfId="27" applyNumberFormat="1" applyFont="1" applyFill="1" applyBorder="1" applyAlignment="1" applyProtection="1">
      <alignment horizontal="left" vertical="center" wrapText="1"/>
      <protection locked="0"/>
    </xf>
    <xf numFmtId="0" fontId="140" fillId="0" borderId="201" xfId="27" applyNumberFormat="1" applyFont="1" applyFill="1" applyBorder="1" applyAlignment="1" applyProtection="1">
      <alignment horizontal="left" vertical="center" wrapText="1"/>
      <protection locked="0"/>
    </xf>
    <xf numFmtId="0" fontId="150" fillId="0" borderId="196" xfId="27" applyNumberFormat="1" applyFont="1" applyFill="1" applyBorder="1" applyAlignment="1" applyProtection="1">
      <alignment horizontal="left" vertical="center" wrapText="1"/>
      <protection locked="0"/>
    </xf>
    <xf numFmtId="0" fontId="139" fillId="0" borderId="192" xfId="27" applyNumberFormat="1" applyFont="1" applyFill="1" applyBorder="1" applyAlignment="1" applyProtection="1">
      <alignment horizontal="left" vertical="center" wrapText="1"/>
      <protection locked="0"/>
    </xf>
    <xf numFmtId="0" fontId="139" fillId="0" borderId="193" xfId="27" applyNumberFormat="1" applyFont="1" applyFill="1" applyBorder="1" applyAlignment="1" applyProtection="1">
      <alignment horizontal="left" vertical="center" wrapText="1"/>
      <protection locked="0"/>
    </xf>
    <xf numFmtId="0" fontId="6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6" fillId="0" borderId="209" xfId="27" applyNumberFormat="1" applyFont="1" applyFill="1" applyBorder="1" applyAlignment="1" applyProtection="1">
      <alignment horizontal="left" vertical="center" wrapText="1"/>
      <protection locked="0"/>
    </xf>
    <xf numFmtId="0" fontId="152" fillId="0" borderId="194" xfId="27" applyNumberFormat="1" applyFont="1" applyFill="1" applyBorder="1" applyAlignment="1" applyProtection="1">
      <alignment horizontal="left" vertical="center" wrapText="1"/>
      <protection locked="0"/>
    </xf>
    <xf numFmtId="0" fontId="152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6" fillId="0" borderId="199" xfId="27" applyNumberFormat="1" applyFont="1" applyFill="1" applyBorder="1" applyAlignment="1" applyProtection="1">
      <alignment horizontal="left" vertical="center" wrapText="1"/>
      <protection locked="0"/>
    </xf>
    <xf numFmtId="0" fontId="6" fillId="0" borderId="202" xfId="27" applyNumberFormat="1" applyFont="1" applyFill="1" applyBorder="1" applyAlignment="1" applyProtection="1">
      <alignment horizontal="left" vertical="center" wrapText="1"/>
      <protection locked="0"/>
    </xf>
    <xf numFmtId="0" fontId="122" fillId="0" borderId="194" xfId="27" applyNumberFormat="1" applyFont="1" applyFill="1" applyBorder="1" applyAlignment="1" applyProtection="1">
      <alignment horizontal="left" vertical="center" wrapText="1"/>
      <protection locked="0"/>
    </xf>
    <xf numFmtId="0" fontId="122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151" fillId="0" borderId="194" xfId="27" applyNumberFormat="1" applyFont="1" applyFill="1" applyBorder="1" applyAlignment="1" applyProtection="1">
      <alignment horizontal="left" vertical="center" wrapText="1"/>
      <protection locked="0"/>
    </xf>
    <xf numFmtId="0" fontId="151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148" fillId="0" borderId="194" xfId="27" applyNumberFormat="1" applyFont="1" applyFill="1" applyBorder="1" applyAlignment="1" applyProtection="1">
      <alignment horizontal="left" vertical="center" wrapText="1"/>
      <protection locked="0"/>
    </xf>
    <xf numFmtId="0" fontId="148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139" fillId="0" borderId="4" xfId="27" applyNumberFormat="1" applyFont="1" applyFill="1" applyBorder="1" applyAlignment="1" applyProtection="1">
      <alignment horizontal="left" vertical="center"/>
      <protection locked="0"/>
    </xf>
    <xf numFmtId="0" fontId="139" fillId="0" borderId="25" xfId="27" applyNumberFormat="1" applyFont="1" applyFill="1" applyBorder="1" applyAlignment="1" applyProtection="1">
      <alignment horizontal="left" vertical="center"/>
      <protection locked="0"/>
    </xf>
    <xf numFmtId="0" fontId="122" fillId="0" borderId="199" xfId="27" applyNumberFormat="1" applyFont="1" applyFill="1" applyBorder="1" applyAlignment="1" applyProtection="1">
      <alignment horizontal="left" vertical="center" wrapText="1"/>
      <protection locked="0"/>
    </xf>
    <xf numFmtId="0" fontId="122" fillId="0" borderId="202" xfId="27" applyNumberFormat="1" applyFont="1" applyFill="1" applyBorder="1" applyAlignment="1" applyProtection="1">
      <alignment horizontal="left" vertical="center" wrapText="1"/>
      <protection locked="0"/>
    </xf>
    <xf numFmtId="0" fontId="140" fillId="0" borderId="194" xfId="27" applyNumberFormat="1" applyFont="1" applyFill="1" applyBorder="1" applyAlignment="1" applyProtection="1">
      <alignment horizontal="left" vertical="center" wrapText="1"/>
      <protection locked="0"/>
    </xf>
    <xf numFmtId="0" fontId="140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141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141" fillId="0" borderId="184" xfId="27" applyNumberFormat="1" applyFont="1" applyFill="1" applyBorder="1" applyAlignment="1" applyProtection="1">
      <alignment horizontal="left" vertical="center" wrapText="1"/>
      <protection locked="0"/>
    </xf>
    <xf numFmtId="0" fontId="124" fillId="0" borderId="4" xfId="51" applyNumberFormat="1" applyFont="1" applyFill="1" applyBorder="1" applyAlignment="1" applyProtection="1">
      <alignment horizontal="center" vertical="center" wrapText="1"/>
      <protection locked="0"/>
    </xf>
    <xf numFmtId="49" fontId="116" fillId="19" borderId="25" xfId="51" applyNumberFormat="1" applyFont="1" applyFill="1" applyBorder="1" applyAlignment="1" applyProtection="1">
      <alignment horizontal="center" vertical="center" wrapText="1"/>
      <protection locked="0"/>
    </xf>
    <xf numFmtId="49" fontId="116" fillId="19" borderId="174" xfId="51" applyNumberFormat="1" applyFont="1" applyFill="1" applyBorder="1" applyAlignment="1" applyProtection="1">
      <alignment horizontal="center" vertical="center" wrapText="1"/>
      <protection locked="0"/>
    </xf>
    <xf numFmtId="49" fontId="116" fillId="19" borderId="4" xfId="51" applyNumberFormat="1" applyFont="1" applyFill="1" applyBorder="1" applyAlignment="1" applyProtection="1">
      <alignment horizontal="center" vertical="center" wrapText="1"/>
      <protection locked="0"/>
    </xf>
    <xf numFmtId="49" fontId="120" fillId="19" borderId="29" xfId="51" applyNumberFormat="1" applyFont="1" applyFill="1" applyBorder="1" applyAlignment="1" applyProtection="1">
      <alignment horizontal="right" vertical="center" wrapText="1"/>
      <protection locked="0"/>
    </xf>
    <xf numFmtId="49" fontId="120" fillId="19" borderId="39" xfId="51" applyNumberFormat="1" applyFont="1" applyFill="1" applyBorder="1" applyAlignment="1" applyProtection="1">
      <alignment horizontal="right" vertical="center" wrapText="1"/>
      <protection locked="0"/>
    </xf>
    <xf numFmtId="49" fontId="116" fillId="19" borderId="133" xfId="51" applyNumberFormat="1" applyFont="1" applyFill="1" applyBorder="1" applyAlignment="1" applyProtection="1">
      <alignment horizontal="center" vertical="center" wrapText="1"/>
      <protection locked="0"/>
    </xf>
    <xf numFmtId="0" fontId="30" fillId="0" borderId="140" xfId="51" applyNumberFormat="1" applyFont="1" applyFill="1" applyBorder="1" applyAlignment="1" applyProtection="1">
      <alignment horizontal="center" vertical="center" wrapText="1"/>
      <protection locked="0"/>
    </xf>
    <xf numFmtId="0" fontId="30" fillId="0" borderId="171" xfId="51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51" applyNumberFormat="1" applyFont="1" applyFill="1" applyBorder="1" applyAlignment="1" applyProtection="1">
      <alignment horizontal="center" vertical="center" wrapText="1"/>
      <protection locked="0"/>
    </xf>
    <xf numFmtId="0" fontId="30" fillId="0" borderId="7" xfId="51" applyNumberFormat="1" applyFont="1" applyFill="1" applyBorder="1" applyAlignment="1" applyProtection="1">
      <alignment horizontal="center" vertical="center" wrapText="1"/>
      <protection locked="0"/>
    </xf>
    <xf numFmtId="0" fontId="30" fillId="0" borderId="192" xfId="51" applyNumberFormat="1" applyFont="1" applyFill="1" applyBorder="1" applyAlignment="1" applyProtection="1">
      <alignment horizontal="center" vertical="center" wrapText="1"/>
      <protection locked="0"/>
    </xf>
    <xf numFmtId="0" fontId="108" fillId="0" borderId="153" xfId="43" applyFont="1" applyBorder="1" applyAlignment="1">
      <alignment horizontal="center" vertical="center" wrapText="1"/>
    </xf>
    <xf numFmtId="0" fontId="108" fillId="0" borderId="146" xfId="43" applyFont="1" applyBorder="1" applyAlignment="1">
      <alignment horizontal="center" vertical="center" wrapText="1"/>
    </xf>
    <xf numFmtId="0" fontId="40" fillId="0" borderId="143" xfId="43" applyFont="1" applyBorder="1" applyAlignment="1">
      <alignment horizontal="center" vertical="center" wrapText="1"/>
    </xf>
    <xf numFmtId="0" fontId="40" fillId="0" borderId="151" xfId="43" applyFont="1" applyBorder="1" applyAlignment="1">
      <alignment horizontal="center" vertical="center" wrapText="1"/>
    </xf>
    <xf numFmtId="0" fontId="40" fillId="0" borderId="161" xfId="43" applyFont="1" applyBorder="1" applyAlignment="1">
      <alignment horizontal="center" vertical="center" wrapText="1"/>
    </xf>
    <xf numFmtId="4" fontId="33" fillId="9" borderId="76" xfId="43" applyNumberFormat="1" applyFont="1" applyFill="1" applyBorder="1" applyAlignment="1">
      <alignment horizontal="center" vertical="center"/>
    </xf>
    <xf numFmtId="4" fontId="33" fillId="9" borderId="147" xfId="43" applyNumberFormat="1" applyFont="1" applyFill="1" applyBorder="1" applyAlignment="1">
      <alignment horizontal="center" vertical="center"/>
    </xf>
    <xf numFmtId="4" fontId="33" fillId="9" borderId="150" xfId="43" applyNumberFormat="1" applyFont="1" applyFill="1" applyBorder="1" applyAlignment="1">
      <alignment horizontal="center" vertical="center"/>
    </xf>
    <xf numFmtId="0" fontId="32" fillId="0" borderId="0" xfId="43" applyFont="1" applyBorder="1" applyAlignment="1">
      <alignment horizontal="left" vertical="top" wrapText="1"/>
    </xf>
    <xf numFmtId="0" fontId="108" fillId="0" borderId="159" xfId="43" applyFont="1" applyBorder="1" applyAlignment="1">
      <alignment horizontal="center" vertical="center" wrapText="1"/>
    </xf>
    <xf numFmtId="0" fontId="108" fillId="0" borderId="164" xfId="43" applyFont="1" applyBorder="1" applyAlignment="1">
      <alignment horizontal="center" vertical="center" wrapText="1"/>
    </xf>
    <xf numFmtId="0" fontId="33" fillId="0" borderId="0" xfId="43" applyFont="1" applyBorder="1" applyAlignment="1">
      <alignment horizontal="center" vertical="center"/>
    </xf>
    <xf numFmtId="0" fontId="33" fillId="0" borderId="0" xfId="43" applyFont="1" applyBorder="1" applyAlignment="1">
      <alignment horizontal="center" wrapText="1"/>
    </xf>
    <xf numFmtId="0" fontId="33" fillId="0" borderId="0" xfId="43" applyFont="1" applyBorder="1" applyAlignment="1">
      <alignment horizontal="center"/>
    </xf>
    <xf numFmtId="0" fontId="108" fillId="0" borderId="87" xfId="43" applyFont="1" applyBorder="1" applyAlignment="1">
      <alignment horizontal="center" vertical="center" wrapText="1"/>
    </xf>
    <xf numFmtId="0" fontId="108" fillId="0" borderId="160" xfId="43" applyFont="1" applyBorder="1" applyAlignment="1">
      <alignment horizontal="center" vertical="center" wrapText="1"/>
    </xf>
    <xf numFmtId="0" fontId="108" fillId="0" borderId="26" xfId="43" applyFont="1" applyBorder="1" applyAlignment="1">
      <alignment horizontal="center" vertical="center"/>
    </xf>
    <xf numFmtId="0" fontId="108" fillId="0" borderId="27" xfId="43" applyFont="1" applyBorder="1" applyAlignment="1">
      <alignment horizontal="center" vertical="center"/>
    </xf>
    <xf numFmtId="0" fontId="108" fillId="0" borderId="38" xfId="43" applyFont="1" applyBorder="1" applyAlignment="1">
      <alignment horizontal="center" vertical="center"/>
    </xf>
    <xf numFmtId="0" fontId="108" fillId="0" borderId="158" xfId="43" applyFont="1" applyBorder="1" applyAlignment="1">
      <alignment horizontal="center" vertical="center" wrapText="1"/>
    </xf>
    <xf numFmtId="0" fontId="108" fillId="0" borderId="155" xfId="43" applyFont="1" applyBorder="1" applyAlignment="1">
      <alignment horizontal="center" vertical="center" wrapText="1"/>
    </xf>
    <xf numFmtId="0" fontId="24" fillId="0" borderId="165" xfId="2" applyFont="1" applyBorder="1" applyAlignment="1">
      <alignment horizontal="right"/>
    </xf>
    <xf numFmtId="0" fontId="24" fillId="0" borderId="167" xfId="2" applyFont="1" applyBorder="1" applyAlignment="1">
      <alignment horizontal="right"/>
    </xf>
    <xf numFmtId="0" fontId="33" fillId="0" borderId="0" xfId="2" applyFont="1" applyBorder="1" applyAlignment="1">
      <alignment horizontal="center" vertical="center"/>
    </xf>
    <xf numFmtId="49" fontId="39" fillId="0" borderId="4" xfId="2" applyNumberFormat="1" applyFont="1" applyBorder="1" applyAlignment="1">
      <alignment horizontal="center"/>
    </xf>
    <xf numFmtId="49" fontId="42" fillId="0" borderId="45" xfId="2" applyNumberFormat="1" applyFont="1" applyBorder="1" applyAlignment="1">
      <alignment vertical="center" wrapText="1"/>
    </xf>
    <xf numFmtId="49" fontId="42" fillId="0" borderId="46" xfId="2" applyNumberFormat="1" applyFont="1" applyBorder="1" applyAlignment="1">
      <alignment vertical="center" wrapText="1"/>
    </xf>
    <xf numFmtId="49" fontId="42" fillId="0" borderId="45" xfId="2" applyNumberFormat="1" applyFont="1" applyBorder="1" applyAlignment="1">
      <alignment vertical="center"/>
    </xf>
    <xf numFmtId="49" fontId="42" fillId="0" borderId="46" xfId="2" applyNumberFormat="1" applyFont="1" applyBorder="1" applyAlignment="1">
      <alignment vertical="center"/>
    </xf>
    <xf numFmtId="49" fontId="42" fillId="0" borderId="47" xfId="2" applyNumberFormat="1" applyFont="1" applyBorder="1" applyAlignment="1">
      <alignment vertical="center"/>
    </xf>
    <xf numFmtId="49" fontId="42" fillId="0" borderId="48" xfId="2" applyNumberFormat="1" applyFont="1" applyBorder="1" applyAlignment="1">
      <alignment vertical="center"/>
    </xf>
    <xf numFmtId="0" fontId="24" fillId="0" borderId="4" xfId="2" applyFont="1" applyBorder="1" applyAlignment="1">
      <alignment horizontal="center" vertical="center" wrapText="1"/>
    </xf>
    <xf numFmtId="0" fontId="40" fillId="0" borderId="4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10" fontId="24" fillId="0" borderId="4" xfId="2" applyNumberFormat="1" applyFont="1" applyBorder="1" applyAlignment="1">
      <alignment horizontal="center" vertical="center" wrapText="1"/>
    </xf>
    <xf numFmtId="0" fontId="56" fillId="0" borderId="0" xfId="2" applyFont="1" applyAlignment="1">
      <alignment horizontal="left"/>
    </xf>
    <xf numFmtId="49" fontId="112" fillId="0" borderId="50" xfId="2" applyNumberFormat="1" applyFont="1" applyBorder="1" applyAlignment="1">
      <alignment horizontal="center" vertical="center" wrapText="1"/>
    </xf>
    <xf numFmtId="49" fontId="112" fillId="0" borderId="54" xfId="2" applyNumberFormat="1" applyFont="1" applyBorder="1" applyAlignment="1">
      <alignment horizontal="center" vertical="center" wrapText="1"/>
    </xf>
    <xf numFmtId="0" fontId="112" fillId="0" borderId="50" xfId="2" applyFont="1" applyBorder="1" applyAlignment="1">
      <alignment horizontal="center" vertical="center" wrapText="1"/>
    </xf>
    <xf numFmtId="0" fontId="112" fillId="0" borderId="54" xfId="2" applyFont="1" applyBorder="1" applyAlignment="1">
      <alignment horizontal="center" vertical="center" wrapText="1"/>
    </xf>
    <xf numFmtId="0" fontId="112" fillId="0" borderId="55" xfId="2" applyFont="1" applyBorder="1" applyAlignment="1">
      <alignment horizontal="center" vertical="center" wrapText="1"/>
    </xf>
    <xf numFmtId="49" fontId="112" fillId="0" borderId="4" xfId="2" applyNumberFormat="1" applyFont="1" applyBorder="1" applyAlignment="1">
      <alignment horizontal="center" vertical="center" wrapText="1"/>
    </xf>
    <xf numFmtId="49" fontId="112" fillId="0" borderId="25" xfId="2" applyNumberFormat="1" applyFont="1" applyBorder="1" applyAlignment="1">
      <alignment horizontal="center" vertical="center" wrapText="1"/>
    </xf>
    <xf numFmtId="49" fontId="112" fillId="0" borderId="5" xfId="2" applyNumberFormat="1" applyFont="1" applyBorder="1" applyAlignment="1">
      <alignment horizontal="center" vertical="center" wrapText="1"/>
    </xf>
    <xf numFmtId="49" fontId="112" fillId="0" borderId="47" xfId="2" applyNumberFormat="1" applyFont="1" applyBorder="1" applyAlignment="1">
      <alignment horizontal="center" vertical="center" wrapText="1"/>
    </xf>
    <xf numFmtId="49" fontId="112" fillId="0" borderId="109" xfId="2" applyNumberFormat="1" applyFont="1" applyBorder="1" applyAlignment="1">
      <alignment horizontal="center" vertical="center" wrapText="1"/>
    </xf>
    <xf numFmtId="49" fontId="112" fillId="0" borderId="48" xfId="2" applyNumberFormat="1" applyFont="1" applyBorder="1" applyAlignment="1">
      <alignment horizontal="center" vertical="center" wrapText="1"/>
    </xf>
    <xf numFmtId="4" fontId="13" fillId="0" borderId="140" xfId="1" applyNumberFormat="1" applyFont="1" applyBorder="1" applyAlignment="1">
      <alignment horizontal="right" vertical="center"/>
    </xf>
    <xf numFmtId="4" fontId="13" fillId="0" borderId="23" xfId="1" applyNumberFormat="1" applyFont="1" applyBorder="1" applyAlignment="1">
      <alignment horizontal="right" vertical="center"/>
    </xf>
    <xf numFmtId="4" fontId="15" fillId="7" borderId="54" xfId="1" applyNumberFormat="1" applyFont="1" applyFill="1" applyBorder="1" applyAlignment="1">
      <alignment horizontal="right" vertical="center"/>
    </xf>
    <xf numFmtId="4" fontId="15" fillId="7" borderId="5" xfId="1" applyNumberFormat="1" applyFont="1" applyFill="1" applyBorder="1" applyAlignment="1">
      <alignment horizontal="right" vertical="center"/>
    </xf>
    <xf numFmtId="4" fontId="13" fillId="3" borderId="54" xfId="1" applyNumberFormat="1" applyFont="1" applyFill="1" applyBorder="1" applyAlignment="1">
      <alignment horizontal="right" vertical="center"/>
    </xf>
    <xf numFmtId="4" fontId="13" fillId="3" borderId="5" xfId="1" applyNumberFormat="1" applyFont="1" applyFill="1" applyBorder="1" applyAlignment="1">
      <alignment horizontal="right" vertical="center"/>
    </xf>
    <xf numFmtId="4" fontId="13" fillId="0" borderId="54" xfId="1" applyNumberFormat="1" applyFont="1" applyBorder="1" applyAlignment="1">
      <alignment horizontal="right" vertical="center" wrapText="1"/>
    </xf>
    <xf numFmtId="4" fontId="13" fillId="0" borderId="5" xfId="1" applyNumberFormat="1" applyFont="1" applyBorder="1" applyAlignment="1">
      <alignment horizontal="right" vertical="center" wrapText="1"/>
    </xf>
    <xf numFmtId="4" fontId="13" fillId="0" borderId="54" xfId="1" applyNumberFormat="1" applyFont="1" applyBorder="1" applyAlignment="1">
      <alignment horizontal="right" vertical="center"/>
    </xf>
    <xf numFmtId="4" fontId="13" fillId="0" borderId="5" xfId="1" applyNumberFormat="1" applyFont="1" applyBorder="1" applyAlignment="1">
      <alignment horizontal="right" vertical="center"/>
    </xf>
    <xf numFmtId="0" fontId="7" fillId="0" borderId="0" xfId="2" applyFont="1" applyAlignment="1">
      <alignment horizontal="left" vertical="top" wrapText="1"/>
    </xf>
    <xf numFmtId="0" fontId="8" fillId="0" borderId="0" xfId="1" applyFont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20" xfId="1" applyFont="1" applyFill="1" applyBorder="1" applyAlignment="1">
      <alignment horizontal="center" vertical="center" wrapText="1"/>
    </xf>
    <xf numFmtId="0" fontId="9" fillId="0" borderId="104" xfId="1" applyFont="1" applyFill="1" applyBorder="1" applyAlignment="1">
      <alignment horizontal="center" vertical="center" wrapText="1"/>
    </xf>
    <xf numFmtId="43" fontId="9" fillId="0" borderId="114" xfId="1" applyNumberFormat="1" applyFont="1" applyFill="1" applyBorder="1" applyAlignment="1">
      <alignment horizontal="center" vertical="center" wrapText="1"/>
    </xf>
    <xf numFmtId="43" fontId="9" fillId="0" borderId="2" xfId="1" applyNumberFormat="1" applyFont="1" applyFill="1" applyBorder="1" applyAlignment="1">
      <alignment horizontal="center" vertical="center" wrapText="1"/>
    </xf>
    <xf numFmtId="43" fontId="9" fillId="0" borderId="20" xfId="1" applyNumberFormat="1" applyFont="1" applyFill="1" applyBorder="1" applyAlignment="1">
      <alignment horizontal="center" vertical="center" wrapText="1"/>
    </xf>
    <xf numFmtId="43" fontId="9" fillId="0" borderId="128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top" wrapText="1"/>
    </xf>
    <xf numFmtId="0" fontId="25" fillId="0" borderId="2" xfId="1" applyFont="1" applyBorder="1" applyAlignment="1">
      <alignment horizontal="center" vertical="center" wrapText="1"/>
    </xf>
    <xf numFmtId="0" fontId="25" fillId="0" borderId="7" xfId="1" applyFont="1" applyBorder="1" applyAlignment="1">
      <alignment horizontal="center" vertical="center"/>
    </xf>
    <xf numFmtId="43" fontId="9" fillId="6" borderId="2" xfId="1" applyNumberFormat="1" applyFont="1" applyFill="1" applyBorder="1" applyAlignment="1">
      <alignment horizontal="center" vertical="center" wrapText="1"/>
    </xf>
    <xf numFmtId="43" fontId="9" fillId="6" borderId="4" xfId="1" applyNumberFormat="1" applyFont="1" applyFill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10" fillId="0" borderId="8" xfId="1" applyFont="1" applyBorder="1" applyAlignment="1">
      <alignment horizontal="center" vertical="top" wrapText="1"/>
    </xf>
    <xf numFmtId="0" fontId="10" fillId="0" borderId="10" xfId="1" applyFont="1" applyBorder="1" applyAlignment="1">
      <alignment horizontal="center" vertical="top" wrapText="1"/>
    </xf>
    <xf numFmtId="0" fontId="10" fillId="6" borderId="7" xfId="1" applyFont="1" applyFill="1" applyBorder="1" applyAlignment="1">
      <alignment horizontal="center" vertical="top" wrapText="1"/>
    </xf>
    <xf numFmtId="0" fontId="10" fillId="6" borderId="8" xfId="1" applyFont="1" applyFill="1" applyBorder="1" applyAlignment="1">
      <alignment horizontal="center" vertical="top" wrapText="1"/>
    </xf>
    <xf numFmtId="0" fontId="10" fillId="6" borderId="10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43" fontId="9" fillId="6" borderId="121" xfId="1" applyNumberFormat="1" applyFont="1" applyFill="1" applyBorder="1" applyAlignment="1">
      <alignment horizontal="center" vertical="center" wrapText="1"/>
    </xf>
    <xf numFmtId="43" fontId="9" fillId="6" borderId="125" xfId="1" applyNumberFormat="1" applyFont="1" applyFill="1" applyBorder="1" applyAlignment="1">
      <alignment horizontal="center" vertical="center" wrapText="1"/>
    </xf>
    <xf numFmtId="43" fontId="9" fillId="6" borderId="112" xfId="1" applyNumberFormat="1" applyFont="1" applyFill="1" applyBorder="1" applyAlignment="1">
      <alignment horizontal="center" vertical="center" wrapText="1"/>
    </xf>
    <xf numFmtId="43" fontId="9" fillId="6" borderId="118" xfId="1" applyNumberFormat="1" applyFont="1" applyFill="1" applyBorder="1" applyAlignment="1">
      <alignment horizontal="center" vertical="center" wrapText="1"/>
    </xf>
    <xf numFmtId="0" fontId="5" fillId="0" borderId="22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43" fontId="11" fillId="6" borderId="54" xfId="1" applyNumberFormat="1" applyFont="1" applyFill="1" applyBorder="1" applyAlignment="1">
      <alignment horizontal="left" vertical="top" wrapText="1"/>
    </xf>
    <xf numFmtId="43" fontId="11" fillId="6" borderId="5" xfId="1" applyNumberFormat="1" applyFont="1" applyFill="1" applyBorder="1" applyAlignment="1">
      <alignment horizontal="left" vertical="top" wrapText="1"/>
    </xf>
    <xf numFmtId="0" fontId="15" fillId="0" borderId="17" xfId="1" applyFont="1" applyBorder="1" applyAlignment="1">
      <alignment horizontal="right" vertical="center"/>
    </xf>
    <xf numFmtId="0" fontId="15" fillId="0" borderId="18" xfId="1" applyFont="1" applyBorder="1" applyAlignment="1">
      <alignment horizontal="right" vertical="center"/>
    </xf>
    <xf numFmtId="0" fontId="25" fillId="0" borderId="22" xfId="1" applyFont="1" applyBorder="1" applyAlignment="1">
      <alignment horizontal="center" vertical="center" wrapText="1"/>
    </xf>
    <xf numFmtId="0" fontId="25" fillId="0" borderId="23" xfId="1" applyFont="1" applyBorder="1" applyAlignment="1">
      <alignment horizontal="center" vertical="center" wrapText="1"/>
    </xf>
    <xf numFmtId="0" fontId="9" fillId="6" borderId="7" xfId="1" applyFont="1" applyFill="1" applyBorder="1" applyAlignment="1">
      <alignment horizontal="center" vertical="top" wrapText="1"/>
    </xf>
    <xf numFmtId="0" fontId="9" fillId="6" borderId="8" xfId="1" applyFont="1" applyFill="1" applyBorder="1" applyAlignment="1">
      <alignment horizontal="center" vertical="top" wrapText="1"/>
    </xf>
    <xf numFmtId="4" fontId="15" fillId="7" borderId="5" xfId="1" applyNumberFormat="1" applyFont="1" applyFill="1" applyBorder="1" applyAlignment="1">
      <alignment horizontal="right" vertical="center" wrapText="1"/>
    </xf>
    <xf numFmtId="4" fontId="15" fillId="7" borderId="4" xfId="1" applyNumberFormat="1" applyFont="1" applyFill="1" applyBorder="1" applyAlignment="1">
      <alignment horizontal="right" vertical="center" wrapText="1"/>
    </xf>
    <xf numFmtId="4" fontId="13" fillId="0" borderId="140" xfId="1" applyNumberFormat="1" applyFont="1" applyBorder="1" applyAlignment="1">
      <alignment horizontal="right" vertical="center" wrapText="1"/>
    </xf>
    <xf numFmtId="4" fontId="13" fillId="0" borderId="23" xfId="1" applyNumberFormat="1" applyFont="1" applyBorder="1" applyAlignment="1">
      <alignment horizontal="right" vertical="center" wrapText="1"/>
    </xf>
    <xf numFmtId="4" fontId="15" fillId="0" borderId="18" xfId="1" applyNumberFormat="1" applyFont="1" applyBorder="1" applyAlignment="1">
      <alignment horizontal="right" vertical="center"/>
    </xf>
    <xf numFmtId="4" fontId="15" fillId="0" borderId="19" xfId="1" applyNumberFormat="1" applyFont="1" applyBorder="1" applyAlignment="1">
      <alignment horizontal="right" vertical="center"/>
    </xf>
    <xf numFmtId="0" fontId="13" fillId="6" borderId="7" xfId="1" applyFont="1" applyFill="1" applyBorder="1" applyAlignment="1">
      <alignment horizontal="center" vertical="center" wrapText="1"/>
    </xf>
    <xf numFmtId="0" fontId="13" fillId="6" borderId="8" xfId="1" applyFont="1" applyFill="1" applyBorder="1" applyAlignment="1">
      <alignment horizontal="center" vertical="center" wrapText="1"/>
    </xf>
    <xf numFmtId="0" fontId="13" fillId="6" borderId="3" xfId="1" applyFont="1" applyFill="1" applyBorder="1" applyAlignment="1">
      <alignment horizontal="center" vertical="center" wrapText="1"/>
    </xf>
    <xf numFmtId="4" fontId="13" fillId="6" borderId="54" xfId="1" applyNumberFormat="1" applyFont="1" applyFill="1" applyBorder="1" applyAlignment="1">
      <alignment horizontal="right" vertical="center"/>
    </xf>
    <xf numFmtId="4" fontId="13" fillId="6" borderId="5" xfId="1" applyNumberFormat="1" applyFont="1" applyFill="1" applyBorder="1" applyAlignment="1">
      <alignment horizontal="right" vertical="center"/>
    </xf>
    <xf numFmtId="0" fontId="25" fillId="0" borderId="128" xfId="1" applyFont="1" applyBorder="1" applyAlignment="1">
      <alignment horizontal="left" vertical="top" wrapText="1"/>
    </xf>
    <xf numFmtId="0" fontId="25" fillId="0" borderId="132" xfId="1" applyFont="1" applyBorder="1" applyAlignment="1">
      <alignment horizontal="left" vertical="top"/>
    </xf>
    <xf numFmtId="0" fontId="9" fillId="0" borderId="54" xfId="1" applyFont="1" applyFill="1" applyBorder="1" applyAlignment="1">
      <alignment horizontal="center" vertical="center" wrapText="1"/>
    </xf>
    <xf numFmtId="0" fontId="38" fillId="0" borderId="25" xfId="0" applyFont="1" applyBorder="1" applyAlignment="1">
      <alignment horizontal="center"/>
    </xf>
    <xf numFmtId="0" fontId="38" fillId="0" borderId="54" xfId="0" applyFont="1" applyBorder="1" applyAlignment="1">
      <alignment horizontal="center"/>
    </xf>
    <xf numFmtId="0" fontId="38" fillId="0" borderId="5" xfId="0" applyFont="1" applyBorder="1" applyAlignment="1">
      <alignment horizontal="center"/>
    </xf>
    <xf numFmtId="0" fontId="4" fillId="0" borderId="0" xfId="43" applyFont="1" applyAlignment="1">
      <alignment horizontal="left" vertical="top"/>
    </xf>
    <xf numFmtId="0" fontId="4" fillId="0" borderId="0" xfId="43" applyFont="1" applyAlignment="1">
      <alignment horizontal="left" vertical="top" wrapText="1"/>
    </xf>
    <xf numFmtId="0" fontId="70" fillId="0" borderId="0" xfId="0" applyFont="1" applyAlignment="1">
      <alignment horizontal="center" vertical="center" wrapText="1"/>
    </xf>
    <xf numFmtId="0" fontId="56" fillId="0" borderId="0" xfId="43" applyFont="1" applyAlignment="1">
      <alignment horizontal="right" vertical="top" wrapText="1"/>
    </xf>
    <xf numFmtId="43" fontId="9" fillId="0" borderId="7" xfId="1" applyNumberFormat="1" applyFont="1" applyFill="1" applyBorder="1" applyAlignment="1">
      <alignment horizontal="center" vertical="center" wrapText="1"/>
    </xf>
    <xf numFmtId="43" fontId="9" fillId="0" borderId="10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right" vertical="center"/>
    </xf>
    <xf numFmtId="0" fontId="9" fillId="0" borderId="5" xfId="1" applyFont="1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8" fillId="0" borderId="0" xfId="1" applyFont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56" fillId="0" borderId="0" xfId="2" applyFont="1" applyAlignment="1">
      <alignment horizontal="right"/>
    </xf>
    <xf numFmtId="0" fontId="23" fillId="6" borderId="7" xfId="1" applyFont="1" applyFill="1" applyBorder="1" applyAlignment="1">
      <alignment horizontal="center" vertical="center" wrapText="1"/>
    </xf>
    <xf numFmtId="0" fontId="23" fillId="6" borderId="8" xfId="1" applyFont="1" applyFill="1" applyBorder="1" applyAlignment="1">
      <alignment horizontal="center" vertical="center" wrapText="1"/>
    </xf>
    <xf numFmtId="43" fontId="9" fillId="0" borderId="112" xfId="1" applyNumberFormat="1" applyFont="1" applyFill="1" applyBorder="1" applyAlignment="1">
      <alignment horizontal="center" vertical="center" wrapText="1"/>
    </xf>
    <xf numFmtId="43" fontId="9" fillId="0" borderId="21" xfId="1" applyNumberFormat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top" wrapText="1"/>
    </xf>
    <xf numFmtId="0" fontId="25" fillId="0" borderId="13" xfId="1" applyFont="1" applyBorder="1" applyAlignment="1">
      <alignment horizontal="center" vertical="center" wrapText="1"/>
    </xf>
    <xf numFmtId="0" fontId="25" fillId="0" borderId="12" xfId="1" applyFont="1" applyBorder="1" applyAlignment="1">
      <alignment horizontal="center" vertical="center"/>
    </xf>
    <xf numFmtId="43" fontId="9" fillId="0" borderId="126" xfId="1" applyNumberFormat="1" applyFont="1" applyFill="1" applyBorder="1" applyAlignment="1">
      <alignment horizontal="center" vertical="center" wrapText="1"/>
    </xf>
    <xf numFmtId="0" fontId="56" fillId="0" borderId="0" xfId="2" applyFont="1" applyAlignment="1">
      <alignment horizontal="right" wrapText="1"/>
    </xf>
    <xf numFmtId="0" fontId="59" fillId="12" borderId="16" xfId="43" applyFont="1" applyFill="1" applyBorder="1" applyAlignment="1">
      <alignment horizontal="center" vertical="top" wrapText="1"/>
    </xf>
    <xf numFmtId="0" fontId="59" fillId="12" borderId="53" xfId="43" applyFont="1" applyFill="1" applyBorder="1" applyAlignment="1">
      <alignment horizontal="center" vertical="top" wrapText="1"/>
    </xf>
    <xf numFmtId="0" fontId="48" fillId="0" borderId="0" xfId="43" applyFont="1" applyBorder="1" applyAlignment="1">
      <alignment horizontal="center" vertical="center"/>
    </xf>
    <xf numFmtId="0" fontId="51" fillId="0" borderId="64" xfId="43" applyFont="1" applyBorder="1" applyAlignment="1">
      <alignment horizontal="left" vertical="center" wrapText="1"/>
    </xf>
    <xf numFmtId="0" fontId="54" fillId="0" borderId="68" xfId="43" applyFont="1" applyBorder="1" applyAlignment="1">
      <alignment horizontal="left" vertical="center" wrapText="1"/>
    </xf>
    <xf numFmtId="0" fontId="45" fillId="0" borderId="71" xfId="43" applyFont="1" applyFill="1" applyBorder="1" applyAlignment="1">
      <alignment horizontal="center" vertical="top" wrapText="1"/>
    </xf>
    <xf numFmtId="0" fontId="45" fillId="0" borderId="56" xfId="43" applyFont="1" applyFill="1" applyBorder="1" applyAlignment="1">
      <alignment horizontal="center" vertical="top" wrapText="1"/>
    </xf>
    <xf numFmtId="0" fontId="45" fillId="0" borderId="74" xfId="43" applyFont="1" applyFill="1" applyBorder="1" applyAlignment="1">
      <alignment horizontal="center" vertical="top" wrapText="1"/>
    </xf>
    <xf numFmtId="0" fontId="47" fillId="0" borderId="0" xfId="43" applyFont="1" applyBorder="1" applyAlignment="1">
      <alignment horizontal="left" vertical="center" wrapText="1"/>
    </xf>
    <xf numFmtId="0" fontId="47" fillId="0" borderId="7" xfId="43" applyFont="1" applyBorder="1" applyAlignment="1">
      <alignment horizontal="center" vertical="center" wrapText="1"/>
    </xf>
    <xf numFmtId="0" fontId="47" fillId="0" borderId="8" xfId="43" applyFont="1" applyBorder="1" applyAlignment="1">
      <alignment horizontal="center" vertical="center" wrapText="1"/>
    </xf>
    <xf numFmtId="0" fontId="56" fillId="6" borderId="16" xfId="43" applyFont="1" applyFill="1" applyBorder="1" applyAlignment="1">
      <alignment horizontal="center" vertical="center" wrapText="1"/>
    </xf>
    <xf numFmtId="0" fontId="62" fillId="0" borderId="98" xfId="43" applyFont="1" applyBorder="1" applyAlignment="1">
      <alignment horizontal="center" vertical="center" wrapText="1"/>
    </xf>
    <xf numFmtId="0" fontId="62" fillId="0" borderId="99" xfId="43" applyFont="1" applyBorder="1" applyAlignment="1">
      <alignment horizontal="center" vertical="center" wrapText="1"/>
    </xf>
    <xf numFmtId="0" fontId="47" fillId="0" borderId="54" xfId="43" applyFont="1" applyBorder="1" applyAlignment="1">
      <alignment horizontal="left" vertical="center" wrapText="1"/>
    </xf>
    <xf numFmtId="0" fontId="47" fillId="0" borderId="55" xfId="43" applyFont="1" applyBorder="1" applyAlignment="1">
      <alignment horizontal="left" vertical="center" wrapText="1"/>
    </xf>
    <xf numFmtId="0" fontId="56" fillId="6" borderId="7" xfId="43" applyFont="1" applyFill="1" applyBorder="1" applyAlignment="1">
      <alignment horizontal="center" vertical="top" wrapText="1"/>
    </xf>
    <xf numFmtId="0" fontId="56" fillId="6" borderId="10" xfId="43" applyFont="1" applyFill="1" applyBorder="1" applyAlignment="1">
      <alignment horizontal="center" vertical="top" wrapText="1"/>
    </xf>
    <xf numFmtId="0" fontId="47" fillId="0" borderId="84" xfId="43" applyFont="1" applyFill="1" applyBorder="1" applyAlignment="1">
      <alignment horizontal="left" vertical="center" wrapText="1"/>
    </xf>
    <xf numFmtId="0" fontId="45" fillId="6" borderId="58" xfId="43" applyFont="1" applyFill="1" applyBorder="1" applyAlignment="1">
      <alignment horizontal="center" vertical="top" wrapText="1"/>
    </xf>
    <xf numFmtId="0" fontId="45" fillId="6" borderId="56" xfId="43" applyFont="1" applyFill="1" applyBorder="1" applyAlignment="1">
      <alignment horizontal="center" vertical="top" wrapText="1"/>
    </xf>
    <xf numFmtId="0" fontId="45" fillId="6" borderId="43" xfId="43" applyFont="1" applyFill="1" applyBorder="1" applyAlignment="1">
      <alignment horizontal="center" vertical="top" wrapText="1"/>
    </xf>
    <xf numFmtId="0" fontId="47" fillId="0" borderId="68" xfId="43" applyFont="1" applyFill="1" applyBorder="1" applyAlignment="1">
      <alignment horizontal="left" vertical="center" wrapText="1"/>
    </xf>
    <xf numFmtId="0" fontId="45" fillId="0" borderId="71" xfId="43" applyFont="1" applyFill="1" applyBorder="1" applyAlignment="1">
      <alignment horizontal="left" vertical="top" wrapText="1"/>
    </xf>
    <xf numFmtId="0" fontId="45" fillId="0" borderId="43" xfId="43" applyFont="1" applyFill="1" applyBorder="1" applyAlignment="1">
      <alignment horizontal="left" vertical="top" wrapText="1"/>
    </xf>
    <xf numFmtId="0" fontId="45" fillId="0" borderId="7" xfId="43" applyFont="1" applyFill="1" applyBorder="1" applyAlignment="1">
      <alignment horizontal="center" vertical="top" wrapText="1"/>
    </xf>
    <xf numFmtId="0" fontId="45" fillId="0" borderId="10" xfId="43" applyFont="1" applyFill="1" applyBorder="1" applyAlignment="1">
      <alignment horizontal="center" vertical="top" wrapText="1"/>
    </xf>
    <xf numFmtId="0" fontId="47" fillId="0" borderId="24" xfId="43" applyFont="1" applyFill="1" applyBorder="1" applyAlignment="1">
      <alignment horizontal="center" vertical="center" wrapText="1"/>
    </xf>
    <xf numFmtId="0" fontId="47" fillId="0" borderId="16" xfId="43" applyFont="1" applyFill="1" applyBorder="1" applyAlignment="1">
      <alignment horizontal="center" vertical="center" wrapText="1"/>
    </xf>
    <xf numFmtId="0" fontId="45" fillId="0" borderId="7" xfId="43" applyFont="1" applyBorder="1" applyAlignment="1">
      <alignment horizontal="center" vertical="top" wrapText="1"/>
    </xf>
    <xf numFmtId="0" fontId="45" fillId="0" borderId="10" xfId="43" applyFont="1" applyBorder="1" applyAlignment="1">
      <alignment horizontal="center" vertical="top" wrapText="1"/>
    </xf>
    <xf numFmtId="0" fontId="51" fillId="0" borderId="93" xfId="43" applyFont="1" applyBorder="1" applyAlignment="1">
      <alignment horizontal="right" vertical="center" wrapText="1"/>
    </xf>
    <xf numFmtId="0" fontId="51" fillId="0" borderId="94" xfId="43" applyFont="1" applyBorder="1" applyAlignment="1">
      <alignment horizontal="right" vertical="center" wrapText="1"/>
    </xf>
    <xf numFmtId="0" fontId="51" fillId="0" borderId="95" xfId="43" applyFont="1" applyBorder="1" applyAlignment="1">
      <alignment horizontal="right" vertical="center" wrapText="1"/>
    </xf>
    <xf numFmtId="0" fontId="52" fillId="0" borderId="25" xfId="43" applyFont="1" applyBorder="1" applyAlignment="1">
      <alignment horizontal="center" vertical="center" wrapText="1"/>
    </xf>
    <xf numFmtId="0" fontId="52" fillId="0" borderId="54" xfId="43" applyFont="1" applyBorder="1" applyAlignment="1">
      <alignment horizontal="center" vertical="center" wrapText="1"/>
    </xf>
    <xf numFmtId="0" fontId="52" fillId="0" borderId="5" xfId="43" applyFont="1" applyBorder="1" applyAlignment="1">
      <alignment horizontal="center" vertical="center" wrapText="1"/>
    </xf>
    <xf numFmtId="0" fontId="47" fillId="0" borderId="102" xfId="43" applyFont="1" applyBorder="1" applyAlignment="1">
      <alignment horizontal="left" vertical="center" wrapText="1"/>
    </xf>
    <xf numFmtId="0" fontId="59" fillId="12" borderId="103" xfId="43" applyFont="1" applyFill="1" applyBorder="1" applyAlignment="1">
      <alignment horizontal="center" vertical="top" wrapText="1"/>
    </xf>
    <xf numFmtId="0" fontId="51" fillId="0" borderId="105" xfId="43" applyFont="1" applyBorder="1" applyAlignment="1">
      <alignment horizontal="left" vertical="center" wrapText="1"/>
    </xf>
    <xf numFmtId="0" fontId="47" fillId="0" borderId="11" xfId="43" applyFont="1" applyBorder="1" applyAlignment="1">
      <alignment horizontal="left" vertical="center" wrapText="1"/>
    </xf>
    <xf numFmtId="0" fontId="52" fillId="0" borderId="25" xfId="43" applyFont="1" applyBorder="1" applyAlignment="1">
      <alignment horizontal="right" vertical="center" wrapText="1"/>
    </xf>
    <xf numFmtId="0" fontId="52" fillId="0" borderId="54" xfId="43" applyFont="1" applyBorder="1" applyAlignment="1">
      <alignment horizontal="right" vertical="center" wrapText="1"/>
    </xf>
    <xf numFmtId="0" fontId="52" fillId="0" borderId="55" xfId="43" applyFont="1" applyBorder="1" applyAlignment="1">
      <alignment horizontal="right" vertical="center" wrapText="1"/>
    </xf>
    <xf numFmtId="0" fontId="70" fillId="26" borderId="86" xfId="44" applyFont="1" applyFill="1" applyBorder="1" applyAlignment="1">
      <alignment horizontal="center" vertical="center"/>
    </xf>
    <xf numFmtId="0" fontId="70" fillId="26" borderId="46" xfId="44" applyFont="1" applyFill="1" applyBorder="1" applyAlignment="1">
      <alignment horizontal="center" vertical="center"/>
    </xf>
    <xf numFmtId="0" fontId="70" fillId="26" borderId="25" xfId="44" applyFont="1" applyFill="1" applyBorder="1" applyAlignment="1">
      <alignment horizontal="center"/>
    </xf>
    <xf numFmtId="0" fontId="70" fillId="26" borderId="5" xfId="44" applyFont="1" applyFill="1" applyBorder="1" applyAlignment="1">
      <alignment horizontal="center"/>
    </xf>
    <xf numFmtId="0" fontId="56" fillId="0" borderId="29" xfId="44" applyFont="1" applyBorder="1" applyAlignment="1">
      <alignment horizontal="center" vertical="center" wrapText="1"/>
    </xf>
    <xf numFmtId="0" fontId="4" fillId="0" borderId="0" xfId="44" applyFont="1" applyBorder="1" applyAlignment="1"/>
    <xf numFmtId="0" fontId="62" fillId="0" borderId="0" xfId="44" applyFont="1" applyBorder="1" applyAlignment="1">
      <alignment horizontal="center" vertical="center"/>
    </xf>
    <xf numFmtId="0" fontId="56" fillId="0" borderId="29" xfId="44" applyFont="1" applyBorder="1" applyAlignment="1">
      <alignment vertical="center"/>
    </xf>
    <xf numFmtId="0" fontId="56" fillId="0" borderId="62" xfId="44" applyFont="1" applyBorder="1" applyAlignment="1">
      <alignment horizontal="center" vertical="center" wrapText="1"/>
    </xf>
    <xf numFmtId="0" fontId="56" fillId="0" borderId="29" xfId="44" applyFont="1" applyBorder="1" applyAlignment="1">
      <alignment horizontal="center" vertical="center"/>
    </xf>
    <xf numFmtId="0" fontId="35" fillId="0" borderId="0" xfId="49" applyFont="1" applyBorder="1" applyAlignment="1">
      <alignment horizontal="left" vertical="center" wrapText="1"/>
    </xf>
    <xf numFmtId="0" fontId="62" fillId="0" borderId="0" xfId="49" applyFont="1" applyBorder="1" applyAlignment="1">
      <alignment horizontal="left" vertical="center"/>
    </xf>
    <xf numFmtId="0" fontId="18" fillId="6" borderId="8" xfId="49" applyFont="1" applyFill="1" applyBorder="1" applyAlignment="1">
      <alignment horizontal="center" vertical="top"/>
    </xf>
    <xf numFmtId="0" fontId="18" fillId="6" borderId="10" xfId="49" applyFont="1" applyFill="1" applyBorder="1" applyAlignment="1">
      <alignment horizontal="center" vertical="top"/>
    </xf>
    <xf numFmtId="0" fontId="35" fillId="0" borderId="0" xfId="49" applyFont="1" applyBorder="1" applyAlignment="1">
      <alignment horizontal="center" vertical="center" wrapText="1"/>
    </xf>
    <xf numFmtId="0" fontId="103" fillId="0" borderId="0" xfId="49" applyFont="1" applyBorder="1" applyAlignment="1">
      <alignment horizontal="left"/>
    </xf>
    <xf numFmtId="168" fontId="45" fillId="0" borderId="31" xfId="45" applyFont="1" applyFill="1" applyBorder="1" applyAlignment="1" applyProtection="1">
      <alignment horizontal="center" vertical="top"/>
    </xf>
    <xf numFmtId="168" fontId="45" fillId="0" borderId="33" xfId="45" applyFont="1" applyFill="1" applyBorder="1" applyAlignment="1" applyProtection="1">
      <alignment horizontal="center" vertical="top"/>
    </xf>
    <xf numFmtId="0" fontId="56" fillId="0" borderId="0" xfId="46" applyFont="1" applyAlignment="1">
      <alignment horizontal="right"/>
    </xf>
    <xf numFmtId="168" fontId="74" fillId="0" borderId="0" xfId="45" applyFont="1" applyFill="1" applyBorder="1" applyAlignment="1" applyProtection="1">
      <alignment horizontal="center" vertical="center"/>
    </xf>
    <xf numFmtId="49" fontId="92" fillId="14" borderId="8" xfId="30" applyNumberFormat="1" applyFont="1" applyFill="1" applyBorder="1" applyAlignment="1" applyProtection="1">
      <alignment horizontal="center" vertical="center" wrapText="1"/>
      <protection locked="0"/>
    </xf>
    <xf numFmtId="49" fontId="87" fillId="14" borderId="8" xfId="30" applyNumberFormat="1" applyFont="1" applyFill="1" applyBorder="1" applyAlignment="1" applyProtection="1">
      <alignment horizontal="center" vertical="center" wrapText="1"/>
      <protection locked="0"/>
    </xf>
    <xf numFmtId="49" fontId="87" fillId="14" borderId="10" xfId="30" applyNumberFormat="1" applyFont="1" applyFill="1" applyBorder="1" applyAlignment="1" applyProtection="1">
      <alignment horizontal="center" vertical="center" wrapText="1"/>
      <protection locked="0"/>
    </xf>
    <xf numFmtId="0" fontId="90" fillId="0" borderId="53" xfId="30" applyFont="1" applyBorder="1" applyAlignment="1">
      <alignment horizontal="center"/>
    </xf>
    <xf numFmtId="0" fontId="90" fillId="0" borderId="109" xfId="30" applyFont="1" applyBorder="1" applyAlignment="1">
      <alignment horizontal="center"/>
    </xf>
    <xf numFmtId="0" fontId="70" fillId="0" borderId="0" xfId="30" applyFont="1" applyBorder="1" applyAlignment="1">
      <alignment horizontal="center" vertical="center"/>
    </xf>
    <xf numFmtId="0" fontId="56" fillId="0" borderId="0" xfId="47" applyFont="1" applyBorder="1" applyAlignment="1">
      <alignment horizontal="right"/>
    </xf>
    <xf numFmtId="0" fontId="70" fillId="0" borderId="171" xfId="47" applyFont="1" applyBorder="1" applyAlignment="1">
      <alignment horizontal="center" vertical="center" wrapText="1"/>
    </xf>
    <xf numFmtId="0" fontId="19" fillId="0" borderId="0" xfId="49" applyFont="1" applyAlignment="1">
      <alignment horizontal="left"/>
    </xf>
    <xf numFmtId="0" fontId="19" fillId="0" borderId="0" xfId="49" applyFont="1" applyAlignment="1">
      <alignment horizontal="left" vertical="top" wrapText="1"/>
    </xf>
    <xf numFmtId="0" fontId="19" fillId="0" borderId="4" xfId="49" applyFont="1" applyBorder="1" applyAlignment="1">
      <alignment horizontal="center" vertical="center"/>
    </xf>
    <xf numFmtId="0" fontId="5" fillId="0" borderId="0" xfId="49" applyFont="1" applyAlignment="1">
      <alignment horizontal="right" vertical="top"/>
    </xf>
    <xf numFmtId="0" fontId="52" fillId="0" borderId="188" xfId="49" applyFont="1" applyBorder="1" applyAlignment="1">
      <alignment horizontal="left" vertical="top" wrapText="1"/>
    </xf>
    <xf numFmtId="0" fontId="52" fillId="0" borderId="0" xfId="49" applyFont="1" applyAlignment="1">
      <alignment horizontal="left" vertical="center"/>
    </xf>
    <xf numFmtId="4" fontId="63" fillId="0" borderId="183" xfId="49" applyNumberFormat="1" applyFont="1" applyBorder="1" applyAlignment="1">
      <alignment horizontal="right" vertical="center" wrapText="1"/>
    </xf>
    <xf numFmtId="0" fontId="19" fillId="0" borderId="0" xfId="49" applyFont="1" applyAlignment="1">
      <alignment horizontal="center" vertical="top" wrapText="1"/>
    </xf>
    <xf numFmtId="0" fontId="52" fillId="0" borderId="0" xfId="49" applyFont="1" applyAlignment="1">
      <alignment horizontal="left" vertical="center" wrapText="1"/>
    </xf>
    <xf numFmtId="0" fontId="57" fillId="0" borderId="0" xfId="49" applyFont="1" applyBorder="1" applyAlignment="1">
      <alignment vertical="top" wrapText="1"/>
    </xf>
    <xf numFmtId="0" fontId="19" fillId="0" borderId="0" xfId="49" applyFont="1" applyBorder="1" applyAlignment="1">
      <alignment horizontal="left"/>
    </xf>
    <xf numFmtId="0" fontId="52" fillId="0" borderId="7" xfId="49" applyFont="1" applyBorder="1" applyAlignment="1">
      <alignment horizontal="left" vertical="top"/>
    </xf>
    <xf numFmtId="0" fontId="52" fillId="0" borderId="8" xfId="49" applyFont="1" applyBorder="1" applyAlignment="1">
      <alignment horizontal="left" vertical="top"/>
    </xf>
    <xf numFmtId="0" fontId="52" fillId="0" borderId="10" xfId="49" applyFont="1" applyBorder="1" applyAlignment="1">
      <alignment horizontal="left" vertical="top"/>
    </xf>
    <xf numFmtId="49" fontId="30" fillId="19" borderId="8" xfId="40" applyNumberFormat="1" applyFont="1" applyFill="1" applyBorder="1" applyAlignment="1" applyProtection="1">
      <alignment horizontal="center" vertical="top" wrapText="1"/>
      <protection locked="0"/>
    </xf>
    <xf numFmtId="49" fontId="30" fillId="19" borderId="10" xfId="40" applyNumberFormat="1" applyFont="1" applyFill="1" applyBorder="1" applyAlignment="1" applyProtection="1">
      <alignment horizontal="center" vertical="top" wrapText="1"/>
      <protection locked="0"/>
    </xf>
    <xf numFmtId="0" fontId="19" fillId="0" borderId="8" xfId="49" applyFont="1" applyBorder="1" applyAlignment="1">
      <alignment horizontal="center" vertical="top"/>
    </xf>
    <xf numFmtId="0" fontId="19" fillId="0" borderId="10" xfId="49" applyFont="1" applyBorder="1" applyAlignment="1">
      <alignment horizontal="center" vertical="top"/>
    </xf>
    <xf numFmtId="10" fontId="63" fillId="0" borderId="183" xfId="49" applyNumberFormat="1" applyFont="1" applyBorder="1" applyAlignment="1">
      <alignment horizontal="center" vertical="center"/>
    </xf>
    <xf numFmtId="0" fontId="4" fillId="0" borderId="0" xfId="50" applyFont="1" applyAlignment="1">
      <alignment horizontal="right"/>
    </xf>
    <xf numFmtId="0" fontId="85" fillId="0" borderId="0" xfId="0" applyFont="1" applyAlignment="1">
      <alignment horizontal="center" vertical="top" wrapText="1"/>
    </xf>
    <xf numFmtId="0" fontId="62" fillId="0" borderId="18" xfId="49" applyFont="1" applyBorder="1" applyAlignment="1">
      <alignment horizontal="center" vertical="center"/>
    </xf>
    <xf numFmtId="4" fontId="62" fillId="0" borderId="105" xfId="49" applyNumberFormat="1" applyFont="1" applyBorder="1" applyAlignment="1">
      <alignment horizontal="center" vertical="center"/>
    </xf>
    <xf numFmtId="0" fontId="62" fillId="0" borderId="105" xfId="49" applyFont="1" applyBorder="1" applyAlignment="1">
      <alignment horizontal="center" vertical="center"/>
    </xf>
    <xf numFmtId="0" fontId="56" fillId="0" borderId="4" xfId="49" applyFont="1" applyBorder="1" applyAlignment="1">
      <alignment horizontal="center" vertical="center"/>
    </xf>
    <xf numFmtId="0" fontId="56" fillId="0" borderId="4" xfId="49" applyFont="1" applyBorder="1" applyAlignment="1">
      <alignment horizontal="center" vertical="center" wrapText="1"/>
    </xf>
    <xf numFmtId="0" fontId="52" fillId="0" borderId="125" xfId="49" applyFont="1" applyBorder="1" applyAlignment="1">
      <alignment horizontal="center" vertical="center" wrapText="1"/>
    </xf>
    <xf numFmtId="0" fontId="132" fillId="0" borderId="4" xfId="49" applyFont="1" applyBorder="1" applyAlignment="1">
      <alignment horizontal="center" vertical="center" wrapText="1"/>
    </xf>
    <xf numFmtId="0" fontId="19" fillId="0" borderId="25" xfId="49" applyFont="1" applyBorder="1" applyAlignment="1">
      <alignment horizontal="center" vertical="center" wrapText="1"/>
    </xf>
    <xf numFmtId="0" fontId="19" fillId="0" borderId="4" xfId="49" applyFont="1" applyBorder="1" applyAlignment="1">
      <alignment horizontal="center" vertical="center" wrapText="1"/>
    </xf>
    <xf numFmtId="0" fontId="76" fillId="0" borderId="4" xfId="49" applyFont="1" applyBorder="1" applyAlignment="1">
      <alignment horizontal="center" vertical="center"/>
    </xf>
    <xf numFmtId="0" fontId="153" fillId="0" borderId="194" xfId="27" applyNumberFormat="1" applyFont="1" applyFill="1" applyBorder="1" applyAlignment="1" applyProtection="1">
      <alignment horizontal="left" vertical="center" wrapText="1"/>
      <protection locked="0"/>
    </xf>
    <xf numFmtId="0" fontId="153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153" fillId="0" borderId="207" xfId="27" applyNumberFormat="1" applyFont="1" applyFill="1" applyBorder="1" applyAlignment="1" applyProtection="1">
      <alignment horizontal="left" vertical="center" wrapText="1"/>
      <protection locked="0"/>
    </xf>
    <xf numFmtId="0" fontId="153" fillId="0" borderId="208" xfId="27" applyNumberFormat="1" applyFont="1" applyFill="1" applyBorder="1" applyAlignment="1" applyProtection="1">
      <alignment horizontal="left" vertical="center" wrapText="1"/>
      <protection locked="0"/>
    </xf>
    <xf numFmtId="0" fontId="30" fillId="0" borderId="0" xfId="51" applyNumberFormat="1" applyFont="1" applyFill="1" applyBorder="1" applyAlignment="1" applyProtection="1">
      <alignment horizontal="center" vertical="center" wrapText="1"/>
      <protection locked="0"/>
    </xf>
    <xf numFmtId="0" fontId="95" fillId="0" borderId="196" xfId="27" applyNumberFormat="1" applyFont="1" applyFill="1" applyBorder="1" applyAlignment="1" applyProtection="1">
      <alignment horizontal="left" vertical="center" wrapText="1"/>
      <protection locked="0"/>
    </xf>
    <xf numFmtId="0" fontId="95" fillId="0" borderId="203" xfId="27" applyNumberFormat="1" applyFont="1" applyFill="1" applyBorder="1" applyAlignment="1" applyProtection="1">
      <alignment horizontal="left" vertical="center" wrapText="1"/>
      <protection locked="0"/>
    </xf>
    <xf numFmtId="0" fontId="152" fillId="0" borderId="196" xfId="27" applyNumberFormat="1" applyFont="1" applyFill="1" applyBorder="1" applyAlignment="1" applyProtection="1">
      <alignment horizontal="left" vertical="center" wrapText="1"/>
      <protection locked="0"/>
    </xf>
    <xf numFmtId="0" fontId="152" fillId="0" borderId="203" xfId="27" applyNumberFormat="1" applyFont="1" applyFill="1" applyBorder="1" applyAlignment="1" applyProtection="1">
      <alignment horizontal="left" vertical="center" wrapText="1"/>
      <protection locked="0"/>
    </xf>
    <xf numFmtId="0" fontId="152" fillId="0" borderId="184" xfId="27" applyNumberFormat="1" applyFont="1" applyFill="1" applyBorder="1" applyAlignment="1" applyProtection="1">
      <alignment horizontal="left" vertical="center" wrapText="1"/>
      <protection locked="0"/>
    </xf>
    <xf numFmtId="0" fontId="7" fillId="0" borderId="200" xfId="27" applyNumberFormat="1" applyFont="1" applyFill="1" applyBorder="1" applyAlignment="1" applyProtection="1">
      <alignment horizontal="left" vertical="center" wrapText="1"/>
      <protection locked="0"/>
    </xf>
    <xf numFmtId="0" fontId="7" fillId="0" borderId="184" xfId="27" applyNumberFormat="1" applyFont="1" applyFill="1" applyBorder="1" applyAlignment="1" applyProtection="1">
      <alignment horizontal="left" vertical="center" wrapText="1"/>
      <protection locked="0"/>
    </xf>
    <xf numFmtId="0" fontId="153" fillId="0" borderId="199" xfId="27" applyNumberFormat="1" applyFont="1" applyFill="1" applyBorder="1" applyAlignment="1" applyProtection="1">
      <alignment horizontal="left" vertical="center" wrapText="1"/>
      <protection locked="0"/>
    </xf>
    <xf numFmtId="0" fontId="153" fillId="0" borderId="202" xfId="27" applyNumberFormat="1" applyFont="1" applyFill="1" applyBorder="1" applyAlignment="1" applyProtection="1">
      <alignment horizontal="left" vertical="center" wrapText="1"/>
      <protection locked="0"/>
    </xf>
    <xf numFmtId="0" fontId="153" fillId="0" borderId="207" xfId="27" applyNumberFormat="1" applyFont="1" applyFill="1" applyBorder="1" applyAlignment="1" applyProtection="1">
      <alignment horizontal="left" vertical="top" wrapText="1"/>
      <protection locked="0"/>
    </xf>
    <xf numFmtId="0" fontId="153" fillId="0" borderId="208" xfId="27" applyNumberFormat="1" applyFont="1" applyFill="1" applyBorder="1" applyAlignment="1" applyProtection="1">
      <alignment horizontal="left" vertical="top" wrapText="1"/>
      <protection locked="0"/>
    </xf>
    <xf numFmtId="0" fontId="153" fillId="0" borderId="209" xfId="27" applyNumberFormat="1" applyFont="1" applyFill="1" applyBorder="1" applyAlignment="1" applyProtection="1">
      <alignment horizontal="left" vertical="center" wrapText="1"/>
      <protection locked="0"/>
    </xf>
    <xf numFmtId="0" fontId="30" fillId="0" borderId="4" xfId="51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51" applyNumberFormat="1" applyFont="1" applyFill="1" applyBorder="1" applyAlignment="1" applyProtection="1">
      <alignment horizontal="center"/>
      <protection locked="0"/>
    </xf>
    <xf numFmtId="49" fontId="116" fillId="19" borderId="118" xfId="51" applyNumberFormat="1" applyFont="1" applyFill="1" applyBorder="1" applyAlignment="1" applyProtection="1">
      <alignment horizontal="center" vertical="center" wrapText="1"/>
      <protection locked="0"/>
    </xf>
    <xf numFmtId="49" fontId="116" fillId="19" borderId="132" xfId="51" applyNumberFormat="1" applyFont="1" applyFill="1" applyBorder="1" applyAlignment="1" applyProtection="1">
      <alignment horizontal="center" vertical="center" wrapText="1"/>
      <protection locked="0"/>
    </xf>
  </cellXfs>
  <cellStyles count="52">
    <cellStyle name="ConditionalStyle_1" xfId="5"/>
    <cellStyle name="Dziesiętny_załączniki  nr 1,2,3,4,5,6,7,8,9,10,11  2008" xfId="45"/>
    <cellStyle name="Excel Built-in Normal" xfId="6"/>
    <cellStyle name="Normalny" xfId="0" builtinId="0"/>
    <cellStyle name="Normalny 10" xfId="7"/>
    <cellStyle name="Normalny 11" xfId="8"/>
    <cellStyle name="Normalny 12" xfId="9"/>
    <cellStyle name="Normalny 13" xfId="10"/>
    <cellStyle name="Normalny 14" xfId="11"/>
    <cellStyle name="Normalny 15" xfId="12"/>
    <cellStyle name="Normalny 16" xfId="13"/>
    <cellStyle name="Normalny 17" xfId="14"/>
    <cellStyle name="Normalny 18" xfId="15"/>
    <cellStyle name="Normalny 19" xfId="16"/>
    <cellStyle name="Normalny 2" xfId="17"/>
    <cellStyle name="Normalny 2 2" xfId="18"/>
    <cellStyle name="Normalny 2 3" xfId="19"/>
    <cellStyle name="Normalny 20" xfId="20"/>
    <cellStyle name="Normalny 20 2" xfId="21"/>
    <cellStyle name="Normalny 21" xfId="22"/>
    <cellStyle name="Normalny 22" xfId="23"/>
    <cellStyle name="Normalny 23" xfId="24"/>
    <cellStyle name="Normalny 24" xfId="25"/>
    <cellStyle name="Normalny 25" xfId="26"/>
    <cellStyle name="Normalny 26" xfId="27"/>
    <cellStyle name="Normalny 27" xfId="3"/>
    <cellStyle name="Normalny 28" xfId="28"/>
    <cellStyle name="Normalny 29" xfId="29"/>
    <cellStyle name="Normalny 3" xfId="30"/>
    <cellStyle name="Normalny 3 2" xfId="31"/>
    <cellStyle name="Normalny 30" xfId="51"/>
    <cellStyle name="Normalny 4" xfId="32"/>
    <cellStyle name="Normalny 4 2" xfId="33"/>
    <cellStyle name="Normalny 5" xfId="34"/>
    <cellStyle name="Normalny 5 2" xfId="35"/>
    <cellStyle name="Normalny 5 3" xfId="36"/>
    <cellStyle name="Normalny 5 3 2" xfId="37"/>
    <cellStyle name="Normalny 6" xfId="38"/>
    <cellStyle name="Normalny 7" xfId="39"/>
    <cellStyle name="Normalny 7 2" xfId="40"/>
    <cellStyle name="Normalny 8" xfId="41"/>
    <cellStyle name="Normalny 9" xfId="42"/>
    <cellStyle name="Normalny_DOCHODY  WYDATKI 2011" xfId="49"/>
    <cellStyle name="Normalny_Kwiecień" xfId="46"/>
    <cellStyle name="Normalny_Przedsiewzięcia FS Zbiorcze 2" xfId="47"/>
    <cellStyle name="Normalny_Załacznik 2010" xfId="50"/>
    <cellStyle name="Normalny_załaczniki maj" xfId="43"/>
    <cellStyle name="Normalny_załaczniki maj_sołectwa - podział środków 2010" xfId="48"/>
    <cellStyle name="Normalny_załączniki  nr 1,2,3,4,5,6,7,8,9,10,11  2008" xfId="44"/>
    <cellStyle name="Normalny_Załączniki budżet 2010" xfId="1"/>
    <cellStyle name="Normalny_Zeszyt1" xfId="2"/>
    <cellStyle name="Walutowy_Załączniki budżet 2010" xfId="4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1"/>
  <sheetViews>
    <sheetView showGridLines="0" topLeftCell="A237" workbookViewId="0">
      <selection activeCell="E260" sqref="E260"/>
    </sheetView>
  </sheetViews>
  <sheetFormatPr defaultRowHeight="12.75" x14ac:dyDescent="0.2"/>
  <cols>
    <col min="1" max="1" width="4.7109375" style="1298" customWidth="1"/>
    <col min="2" max="2" width="7.140625" style="1298" customWidth="1"/>
    <col min="3" max="3" width="7.42578125" style="1298" customWidth="1"/>
    <col min="4" max="4" width="29.7109375" style="1298" customWidth="1"/>
    <col min="5" max="5" width="13.42578125" style="1340" customWidth="1"/>
    <col min="6" max="6" width="12.7109375" style="1340" customWidth="1"/>
    <col min="7" max="7" width="13.42578125" style="1298" customWidth="1"/>
    <col min="8" max="8" width="12.5703125" style="1298" customWidth="1"/>
    <col min="9" max="9" width="9.140625" style="1298"/>
    <col min="10" max="10" width="11.85546875" style="1298" customWidth="1"/>
    <col min="11" max="11" width="11.140625" style="1298" customWidth="1"/>
    <col min="12" max="173" width="9.140625" style="1298"/>
    <col min="174" max="174" width="2.140625" style="1298" customWidth="1"/>
    <col min="175" max="175" width="8.7109375" style="1298" customWidth="1"/>
    <col min="176" max="176" width="9.85546875" style="1298" customWidth="1"/>
    <col min="177" max="177" width="1" style="1298" customWidth="1"/>
    <col min="178" max="178" width="10.85546875" style="1298" customWidth="1"/>
    <col min="179" max="179" width="54.5703125" style="1298" customWidth="1"/>
    <col min="180" max="180" width="7.5703125" style="1298" customWidth="1"/>
    <col min="181" max="181" width="14.140625" style="1298" customWidth="1"/>
    <col min="182" max="182" width="1" style="1298" customWidth="1"/>
    <col min="183" max="429" width="9.140625" style="1298"/>
    <col min="430" max="430" width="2.140625" style="1298" customWidth="1"/>
    <col min="431" max="431" width="8.7109375" style="1298" customWidth="1"/>
    <col min="432" max="432" width="9.85546875" style="1298" customWidth="1"/>
    <col min="433" max="433" width="1" style="1298" customWidth="1"/>
    <col min="434" max="434" width="10.85546875" style="1298" customWidth="1"/>
    <col min="435" max="435" width="54.5703125" style="1298" customWidth="1"/>
    <col min="436" max="436" width="7.5703125" style="1298" customWidth="1"/>
    <col min="437" max="437" width="14.140625" style="1298" customWidth="1"/>
    <col min="438" max="438" width="1" style="1298" customWidth="1"/>
    <col min="439" max="685" width="9.140625" style="1298"/>
    <col min="686" max="686" width="2.140625" style="1298" customWidth="1"/>
    <col min="687" max="687" width="8.7109375" style="1298" customWidth="1"/>
    <col min="688" max="688" width="9.85546875" style="1298" customWidth="1"/>
    <col min="689" max="689" width="1" style="1298" customWidth="1"/>
    <col min="690" max="690" width="10.85546875" style="1298" customWidth="1"/>
    <col min="691" max="691" width="54.5703125" style="1298" customWidth="1"/>
    <col min="692" max="692" width="7.5703125" style="1298" customWidth="1"/>
    <col min="693" max="693" width="14.140625" style="1298" customWidth="1"/>
    <col min="694" max="694" width="1" style="1298" customWidth="1"/>
    <col min="695" max="941" width="9.140625" style="1298"/>
    <col min="942" max="942" width="2.140625" style="1298" customWidth="1"/>
    <col min="943" max="943" width="8.7109375" style="1298" customWidth="1"/>
    <col min="944" max="944" width="9.85546875" style="1298" customWidth="1"/>
    <col min="945" max="945" width="1" style="1298" customWidth="1"/>
    <col min="946" max="946" width="10.85546875" style="1298" customWidth="1"/>
    <col min="947" max="947" width="54.5703125" style="1298" customWidth="1"/>
    <col min="948" max="948" width="7.5703125" style="1298" customWidth="1"/>
    <col min="949" max="949" width="14.140625" style="1298" customWidth="1"/>
    <col min="950" max="950" width="1" style="1298" customWidth="1"/>
    <col min="951" max="1197" width="9.140625" style="1298"/>
    <col min="1198" max="1198" width="2.140625" style="1298" customWidth="1"/>
    <col min="1199" max="1199" width="8.7109375" style="1298" customWidth="1"/>
    <col min="1200" max="1200" width="9.85546875" style="1298" customWidth="1"/>
    <col min="1201" max="1201" width="1" style="1298" customWidth="1"/>
    <col min="1202" max="1202" width="10.85546875" style="1298" customWidth="1"/>
    <col min="1203" max="1203" width="54.5703125" style="1298" customWidth="1"/>
    <col min="1204" max="1204" width="7.5703125" style="1298" customWidth="1"/>
    <col min="1205" max="1205" width="14.140625" style="1298" customWidth="1"/>
    <col min="1206" max="1206" width="1" style="1298" customWidth="1"/>
    <col min="1207" max="1453" width="9.140625" style="1298"/>
    <col min="1454" max="1454" width="2.140625" style="1298" customWidth="1"/>
    <col min="1455" max="1455" width="8.7109375" style="1298" customWidth="1"/>
    <col min="1456" max="1456" width="9.85546875" style="1298" customWidth="1"/>
    <col min="1457" max="1457" width="1" style="1298" customWidth="1"/>
    <col min="1458" max="1458" width="10.85546875" style="1298" customWidth="1"/>
    <col min="1459" max="1459" width="54.5703125" style="1298" customWidth="1"/>
    <col min="1460" max="1460" width="7.5703125" style="1298" customWidth="1"/>
    <col min="1461" max="1461" width="14.140625" style="1298" customWidth="1"/>
    <col min="1462" max="1462" width="1" style="1298" customWidth="1"/>
    <col min="1463" max="1709" width="9.140625" style="1298"/>
    <col min="1710" max="1710" width="2.140625" style="1298" customWidth="1"/>
    <col min="1711" max="1711" width="8.7109375" style="1298" customWidth="1"/>
    <col min="1712" max="1712" width="9.85546875" style="1298" customWidth="1"/>
    <col min="1713" max="1713" width="1" style="1298" customWidth="1"/>
    <col min="1714" max="1714" width="10.85546875" style="1298" customWidth="1"/>
    <col min="1715" max="1715" width="54.5703125" style="1298" customWidth="1"/>
    <col min="1716" max="1716" width="7.5703125" style="1298" customWidth="1"/>
    <col min="1717" max="1717" width="14.140625" style="1298" customWidth="1"/>
    <col min="1718" max="1718" width="1" style="1298" customWidth="1"/>
    <col min="1719" max="1965" width="9.140625" style="1298"/>
    <col min="1966" max="1966" width="2.140625" style="1298" customWidth="1"/>
    <col min="1967" max="1967" width="8.7109375" style="1298" customWidth="1"/>
    <col min="1968" max="1968" width="9.85546875" style="1298" customWidth="1"/>
    <col min="1969" max="1969" width="1" style="1298" customWidth="1"/>
    <col min="1970" max="1970" width="10.85546875" style="1298" customWidth="1"/>
    <col min="1971" max="1971" width="54.5703125" style="1298" customWidth="1"/>
    <col min="1972" max="1972" width="7.5703125" style="1298" customWidth="1"/>
    <col min="1973" max="1973" width="14.140625" style="1298" customWidth="1"/>
    <col min="1974" max="1974" width="1" style="1298" customWidth="1"/>
    <col min="1975" max="2221" width="9.140625" style="1298"/>
    <col min="2222" max="2222" width="2.140625" style="1298" customWidth="1"/>
    <col min="2223" max="2223" width="8.7109375" style="1298" customWidth="1"/>
    <col min="2224" max="2224" width="9.85546875" style="1298" customWidth="1"/>
    <col min="2225" max="2225" width="1" style="1298" customWidth="1"/>
    <col min="2226" max="2226" width="10.85546875" style="1298" customWidth="1"/>
    <col min="2227" max="2227" width="54.5703125" style="1298" customWidth="1"/>
    <col min="2228" max="2228" width="7.5703125" style="1298" customWidth="1"/>
    <col min="2229" max="2229" width="14.140625" style="1298" customWidth="1"/>
    <col min="2230" max="2230" width="1" style="1298" customWidth="1"/>
    <col min="2231" max="2477" width="9.140625" style="1298"/>
    <col min="2478" max="2478" width="2.140625" style="1298" customWidth="1"/>
    <col min="2479" max="2479" width="8.7109375" style="1298" customWidth="1"/>
    <col min="2480" max="2480" width="9.85546875" style="1298" customWidth="1"/>
    <col min="2481" max="2481" width="1" style="1298" customWidth="1"/>
    <col min="2482" max="2482" width="10.85546875" style="1298" customWidth="1"/>
    <col min="2483" max="2483" width="54.5703125" style="1298" customWidth="1"/>
    <col min="2484" max="2484" width="7.5703125" style="1298" customWidth="1"/>
    <col min="2485" max="2485" width="14.140625" style="1298" customWidth="1"/>
    <col min="2486" max="2486" width="1" style="1298" customWidth="1"/>
    <col min="2487" max="2733" width="9.140625" style="1298"/>
    <col min="2734" max="2734" width="2.140625" style="1298" customWidth="1"/>
    <col min="2735" max="2735" width="8.7109375" style="1298" customWidth="1"/>
    <col min="2736" max="2736" width="9.85546875" style="1298" customWidth="1"/>
    <col min="2737" max="2737" width="1" style="1298" customWidth="1"/>
    <col min="2738" max="2738" width="10.85546875" style="1298" customWidth="1"/>
    <col min="2739" max="2739" width="54.5703125" style="1298" customWidth="1"/>
    <col min="2740" max="2740" width="7.5703125" style="1298" customWidth="1"/>
    <col min="2741" max="2741" width="14.140625" style="1298" customWidth="1"/>
    <col min="2742" max="2742" width="1" style="1298" customWidth="1"/>
    <col min="2743" max="2989" width="9.140625" style="1298"/>
    <col min="2990" max="2990" width="2.140625" style="1298" customWidth="1"/>
    <col min="2991" max="2991" width="8.7109375" style="1298" customWidth="1"/>
    <col min="2992" max="2992" width="9.85546875" style="1298" customWidth="1"/>
    <col min="2993" max="2993" width="1" style="1298" customWidth="1"/>
    <col min="2994" max="2994" width="10.85546875" style="1298" customWidth="1"/>
    <col min="2995" max="2995" width="54.5703125" style="1298" customWidth="1"/>
    <col min="2996" max="2996" width="7.5703125" style="1298" customWidth="1"/>
    <col min="2997" max="2997" width="14.140625" style="1298" customWidth="1"/>
    <col min="2998" max="2998" width="1" style="1298" customWidth="1"/>
    <col min="2999" max="3245" width="9.140625" style="1298"/>
    <col min="3246" max="3246" width="2.140625" style="1298" customWidth="1"/>
    <col min="3247" max="3247" width="8.7109375" style="1298" customWidth="1"/>
    <col min="3248" max="3248" width="9.85546875" style="1298" customWidth="1"/>
    <col min="3249" max="3249" width="1" style="1298" customWidth="1"/>
    <col min="3250" max="3250" width="10.85546875" style="1298" customWidth="1"/>
    <col min="3251" max="3251" width="54.5703125" style="1298" customWidth="1"/>
    <col min="3252" max="3252" width="7.5703125" style="1298" customWidth="1"/>
    <col min="3253" max="3253" width="14.140625" style="1298" customWidth="1"/>
    <col min="3254" max="3254" width="1" style="1298" customWidth="1"/>
    <col min="3255" max="3501" width="9.140625" style="1298"/>
    <col min="3502" max="3502" width="2.140625" style="1298" customWidth="1"/>
    <col min="3503" max="3503" width="8.7109375" style="1298" customWidth="1"/>
    <col min="3504" max="3504" width="9.85546875" style="1298" customWidth="1"/>
    <col min="3505" max="3505" width="1" style="1298" customWidth="1"/>
    <col min="3506" max="3506" width="10.85546875" style="1298" customWidth="1"/>
    <col min="3507" max="3507" width="54.5703125" style="1298" customWidth="1"/>
    <col min="3508" max="3508" width="7.5703125" style="1298" customWidth="1"/>
    <col min="3509" max="3509" width="14.140625" style="1298" customWidth="1"/>
    <col min="3510" max="3510" width="1" style="1298" customWidth="1"/>
    <col min="3511" max="3757" width="9.140625" style="1298"/>
    <col min="3758" max="3758" width="2.140625" style="1298" customWidth="1"/>
    <col min="3759" max="3759" width="8.7109375" style="1298" customWidth="1"/>
    <col min="3760" max="3760" width="9.85546875" style="1298" customWidth="1"/>
    <col min="3761" max="3761" width="1" style="1298" customWidth="1"/>
    <col min="3762" max="3762" width="10.85546875" style="1298" customWidth="1"/>
    <col min="3763" max="3763" width="54.5703125" style="1298" customWidth="1"/>
    <col min="3764" max="3764" width="7.5703125" style="1298" customWidth="1"/>
    <col min="3765" max="3765" width="14.140625" style="1298" customWidth="1"/>
    <col min="3766" max="3766" width="1" style="1298" customWidth="1"/>
    <col min="3767" max="4013" width="9.140625" style="1298"/>
    <col min="4014" max="4014" width="2.140625" style="1298" customWidth="1"/>
    <col min="4015" max="4015" width="8.7109375" style="1298" customWidth="1"/>
    <col min="4016" max="4016" width="9.85546875" style="1298" customWidth="1"/>
    <col min="4017" max="4017" width="1" style="1298" customWidth="1"/>
    <col min="4018" max="4018" width="10.85546875" style="1298" customWidth="1"/>
    <col min="4019" max="4019" width="54.5703125" style="1298" customWidth="1"/>
    <col min="4020" max="4020" width="7.5703125" style="1298" customWidth="1"/>
    <col min="4021" max="4021" width="14.140625" style="1298" customWidth="1"/>
    <col min="4022" max="4022" width="1" style="1298" customWidth="1"/>
    <col min="4023" max="4269" width="9.140625" style="1298"/>
    <col min="4270" max="4270" width="2.140625" style="1298" customWidth="1"/>
    <col min="4271" max="4271" width="8.7109375" style="1298" customWidth="1"/>
    <col min="4272" max="4272" width="9.85546875" style="1298" customWidth="1"/>
    <col min="4273" max="4273" width="1" style="1298" customWidth="1"/>
    <col min="4274" max="4274" width="10.85546875" style="1298" customWidth="1"/>
    <col min="4275" max="4275" width="54.5703125" style="1298" customWidth="1"/>
    <col min="4276" max="4276" width="7.5703125" style="1298" customWidth="1"/>
    <col min="4277" max="4277" width="14.140625" style="1298" customWidth="1"/>
    <col min="4278" max="4278" width="1" style="1298" customWidth="1"/>
    <col min="4279" max="4525" width="9.140625" style="1298"/>
    <col min="4526" max="4526" width="2.140625" style="1298" customWidth="1"/>
    <col min="4527" max="4527" width="8.7109375" style="1298" customWidth="1"/>
    <col min="4528" max="4528" width="9.85546875" style="1298" customWidth="1"/>
    <col min="4529" max="4529" width="1" style="1298" customWidth="1"/>
    <col min="4530" max="4530" width="10.85546875" style="1298" customWidth="1"/>
    <col min="4531" max="4531" width="54.5703125" style="1298" customWidth="1"/>
    <col min="4532" max="4532" width="7.5703125" style="1298" customWidth="1"/>
    <col min="4533" max="4533" width="14.140625" style="1298" customWidth="1"/>
    <col min="4534" max="4534" width="1" style="1298" customWidth="1"/>
    <col min="4535" max="4781" width="9.140625" style="1298"/>
    <col min="4782" max="4782" width="2.140625" style="1298" customWidth="1"/>
    <col min="4783" max="4783" width="8.7109375" style="1298" customWidth="1"/>
    <col min="4784" max="4784" width="9.85546875" style="1298" customWidth="1"/>
    <col min="4785" max="4785" width="1" style="1298" customWidth="1"/>
    <col min="4786" max="4786" width="10.85546875" style="1298" customWidth="1"/>
    <col min="4787" max="4787" width="54.5703125" style="1298" customWidth="1"/>
    <col min="4788" max="4788" width="7.5703125" style="1298" customWidth="1"/>
    <col min="4789" max="4789" width="14.140625" style="1298" customWidth="1"/>
    <col min="4790" max="4790" width="1" style="1298" customWidth="1"/>
    <col min="4791" max="5037" width="9.140625" style="1298"/>
    <col min="5038" max="5038" width="2.140625" style="1298" customWidth="1"/>
    <col min="5039" max="5039" width="8.7109375" style="1298" customWidth="1"/>
    <col min="5040" max="5040" width="9.85546875" style="1298" customWidth="1"/>
    <col min="5041" max="5041" width="1" style="1298" customWidth="1"/>
    <col min="5042" max="5042" width="10.85546875" style="1298" customWidth="1"/>
    <col min="5043" max="5043" width="54.5703125" style="1298" customWidth="1"/>
    <col min="5044" max="5044" width="7.5703125" style="1298" customWidth="1"/>
    <col min="5045" max="5045" width="14.140625" style="1298" customWidth="1"/>
    <col min="5046" max="5046" width="1" style="1298" customWidth="1"/>
    <col min="5047" max="5293" width="9.140625" style="1298"/>
    <col min="5294" max="5294" width="2.140625" style="1298" customWidth="1"/>
    <col min="5295" max="5295" width="8.7109375" style="1298" customWidth="1"/>
    <col min="5296" max="5296" width="9.85546875" style="1298" customWidth="1"/>
    <col min="5297" max="5297" width="1" style="1298" customWidth="1"/>
    <col min="5298" max="5298" width="10.85546875" style="1298" customWidth="1"/>
    <col min="5299" max="5299" width="54.5703125" style="1298" customWidth="1"/>
    <col min="5300" max="5300" width="7.5703125" style="1298" customWidth="1"/>
    <col min="5301" max="5301" width="14.140625" style="1298" customWidth="1"/>
    <col min="5302" max="5302" width="1" style="1298" customWidth="1"/>
    <col min="5303" max="5549" width="9.140625" style="1298"/>
    <col min="5550" max="5550" width="2.140625" style="1298" customWidth="1"/>
    <col min="5551" max="5551" width="8.7109375" style="1298" customWidth="1"/>
    <col min="5552" max="5552" width="9.85546875" style="1298" customWidth="1"/>
    <col min="5553" max="5553" width="1" style="1298" customWidth="1"/>
    <col min="5554" max="5554" width="10.85546875" style="1298" customWidth="1"/>
    <col min="5555" max="5555" width="54.5703125" style="1298" customWidth="1"/>
    <col min="5556" max="5556" width="7.5703125" style="1298" customWidth="1"/>
    <col min="5557" max="5557" width="14.140625" style="1298" customWidth="1"/>
    <col min="5558" max="5558" width="1" style="1298" customWidth="1"/>
    <col min="5559" max="5805" width="9.140625" style="1298"/>
    <col min="5806" max="5806" width="2.140625" style="1298" customWidth="1"/>
    <col min="5807" max="5807" width="8.7109375" style="1298" customWidth="1"/>
    <col min="5808" max="5808" width="9.85546875" style="1298" customWidth="1"/>
    <col min="5809" max="5809" width="1" style="1298" customWidth="1"/>
    <col min="5810" max="5810" width="10.85546875" style="1298" customWidth="1"/>
    <col min="5811" max="5811" width="54.5703125" style="1298" customWidth="1"/>
    <col min="5812" max="5812" width="7.5703125" style="1298" customWidth="1"/>
    <col min="5813" max="5813" width="14.140625" style="1298" customWidth="1"/>
    <col min="5814" max="5814" width="1" style="1298" customWidth="1"/>
    <col min="5815" max="6061" width="9.140625" style="1298"/>
    <col min="6062" max="6062" width="2.140625" style="1298" customWidth="1"/>
    <col min="6063" max="6063" width="8.7109375" style="1298" customWidth="1"/>
    <col min="6064" max="6064" width="9.85546875" style="1298" customWidth="1"/>
    <col min="6065" max="6065" width="1" style="1298" customWidth="1"/>
    <col min="6066" max="6066" width="10.85546875" style="1298" customWidth="1"/>
    <col min="6067" max="6067" width="54.5703125" style="1298" customWidth="1"/>
    <col min="6068" max="6068" width="7.5703125" style="1298" customWidth="1"/>
    <col min="6069" max="6069" width="14.140625" style="1298" customWidth="1"/>
    <col min="6070" max="6070" width="1" style="1298" customWidth="1"/>
    <col min="6071" max="6317" width="9.140625" style="1298"/>
    <col min="6318" max="6318" width="2.140625" style="1298" customWidth="1"/>
    <col min="6319" max="6319" width="8.7109375" style="1298" customWidth="1"/>
    <col min="6320" max="6320" width="9.85546875" style="1298" customWidth="1"/>
    <col min="6321" max="6321" width="1" style="1298" customWidth="1"/>
    <col min="6322" max="6322" width="10.85546875" style="1298" customWidth="1"/>
    <col min="6323" max="6323" width="54.5703125" style="1298" customWidth="1"/>
    <col min="6324" max="6324" width="7.5703125" style="1298" customWidth="1"/>
    <col min="6325" max="6325" width="14.140625" style="1298" customWidth="1"/>
    <col min="6326" max="6326" width="1" style="1298" customWidth="1"/>
    <col min="6327" max="6573" width="9.140625" style="1298"/>
    <col min="6574" max="6574" width="2.140625" style="1298" customWidth="1"/>
    <col min="6575" max="6575" width="8.7109375" style="1298" customWidth="1"/>
    <col min="6576" max="6576" width="9.85546875" style="1298" customWidth="1"/>
    <col min="6577" max="6577" width="1" style="1298" customWidth="1"/>
    <col min="6578" max="6578" width="10.85546875" style="1298" customWidth="1"/>
    <col min="6579" max="6579" width="54.5703125" style="1298" customWidth="1"/>
    <col min="6580" max="6580" width="7.5703125" style="1298" customWidth="1"/>
    <col min="6581" max="6581" width="14.140625" style="1298" customWidth="1"/>
    <col min="6582" max="6582" width="1" style="1298" customWidth="1"/>
    <col min="6583" max="6829" width="9.140625" style="1298"/>
    <col min="6830" max="6830" width="2.140625" style="1298" customWidth="1"/>
    <col min="6831" max="6831" width="8.7109375" style="1298" customWidth="1"/>
    <col min="6832" max="6832" width="9.85546875" style="1298" customWidth="1"/>
    <col min="6833" max="6833" width="1" style="1298" customWidth="1"/>
    <col min="6834" max="6834" width="10.85546875" style="1298" customWidth="1"/>
    <col min="6835" max="6835" width="54.5703125" style="1298" customWidth="1"/>
    <col min="6836" max="6836" width="7.5703125" style="1298" customWidth="1"/>
    <col min="6837" max="6837" width="14.140625" style="1298" customWidth="1"/>
    <col min="6838" max="6838" width="1" style="1298" customWidth="1"/>
    <col min="6839" max="7085" width="9.140625" style="1298"/>
    <col min="7086" max="7086" width="2.140625" style="1298" customWidth="1"/>
    <col min="7087" max="7087" width="8.7109375" style="1298" customWidth="1"/>
    <col min="7088" max="7088" width="9.85546875" style="1298" customWidth="1"/>
    <col min="7089" max="7089" width="1" style="1298" customWidth="1"/>
    <col min="7090" max="7090" width="10.85546875" style="1298" customWidth="1"/>
    <col min="7091" max="7091" width="54.5703125" style="1298" customWidth="1"/>
    <col min="7092" max="7092" width="7.5703125" style="1298" customWidth="1"/>
    <col min="7093" max="7093" width="14.140625" style="1298" customWidth="1"/>
    <col min="7094" max="7094" width="1" style="1298" customWidth="1"/>
    <col min="7095" max="7341" width="9.140625" style="1298"/>
    <col min="7342" max="7342" width="2.140625" style="1298" customWidth="1"/>
    <col min="7343" max="7343" width="8.7109375" style="1298" customWidth="1"/>
    <col min="7344" max="7344" width="9.85546875" style="1298" customWidth="1"/>
    <col min="7345" max="7345" width="1" style="1298" customWidth="1"/>
    <col min="7346" max="7346" width="10.85546875" style="1298" customWidth="1"/>
    <col min="7347" max="7347" width="54.5703125" style="1298" customWidth="1"/>
    <col min="7348" max="7348" width="7.5703125" style="1298" customWidth="1"/>
    <col min="7349" max="7349" width="14.140625" style="1298" customWidth="1"/>
    <col min="7350" max="7350" width="1" style="1298" customWidth="1"/>
    <col min="7351" max="7597" width="9.140625" style="1298"/>
    <col min="7598" max="7598" width="2.140625" style="1298" customWidth="1"/>
    <col min="7599" max="7599" width="8.7109375" style="1298" customWidth="1"/>
    <col min="7600" max="7600" width="9.85546875" style="1298" customWidth="1"/>
    <col min="7601" max="7601" width="1" style="1298" customWidth="1"/>
    <col min="7602" max="7602" width="10.85546875" style="1298" customWidth="1"/>
    <col min="7603" max="7603" width="54.5703125" style="1298" customWidth="1"/>
    <col min="7604" max="7604" width="7.5703125" style="1298" customWidth="1"/>
    <col min="7605" max="7605" width="14.140625" style="1298" customWidth="1"/>
    <col min="7606" max="7606" width="1" style="1298" customWidth="1"/>
    <col min="7607" max="7853" width="9.140625" style="1298"/>
    <col min="7854" max="7854" width="2.140625" style="1298" customWidth="1"/>
    <col min="7855" max="7855" width="8.7109375" style="1298" customWidth="1"/>
    <col min="7856" max="7856" width="9.85546875" style="1298" customWidth="1"/>
    <col min="7857" max="7857" width="1" style="1298" customWidth="1"/>
    <col min="7858" max="7858" width="10.85546875" style="1298" customWidth="1"/>
    <col min="7859" max="7859" width="54.5703125" style="1298" customWidth="1"/>
    <col min="7860" max="7860" width="7.5703125" style="1298" customWidth="1"/>
    <col min="7861" max="7861" width="14.140625" style="1298" customWidth="1"/>
    <col min="7862" max="7862" width="1" style="1298" customWidth="1"/>
    <col min="7863" max="8109" width="9.140625" style="1298"/>
    <col min="8110" max="8110" width="2.140625" style="1298" customWidth="1"/>
    <col min="8111" max="8111" width="8.7109375" style="1298" customWidth="1"/>
    <col min="8112" max="8112" width="9.85546875" style="1298" customWidth="1"/>
    <col min="8113" max="8113" width="1" style="1298" customWidth="1"/>
    <col min="8114" max="8114" width="10.85546875" style="1298" customWidth="1"/>
    <col min="8115" max="8115" width="54.5703125" style="1298" customWidth="1"/>
    <col min="8116" max="8116" width="7.5703125" style="1298" customWidth="1"/>
    <col min="8117" max="8117" width="14.140625" style="1298" customWidth="1"/>
    <col min="8118" max="8118" width="1" style="1298" customWidth="1"/>
    <col min="8119" max="8365" width="9.140625" style="1298"/>
    <col min="8366" max="8366" width="2.140625" style="1298" customWidth="1"/>
    <col min="8367" max="8367" width="8.7109375" style="1298" customWidth="1"/>
    <col min="8368" max="8368" width="9.85546875" style="1298" customWidth="1"/>
    <col min="8369" max="8369" width="1" style="1298" customWidth="1"/>
    <col min="8370" max="8370" width="10.85546875" style="1298" customWidth="1"/>
    <col min="8371" max="8371" width="54.5703125" style="1298" customWidth="1"/>
    <col min="8372" max="8372" width="7.5703125" style="1298" customWidth="1"/>
    <col min="8373" max="8373" width="14.140625" style="1298" customWidth="1"/>
    <col min="8374" max="8374" width="1" style="1298" customWidth="1"/>
    <col min="8375" max="8621" width="9.140625" style="1298"/>
    <col min="8622" max="8622" width="2.140625" style="1298" customWidth="1"/>
    <col min="8623" max="8623" width="8.7109375" style="1298" customWidth="1"/>
    <col min="8624" max="8624" width="9.85546875" style="1298" customWidth="1"/>
    <col min="8625" max="8625" width="1" style="1298" customWidth="1"/>
    <col min="8626" max="8626" width="10.85546875" style="1298" customWidth="1"/>
    <col min="8627" max="8627" width="54.5703125" style="1298" customWidth="1"/>
    <col min="8628" max="8628" width="7.5703125" style="1298" customWidth="1"/>
    <col min="8629" max="8629" width="14.140625" style="1298" customWidth="1"/>
    <col min="8630" max="8630" width="1" style="1298" customWidth="1"/>
    <col min="8631" max="8877" width="9.140625" style="1298"/>
    <col min="8878" max="8878" width="2.140625" style="1298" customWidth="1"/>
    <col min="8879" max="8879" width="8.7109375" style="1298" customWidth="1"/>
    <col min="8880" max="8880" width="9.85546875" style="1298" customWidth="1"/>
    <col min="8881" max="8881" width="1" style="1298" customWidth="1"/>
    <col min="8882" max="8882" width="10.85546875" style="1298" customWidth="1"/>
    <col min="8883" max="8883" width="54.5703125" style="1298" customWidth="1"/>
    <col min="8884" max="8884" width="7.5703125" style="1298" customWidth="1"/>
    <col min="8885" max="8885" width="14.140625" style="1298" customWidth="1"/>
    <col min="8886" max="8886" width="1" style="1298" customWidth="1"/>
    <col min="8887" max="9133" width="9.140625" style="1298"/>
    <col min="9134" max="9134" width="2.140625" style="1298" customWidth="1"/>
    <col min="9135" max="9135" width="8.7109375" style="1298" customWidth="1"/>
    <col min="9136" max="9136" width="9.85546875" style="1298" customWidth="1"/>
    <col min="9137" max="9137" width="1" style="1298" customWidth="1"/>
    <col min="9138" max="9138" width="10.85546875" style="1298" customWidth="1"/>
    <col min="9139" max="9139" width="54.5703125" style="1298" customWidth="1"/>
    <col min="9140" max="9140" width="7.5703125" style="1298" customWidth="1"/>
    <col min="9141" max="9141" width="14.140625" style="1298" customWidth="1"/>
    <col min="9142" max="9142" width="1" style="1298" customWidth="1"/>
    <col min="9143" max="9389" width="9.140625" style="1298"/>
    <col min="9390" max="9390" width="2.140625" style="1298" customWidth="1"/>
    <col min="9391" max="9391" width="8.7109375" style="1298" customWidth="1"/>
    <col min="9392" max="9392" width="9.85546875" style="1298" customWidth="1"/>
    <col min="9393" max="9393" width="1" style="1298" customWidth="1"/>
    <col min="9394" max="9394" width="10.85546875" style="1298" customWidth="1"/>
    <col min="9395" max="9395" width="54.5703125" style="1298" customWidth="1"/>
    <col min="9396" max="9396" width="7.5703125" style="1298" customWidth="1"/>
    <col min="9397" max="9397" width="14.140625" style="1298" customWidth="1"/>
    <col min="9398" max="9398" width="1" style="1298" customWidth="1"/>
    <col min="9399" max="9645" width="9.140625" style="1298"/>
    <col min="9646" max="9646" width="2.140625" style="1298" customWidth="1"/>
    <col min="9647" max="9647" width="8.7109375" style="1298" customWidth="1"/>
    <col min="9648" max="9648" width="9.85546875" style="1298" customWidth="1"/>
    <col min="9649" max="9649" width="1" style="1298" customWidth="1"/>
    <col min="9650" max="9650" width="10.85546875" style="1298" customWidth="1"/>
    <col min="9651" max="9651" width="54.5703125" style="1298" customWidth="1"/>
    <col min="9652" max="9652" width="7.5703125" style="1298" customWidth="1"/>
    <col min="9653" max="9653" width="14.140625" style="1298" customWidth="1"/>
    <col min="9654" max="9654" width="1" style="1298" customWidth="1"/>
    <col min="9655" max="9901" width="9.140625" style="1298"/>
    <col min="9902" max="9902" width="2.140625" style="1298" customWidth="1"/>
    <col min="9903" max="9903" width="8.7109375" style="1298" customWidth="1"/>
    <col min="9904" max="9904" width="9.85546875" style="1298" customWidth="1"/>
    <col min="9905" max="9905" width="1" style="1298" customWidth="1"/>
    <col min="9906" max="9906" width="10.85546875" style="1298" customWidth="1"/>
    <col min="9907" max="9907" width="54.5703125" style="1298" customWidth="1"/>
    <col min="9908" max="9908" width="7.5703125" style="1298" customWidth="1"/>
    <col min="9909" max="9909" width="14.140625" style="1298" customWidth="1"/>
    <col min="9910" max="9910" width="1" style="1298" customWidth="1"/>
    <col min="9911" max="10157" width="9.140625" style="1298"/>
    <col min="10158" max="10158" width="2.140625" style="1298" customWidth="1"/>
    <col min="10159" max="10159" width="8.7109375" style="1298" customWidth="1"/>
    <col min="10160" max="10160" width="9.85546875" style="1298" customWidth="1"/>
    <col min="10161" max="10161" width="1" style="1298" customWidth="1"/>
    <col min="10162" max="10162" width="10.85546875" style="1298" customWidth="1"/>
    <col min="10163" max="10163" width="54.5703125" style="1298" customWidth="1"/>
    <col min="10164" max="10164" width="7.5703125" style="1298" customWidth="1"/>
    <col min="10165" max="10165" width="14.140625" style="1298" customWidth="1"/>
    <col min="10166" max="10166" width="1" style="1298" customWidth="1"/>
    <col min="10167" max="10413" width="9.140625" style="1298"/>
    <col min="10414" max="10414" width="2.140625" style="1298" customWidth="1"/>
    <col min="10415" max="10415" width="8.7109375" style="1298" customWidth="1"/>
    <col min="10416" max="10416" width="9.85546875" style="1298" customWidth="1"/>
    <col min="10417" max="10417" width="1" style="1298" customWidth="1"/>
    <col min="10418" max="10418" width="10.85546875" style="1298" customWidth="1"/>
    <col min="10419" max="10419" width="54.5703125" style="1298" customWidth="1"/>
    <col min="10420" max="10420" width="7.5703125" style="1298" customWidth="1"/>
    <col min="10421" max="10421" width="14.140625" style="1298" customWidth="1"/>
    <col min="10422" max="10422" width="1" style="1298" customWidth="1"/>
    <col min="10423" max="10669" width="9.140625" style="1298"/>
    <col min="10670" max="10670" width="2.140625" style="1298" customWidth="1"/>
    <col min="10671" max="10671" width="8.7109375" style="1298" customWidth="1"/>
    <col min="10672" max="10672" width="9.85546875" style="1298" customWidth="1"/>
    <col min="10673" max="10673" width="1" style="1298" customWidth="1"/>
    <col min="10674" max="10674" width="10.85546875" style="1298" customWidth="1"/>
    <col min="10675" max="10675" width="54.5703125" style="1298" customWidth="1"/>
    <col min="10676" max="10676" width="7.5703125" style="1298" customWidth="1"/>
    <col min="10677" max="10677" width="14.140625" style="1298" customWidth="1"/>
    <col min="10678" max="10678" width="1" style="1298" customWidth="1"/>
    <col min="10679" max="10925" width="9.140625" style="1298"/>
    <col min="10926" max="10926" width="2.140625" style="1298" customWidth="1"/>
    <col min="10927" max="10927" width="8.7109375" style="1298" customWidth="1"/>
    <col min="10928" max="10928" width="9.85546875" style="1298" customWidth="1"/>
    <col min="10929" max="10929" width="1" style="1298" customWidth="1"/>
    <col min="10930" max="10930" width="10.85546875" style="1298" customWidth="1"/>
    <col min="10931" max="10931" width="54.5703125" style="1298" customWidth="1"/>
    <col min="10932" max="10932" width="7.5703125" style="1298" customWidth="1"/>
    <col min="10933" max="10933" width="14.140625" style="1298" customWidth="1"/>
    <col min="10934" max="10934" width="1" style="1298" customWidth="1"/>
    <col min="10935" max="11181" width="9.140625" style="1298"/>
    <col min="11182" max="11182" width="2.140625" style="1298" customWidth="1"/>
    <col min="11183" max="11183" width="8.7109375" style="1298" customWidth="1"/>
    <col min="11184" max="11184" width="9.85546875" style="1298" customWidth="1"/>
    <col min="11185" max="11185" width="1" style="1298" customWidth="1"/>
    <col min="11186" max="11186" width="10.85546875" style="1298" customWidth="1"/>
    <col min="11187" max="11187" width="54.5703125" style="1298" customWidth="1"/>
    <col min="11188" max="11188" width="7.5703125" style="1298" customWidth="1"/>
    <col min="11189" max="11189" width="14.140625" style="1298" customWidth="1"/>
    <col min="11190" max="11190" width="1" style="1298" customWidth="1"/>
    <col min="11191" max="11437" width="9.140625" style="1298"/>
    <col min="11438" max="11438" width="2.140625" style="1298" customWidth="1"/>
    <col min="11439" max="11439" width="8.7109375" style="1298" customWidth="1"/>
    <col min="11440" max="11440" width="9.85546875" style="1298" customWidth="1"/>
    <col min="11441" max="11441" width="1" style="1298" customWidth="1"/>
    <col min="11442" max="11442" width="10.85546875" style="1298" customWidth="1"/>
    <col min="11443" max="11443" width="54.5703125" style="1298" customWidth="1"/>
    <col min="11444" max="11444" width="7.5703125" style="1298" customWidth="1"/>
    <col min="11445" max="11445" width="14.140625" style="1298" customWidth="1"/>
    <col min="11446" max="11446" width="1" style="1298" customWidth="1"/>
    <col min="11447" max="11693" width="9.140625" style="1298"/>
    <col min="11694" max="11694" width="2.140625" style="1298" customWidth="1"/>
    <col min="11695" max="11695" width="8.7109375" style="1298" customWidth="1"/>
    <col min="11696" max="11696" width="9.85546875" style="1298" customWidth="1"/>
    <col min="11697" max="11697" width="1" style="1298" customWidth="1"/>
    <col min="11698" max="11698" width="10.85546875" style="1298" customWidth="1"/>
    <col min="11699" max="11699" width="54.5703125" style="1298" customWidth="1"/>
    <col min="11700" max="11700" width="7.5703125" style="1298" customWidth="1"/>
    <col min="11701" max="11701" width="14.140625" style="1298" customWidth="1"/>
    <col min="11702" max="11702" width="1" style="1298" customWidth="1"/>
    <col min="11703" max="11949" width="9.140625" style="1298"/>
    <col min="11950" max="11950" width="2.140625" style="1298" customWidth="1"/>
    <col min="11951" max="11951" width="8.7109375" style="1298" customWidth="1"/>
    <col min="11952" max="11952" width="9.85546875" style="1298" customWidth="1"/>
    <col min="11953" max="11953" width="1" style="1298" customWidth="1"/>
    <col min="11954" max="11954" width="10.85546875" style="1298" customWidth="1"/>
    <col min="11955" max="11955" width="54.5703125" style="1298" customWidth="1"/>
    <col min="11956" max="11956" width="7.5703125" style="1298" customWidth="1"/>
    <col min="11957" max="11957" width="14.140625" style="1298" customWidth="1"/>
    <col min="11958" max="11958" width="1" style="1298" customWidth="1"/>
    <col min="11959" max="12205" width="9.140625" style="1298"/>
    <col min="12206" max="12206" width="2.140625" style="1298" customWidth="1"/>
    <col min="12207" max="12207" width="8.7109375" style="1298" customWidth="1"/>
    <col min="12208" max="12208" width="9.85546875" style="1298" customWidth="1"/>
    <col min="12209" max="12209" width="1" style="1298" customWidth="1"/>
    <col min="12210" max="12210" width="10.85546875" style="1298" customWidth="1"/>
    <col min="12211" max="12211" width="54.5703125" style="1298" customWidth="1"/>
    <col min="12212" max="12212" width="7.5703125" style="1298" customWidth="1"/>
    <col min="12213" max="12213" width="14.140625" style="1298" customWidth="1"/>
    <col min="12214" max="12214" width="1" style="1298" customWidth="1"/>
    <col min="12215" max="12461" width="9.140625" style="1298"/>
    <col min="12462" max="12462" width="2.140625" style="1298" customWidth="1"/>
    <col min="12463" max="12463" width="8.7109375" style="1298" customWidth="1"/>
    <col min="12464" max="12464" width="9.85546875" style="1298" customWidth="1"/>
    <col min="12465" max="12465" width="1" style="1298" customWidth="1"/>
    <col min="12466" max="12466" width="10.85546875" style="1298" customWidth="1"/>
    <col min="12467" max="12467" width="54.5703125" style="1298" customWidth="1"/>
    <col min="12468" max="12468" width="7.5703125" style="1298" customWidth="1"/>
    <col min="12469" max="12469" width="14.140625" style="1298" customWidth="1"/>
    <col min="12470" max="12470" width="1" style="1298" customWidth="1"/>
    <col min="12471" max="12717" width="9.140625" style="1298"/>
    <col min="12718" max="12718" width="2.140625" style="1298" customWidth="1"/>
    <col min="12719" max="12719" width="8.7109375" style="1298" customWidth="1"/>
    <col min="12720" max="12720" width="9.85546875" style="1298" customWidth="1"/>
    <col min="12721" max="12721" width="1" style="1298" customWidth="1"/>
    <col min="12722" max="12722" width="10.85546875" style="1298" customWidth="1"/>
    <col min="12723" max="12723" width="54.5703125" style="1298" customWidth="1"/>
    <col min="12724" max="12724" width="7.5703125" style="1298" customWidth="1"/>
    <col min="12725" max="12725" width="14.140625" style="1298" customWidth="1"/>
    <col min="12726" max="12726" width="1" style="1298" customWidth="1"/>
    <col min="12727" max="12973" width="9.140625" style="1298"/>
    <col min="12974" max="12974" width="2.140625" style="1298" customWidth="1"/>
    <col min="12975" max="12975" width="8.7109375" style="1298" customWidth="1"/>
    <col min="12976" max="12976" width="9.85546875" style="1298" customWidth="1"/>
    <col min="12977" max="12977" width="1" style="1298" customWidth="1"/>
    <col min="12978" max="12978" width="10.85546875" style="1298" customWidth="1"/>
    <col min="12979" max="12979" width="54.5703125" style="1298" customWidth="1"/>
    <col min="12980" max="12980" width="7.5703125" style="1298" customWidth="1"/>
    <col min="12981" max="12981" width="14.140625" style="1298" customWidth="1"/>
    <col min="12982" max="12982" width="1" style="1298" customWidth="1"/>
    <col min="12983" max="13229" width="9.140625" style="1298"/>
    <col min="13230" max="13230" width="2.140625" style="1298" customWidth="1"/>
    <col min="13231" max="13231" width="8.7109375" style="1298" customWidth="1"/>
    <col min="13232" max="13232" width="9.85546875" style="1298" customWidth="1"/>
    <col min="13233" max="13233" width="1" style="1298" customWidth="1"/>
    <col min="13234" max="13234" width="10.85546875" style="1298" customWidth="1"/>
    <col min="13235" max="13235" width="54.5703125" style="1298" customWidth="1"/>
    <col min="13236" max="13236" width="7.5703125" style="1298" customWidth="1"/>
    <col min="13237" max="13237" width="14.140625" style="1298" customWidth="1"/>
    <col min="13238" max="13238" width="1" style="1298" customWidth="1"/>
    <col min="13239" max="13485" width="9.140625" style="1298"/>
    <col min="13486" max="13486" width="2.140625" style="1298" customWidth="1"/>
    <col min="13487" max="13487" width="8.7109375" style="1298" customWidth="1"/>
    <col min="13488" max="13488" width="9.85546875" style="1298" customWidth="1"/>
    <col min="13489" max="13489" width="1" style="1298" customWidth="1"/>
    <col min="13490" max="13490" width="10.85546875" style="1298" customWidth="1"/>
    <col min="13491" max="13491" width="54.5703125" style="1298" customWidth="1"/>
    <col min="13492" max="13492" width="7.5703125" style="1298" customWidth="1"/>
    <col min="13493" max="13493" width="14.140625" style="1298" customWidth="1"/>
    <col min="13494" max="13494" width="1" style="1298" customWidth="1"/>
    <col min="13495" max="13741" width="9.140625" style="1298"/>
    <col min="13742" max="13742" width="2.140625" style="1298" customWidth="1"/>
    <col min="13743" max="13743" width="8.7109375" style="1298" customWidth="1"/>
    <col min="13744" max="13744" width="9.85546875" style="1298" customWidth="1"/>
    <col min="13745" max="13745" width="1" style="1298" customWidth="1"/>
    <col min="13746" max="13746" width="10.85546875" style="1298" customWidth="1"/>
    <col min="13747" max="13747" width="54.5703125" style="1298" customWidth="1"/>
    <col min="13748" max="13748" width="7.5703125" style="1298" customWidth="1"/>
    <col min="13749" max="13749" width="14.140625" style="1298" customWidth="1"/>
    <col min="13750" max="13750" width="1" style="1298" customWidth="1"/>
    <col min="13751" max="13997" width="9.140625" style="1298"/>
    <col min="13998" max="13998" width="2.140625" style="1298" customWidth="1"/>
    <col min="13999" max="13999" width="8.7109375" style="1298" customWidth="1"/>
    <col min="14000" max="14000" width="9.85546875" style="1298" customWidth="1"/>
    <col min="14001" max="14001" width="1" style="1298" customWidth="1"/>
    <col min="14002" max="14002" width="10.85546875" style="1298" customWidth="1"/>
    <col min="14003" max="14003" width="54.5703125" style="1298" customWidth="1"/>
    <col min="14004" max="14004" width="7.5703125" style="1298" customWidth="1"/>
    <col min="14005" max="14005" width="14.140625" style="1298" customWidth="1"/>
    <col min="14006" max="14006" width="1" style="1298" customWidth="1"/>
    <col min="14007" max="14253" width="9.140625" style="1298"/>
    <col min="14254" max="14254" width="2.140625" style="1298" customWidth="1"/>
    <col min="14255" max="14255" width="8.7109375" style="1298" customWidth="1"/>
    <col min="14256" max="14256" width="9.85546875" style="1298" customWidth="1"/>
    <col min="14257" max="14257" width="1" style="1298" customWidth="1"/>
    <col min="14258" max="14258" width="10.85546875" style="1298" customWidth="1"/>
    <col min="14259" max="14259" width="54.5703125" style="1298" customWidth="1"/>
    <col min="14260" max="14260" width="7.5703125" style="1298" customWidth="1"/>
    <col min="14261" max="14261" width="14.140625" style="1298" customWidth="1"/>
    <col min="14262" max="14262" width="1" style="1298" customWidth="1"/>
    <col min="14263" max="14509" width="9.140625" style="1298"/>
    <col min="14510" max="14510" width="2.140625" style="1298" customWidth="1"/>
    <col min="14511" max="14511" width="8.7109375" style="1298" customWidth="1"/>
    <col min="14512" max="14512" width="9.85546875" style="1298" customWidth="1"/>
    <col min="14513" max="14513" width="1" style="1298" customWidth="1"/>
    <col min="14514" max="14514" width="10.85546875" style="1298" customWidth="1"/>
    <col min="14515" max="14515" width="54.5703125" style="1298" customWidth="1"/>
    <col min="14516" max="14516" width="7.5703125" style="1298" customWidth="1"/>
    <col min="14517" max="14517" width="14.140625" style="1298" customWidth="1"/>
    <col min="14518" max="14518" width="1" style="1298" customWidth="1"/>
    <col min="14519" max="14765" width="9.140625" style="1298"/>
    <col min="14766" max="14766" width="2.140625" style="1298" customWidth="1"/>
    <col min="14767" max="14767" width="8.7109375" style="1298" customWidth="1"/>
    <col min="14768" max="14768" width="9.85546875" style="1298" customWidth="1"/>
    <col min="14769" max="14769" width="1" style="1298" customWidth="1"/>
    <col min="14770" max="14770" width="10.85546875" style="1298" customWidth="1"/>
    <col min="14771" max="14771" width="54.5703125" style="1298" customWidth="1"/>
    <col min="14772" max="14772" width="7.5703125" style="1298" customWidth="1"/>
    <col min="14773" max="14773" width="14.140625" style="1298" customWidth="1"/>
    <col min="14774" max="14774" width="1" style="1298" customWidth="1"/>
    <col min="14775" max="15021" width="9.140625" style="1298"/>
    <col min="15022" max="15022" width="2.140625" style="1298" customWidth="1"/>
    <col min="15023" max="15023" width="8.7109375" style="1298" customWidth="1"/>
    <col min="15024" max="15024" width="9.85546875" style="1298" customWidth="1"/>
    <col min="15025" max="15025" width="1" style="1298" customWidth="1"/>
    <col min="15026" max="15026" width="10.85546875" style="1298" customWidth="1"/>
    <col min="15027" max="15027" width="54.5703125" style="1298" customWidth="1"/>
    <col min="15028" max="15028" width="7.5703125" style="1298" customWidth="1"/>
    <col min="15029" max="15029" width="14.140625" style="1298" customWidth="1"/>
    <col min="15030" max="15030" width="1" style="1298" customWidth="1"/>
    <col min="15031" max="15277" width="9.140625" style="1298"/>
    <col min="15278" max="15278" width="2.140625" style="1298" customWidth="1"/>
    <col min="15279" max="15279" width="8.7109375" style="1298" customWidth="1"/>
    <col min="15280" max="15280" width="9.85546875" style="1298" customWidth="1"/>
    <col min="15281" max="15281" width="1" style="1298" customWidth="1"/>
    <col min="15282" max="15282" width="10.85546875" style="1298" customWidth="1"/>
    <col min="15283" max="15283" width="54.5703125" style="1298" customWidth="1"/>
    <col min="15284" max="15284" width="7.5703125" style="1298" customWidth="1"/>
    <col min="15285" max="15285" width="14.140625" style="1298" customWidth="1"/>
    <col min="15286" max="15286" width="1" style="1298" customWidth="1"/>
    <col min="15287" max="15533" width="9.140625" style="1298"/>
    <col min="15534" max="15534" width="2.140625" style="1298" customWidth="1"/>
    <col min="15535" max="15535" width="8.7109375" style="1298" customWidth="1"/>
    <col min="15536" max="15536" width="9.85546875" style="1298" customWidth="1"/>
    <col min="15537" max="15537" width="1" style="1298" customWidth="1"/>
    <col min="15538" max="15538" width="10.85546875" style="1298" customWidth="1"/>
    <col min="15539" max="15539" width="54.5703125" style="1298" customWidth="1"/>
    <col min="15540" max="15540" width="7.5703125" style="1298" customWidth="1"/>
    <col min="15541" max="15541" width="14.140625" style="1298" customWidth="1"/>
    <col min="15542" max="15542" width="1" style="1298" customWidth="1"/>
    <col min="15543" max="15789" width="9.140625" style="1298"/>
    <col min="15790" max="15790" width="2.140625" style="1298" customWidth="1"/>
    <col min="15791" max="15791" width="8.7109375" style="1298" customWidth="1"/>
    <col min="15792" max="15792" width="9.85546875" style="1298" customWidth="1"/>
    <col min="15793" max="15793" width="1" style="1298" customWidth="1"/>
    <col min="15794" max="15794" width="10.85546875" style="1298" customWidth="1"/>
    <col min="15795" max="15795" width="54.5703125" style="1298" customWidth="1"/>
    <col min="15796" max="15796" width="7.5703125" style="1298" customWidth="1"/>
    <col min="15797" max="15797" width="14.140625" style="1298" customWidth="1"/>
    <col min="15798" max="15798" width="1" style="1298" customWidth="1"/>
    <col min="15799" max="16384" width="9.140625" style="1298"/>
  </cols>
  <sheetData>
    <row r="1" spans="1:12" s="1340" customFormat="1" ht="18" customHeight="1" x14ac:dyDescent="0.2">
      <c r="H1" s="1310" t="s">
        <v>1541</v>
      </c>
    </row>
    <row r="2" spans="1:12" s="1340" customFormat="1" ht="18" customHeight="1" x14ac:dyDescent="0.2"/>
    <row r="3" spans="1:12" s="1340" customFormat="1" ht="15" customHeight="1" x14ac:dyDescent="0.25">
      <c r="A3" s="1968" t="s">
        <v>1448</v>
      </c>
      <c r="B3" s="1968"/>
      <c r="C3" s="1968"/>
      <c r="D3" s="1968"/>
      <c r="E3" s="1968"/>
      <c r="F3" s="1968"/>
      <c r="G3" s="1968"/>
      <c r="H3" s="1968"/>
      <c r="I3" s="1968"/>
      <c r="J3" s="1968"/>
    </row>
    <row r="4" spans="1:12" s="1340" customFormat="1" ht="14.25" customHeight="1" x14ac:dyDescent="0.25">
      <c r="A4" s="1968" t="s">
        <v>1446</v>
      </c>
      <c r="B4" s="1968"/>
      <c r="C4" s="1968"/>
      <c r="D4" s="1968"/>
      <c r="E4" s="1968"/>
      <c r="F4" s="1968"/>
      <c r="G4" s="1968"/>
      <c r="H4" s="1968"/>
      <c r="I4" s="1968"/>
      <c r="J4" s="1968"/>
    </row>
    <row r="5" spans="1:12" s="1340" customFormat="1" ht="14.25" customHeight="1" x14ac:dyDescent="0.2">
      <c r="A5" s="1311"/>
      <c r="B5" s="1311"/>
      <c r="C5" s="1311"/>
      <c r="D5" s="1311"/>
      <c r="E5" s="1311"/>
      <c r="F5" s="1311"/>
      <c r="G5" s="1311"/>
      <c r="H5" s="1343"/>
      <c r="I5" s="1343"/>
      <c r="J5" s="1343"/>
    </row>
    <row r="6" spans="1:12" ht="17.100000000000001" customHeight="1" x14ac:dyDescent="0.2">
      <c r="A6" s="1973" t="s">
        <v>0</v>
      </c>
      <c r="B6" s="1973" t="s">
        <v>1</v>
      </c>
      <c r="C6" s="1973" t="s">
        <v>131</v>
      </c>
      <c r="D6" s="1971" t="s">
        <v>291</v>
      </c>
      <c r="E6" s="1969" t="s">
        <v>1539</v>
      </c>
      <c r="F6" s="1969" t="s">
        <v>1440</v>
      </c>
      <c r="G6" s="1970" t="s">
        <v>1538</v>
      </c>
      <c r="H6" s="1975" t="s">
        <v>1540</v>
      </c>
      <c r="I6" s="1977" t="s">
        <v>91</v>
      </c>
      <c r="J6" s="1964" t="s">
        <v>111</v>
      </c>
      <c r="K6" s="1965"/>
      <c r="L6" s="1966"/>
    </row>
    <row r="7" spans="1:12" s="1340" customFormat="1" ht="35.25" customHeight="1" x14ac:dyDescent="0.2">
      <c r="A7" s="1974"/>
      <c r="B7" s="1974"/>
      <c r="C7" s="1974"/>
      <c r="D7" s="1972"/>
      <c r="E7" s="1969"/>
      <c r="F7" s="1969"/>
      <c r="G7" s="1970"/>
      <c r="H7" s="1976"/>
      <c r="I7" s="1978"/>
      <c r="J7" s="1655" t="s">
        <v>1449</v>
      </c>
      <c r="K7" s="1351" t="s">
        <v>1450</v>
      </c>
      <c r="L7" s="1350" t="s">
        <v>1451</v>
      </c>
    </row>
    <row r="8" spans="1:12" ht="23.25" customHeight="1" x14ac:dyDescent="0.2">
      <c r="A8" s="1334" t="s">
        <v>8</v>
      </c>
      <c r="B8" s="1334"/>
      <c r="C8" s="1334"/>
      <c r="D8" s="1667" t="s">
        <v>9</v>
      </c>
      <c r="E8" s="1672">
        <f>E9+E12</f>
        <v>50000</v>
      </c>
      <c r="F8" s="1668">
        <f t="shared" ref="F8:L8" si="0">F9+F12</f>
        <v>907241</v>
      </c>
      <c r="G8" s="1669">
        <f t="shared" si="0"/>
        <v>957241</v>
      </c>
      <c r="H8" s="1670">
        <f t="shared" si="0"/>
        <v>947113.34</v>
      </c>
      <c r="I8" s="1671">
        <f>H8/G8</f>
        <v>0.98941994753672269</v>
      </c>
      <c r="J8" s="1668">
        <f t="shared" si="0"/>
        <v>13363.43</v>
      </c>
      <c r="K8" s="1668">
        <f t="shared" si="0"/>
        <v>13363.43</v>
      </c>
      <c r="L8" s="1668">
        <f t="shared" si="0"/>
        <v>109.45</v>
      </c>
    </row>
    <row r="9" spans="1:12" ht="15" x14ac:dyDescent="0.2">
      <c r="A9" s="1299"/>
      <c r="B9" s="1341" t="s">
        <v>630</v>
      </c>
      <c r="C9" s="1300"/>
      <c r="D9" s="1301" t="s">
        <v>631</v>
      </c>
      <c r="E9" s="1346">
        <f>E10+E11</f>
        <v>0</v>
      </c>
      <c r="F9" s="1346">
        <f t="shared" ref="F9:L9" si="1">F10+F11</f>
        <v>20000</v>
      </c>
      <c r="G9" s="1347">
        <f t="shared" si="1"/>
        <v>20000</v>
      </c>
      <c r="H9" s="1663">
        <f t="shared" si="1"/>
        <v>20000</v>
      </c>
      <c r="I9" s="1662">
        <f>H9/G9</f>
        <v>1</v>
      </c>
      <c r="J9" s="1349">
        <f t="shared" si="1"/>
        <v>0</v>
      </c>
      <c r="K9" s="1349">
        <f t="shared" si="1"/>
        <v>0</v>
      </c>
      <c r="L9" s="1349">
        <f t="shared" si="1"/>
        <v>0</v>
      </c>
    </row>
    <row r="10" spans="1:12" ht="56.25" x14ac:dyDescent="0.2">
      <c r="A10" s="1302"/>
      <c r="B10" s="1342"/>
      <c r="C10" s="1303" t="s">
        <v>633</v>
      </c>
      <c r="D10" s="1304" t="s">
        <v>634</v>
      </c>
      <c r="E10" s="1345">
        <v>0</v>
      </c>
      <c r="F10" s="1345">
        <f>G10-E10</f>
        <v>20000</v>
      </c>
      <c r="G10" s="1348" t="s">
        <v>632</v>
      </c>
      <c r="H10" s="1769">
        <v>20000</v>
      </c>
      <c r="I10" s="1772">
        <f>H10/G10</f>
        <v>1</v>
      </c>
      <c r="J10" s="1308">
        <v>0</v>
      </c>
      <c r="K10" s="1308">
        <v>0</v>
      </c>
      <c r="L10" s="1308">
        <v>0</v>
      </c>
    </row>
    <row r="11" spans="1:12" ht="67.5" x14ac:dyDescent="0.2">
      <c r="A11" s="1302"/>
      <c r="B11" s="1342"/>
      <c r="C11" s="1303" t="s">
        <v>139</v>
      </c>
      <c r="D11" s="1304" t="s">
        <v>635</v>
      </c>
      <c r="E11" s="1345">
        <v>0</v>
      </c>
      <c r="F11" s="1345">
        <f>G11-E11</f>
        <v>0</v>
      </c>
      <c r="G11" s="1348" t="s">
        <v>636</v>
      </c>
      <c r="H11" s="1769">
        <v>0</v>
      </c>
      <c r="I11" s="1772">
        <v>0</v>
      </c>
      <c r="J11" s="1308">
        <v>0</v>
      </c>
      <c r="K11" s="1308">
        <v>0</v>
      </c>
      <c r="L11" s="1308">
        <v>0</v>
      </c>
    </row>
    <row r="12" spans="1:12" ht="15" x14ac:dyDescent="0.2">
      <c r="A12" s="1299"/>
      <c r="B12" s="1341" t="s">
        <v>10</v>
      </c>
      <c r="C12" s="1300"/>
      <c r="D12" s="1301" t="s">
        <v>11</v>
      </c>
      <c r="E12" s="1344">
        <f>E13+E14+E15</f>
        <v>50000</v>
      </c>
      <c r="F12" s="1344">
        <f t="shared" ref="F12:L12" si="2">F13+F14+F15</f>
        <v>887241</v>
      </c>
      <c r="G12" s="1661">
        <f t="shared" si="2"/>
        <v>937241</v>
      </c>
      <c r="H12" s="1763">
        <f t="shared" si="2"/>
        <v>927113.34</v>
      </c>
      <c r="I12" s="1773">
        <f t="shared" ref="I12:I74" si="3">H12/G12</f>
        <v>0.98919417737807025</v>
      </c>
      <c r="J12" s="1764">
        <f t="shared" si="2"/>
        <v>13363.43</v>
      </c>
      <c r="K12" s="1764">
        <f t="shared" si="2"/>
        <v>13363.43</v>
      </c>
      <c r="L12" s="1764">
        <f t="shared" si="2"/>
        <v>109.45</v>
      </c>
    </row>
    <row r="13" spans="1:12" ht="78.75" x14ac:dyDescent="0.2">
      <c r="A13" s="1302"/>
      <c r="B13" s="1342"/>
      <c r="C13" s="1303" t="s">
        <v>637</v>
      </c>
      <c r="D13" s="1304" t="s">
        <v>638</v>
      </c>
      <c r="E13" s="1345">
        <v>50000</v>
      </c>
      <c r="F13" s="1345">
        <f>G13-E13</f>
        <v>0</v>
      </c>
      <c r="G13" s="1348" t="s">
        <v>639</v>
      </c>
      <c r="H13" s="1769">
        <v>39709.370000000003</v>
      </c>
      <c r="I13" s="1772">
        <f t="shared" si="3"/>
        <v>0.7941874000000001</v>
      </c>
      <c r="J13" s="1308">
        <v>10154.43</v>
      </c>
      <c r="K13" s="1308">
        <v>10154.43</v>
      </c>
      <c r="L13" s="1308">
        <v>109.45</v>
      </c>
    </row>
    <row r="14" spans="1:12" s="1340" customFormat="1" x14ac:dyDescent="0.2">
      <c r="A14" s="1342"/>
      <c r="B14" s="1342"/>
      <c r="C14" s="1352" t="s">
        <v>62</v>
      </c>
      <c r="D14" s="1353" t="s">
        <v>1452</v>
      </c>
      <c r="E14" s="1345">
        <v>0</v>
      </c>
      <c r="F14" s="1345">
        <f t="shared" ref="F14:F15" si="4">G14-E14</f>
        <v>0</v>
      </c>
      <c r="G14" s="1348">
        <v>0</v>
      </c>
      <c r="H14" s="1769">
        <v>162.97</v>
      </c>
      <c r="I14" s="1772">
        <v>0</v>
      </c>
      <c r="J14" s="1308">
        <v>3209</v>
      </c>
      <c r="K14" s="1308">
        <v>3209</v>
      </c>
      <c r="L14" s="1308">
        <v>0</v>
      </c>
    </row>
    <row r="15" spans="1:12" ht="67.5" x14ac:dyDescent="0.2">
      <c r="A15" s="1302"/>
      <c r="B15" s="1342"/>
      <c r="C15" s="1303" t="s">
        <v>640</v>
      </c>
      <c r="D15" s="1304" t="s">
        <v>641</v>
      </c>
      <c r="E15" s="1345">
        <v>0</v>
      </c>
      <c r="F15" s="1345">
        <f t="shared" si="4"/>
        <v>887241</v>
      </c>
      <c r="G15" s="1348" t="s">
        <v>642</v>
      </c>
      <c r="H15" s="1769">
        <v>887241</v>
      </c>
      <c r="I15" s="1772">
        <f t="shared" si="3"/>
        <v>1</v>
      </c>
      <c r="J15" s="1308">
        <v>0</v>
      </c>
      <c r="K15" s="1308">
        <v>0</v>
      </c>
      <c r="L15" s="1308">
        <v>0</v>
      </c>
    </row>
    <row r="16" spans="1:12" s="1340" customFormat="1" ht="27.75" customHeight="1" x14ac:dyDescent="0.2">
      <c r="A16" s="1334" t="s">
        <v>1453</v>
      </c>
      <c r="B16" s="1334"/>
      <c r="C16" s="1334"/>
      <c r="D16" s="1667" t="s">
        <v>1454</v>
      </c>
      <c r="E16" s="1668">
        <f>E17</f>
        <v>0</v>
      </c>
      <c r="F16" s="1668">
        <f t="shared" ref="F16:L16" si="5">F17</f>
        <v>0</v>
      </c>
      <c r="G16" s="1669">
        <f t="shared" si="5"/>
        <v>0</v>
      </c>
      <c r="H16" s="1765">
        <f t="shared" si="5"/>
        <v>594</v>
      </c>
      <c r="I16" s="1951">
        <v>0</v>
      </c>
      <c r="J16" s="1766">
        <f t="shared" si="5"/>
        <v>0</v>
      </c>
      <c r="K16" s="1766">
        <f t="shared" si="5"/>
        <v>0</v>
      </c>
      <c r="L16" s="1766">
        <f t="shared" si="5"/>
        <v>0</v>
      </c>
    </row>
    <row r="17" spans="1:12" s="1340" customFormat="1" ht="15" x14ac:dyDescent="0.2">
      <c r="A17" s="1299"/>
      <c r="B17" s="1354" t="s">
        <v>1455</v>
      </c>
      <c r="C17" s="1300"/>
      <c r="D17" s="1355" t="s">
        <v>1456</v>
      </c>
      <c r="E17" s="1346">
        <f>E18</f>
        <v>0</v>
      </c>
      <c r="F17" s="1346">
        <f t="shared" ref="F17:L17" si="6">F18</f>
        <v>0</v>
      </c>
      <c r="G17" s="1347">
        <f t="shared" si="6"/>
        <v>0</v>
      </c>
      <c r="H17" s="1763">
        <f t="shared" si="6"/>
        <v>594</v>
      </c>
      <c r="I17" s="1763">
        <v>0</v>
      </c>
      <c r="J17" s="1764">
        <f t="shared" si="6"/>
        <v>0</v>
      </c>
      <c r="K17" s="1764">
        <f t="shared" si="6"/>
        <v>0</v>
      </c>
      <c r="L17" s="1764">
        <f t="shared" si="6"/>
        <v>0</v>
      </c>
    </row>
    <row r="18" spans="1:12" s="1340" customFormat="1" ht="22.5" x14ac:dyDescent="0.2">
      <c r="A18" s="1342"/>
      <c r="B18" s="1342"/>
      <c r="C18" s="1352" t="s">
        <v>1457</v>
      </c>
      <c r="D18" s="1353" t="s">
        <v>1461</v>
      </c>
      <c r="E18" s="1345">
        <v>0</v>
      </c>
      <c r="F18" s="1345">
        <f>G18-E18</f>
        <v>0</v>
      </c>
      <c r="G18" s="1348">
        <v>0</v>
      </c>
      <c r="H18" s="1769">
        <v>594</v>
      </c>
      <c r="I18" s="1772">
        <v>0</v>
      </c>
      <c r="J18" s="1308">
        <v>0</v>
      </c>
      <c r="K18" s="1308">
        <v>0</v>
      </c>
      <c r="L18" s="1308">
        <v>0</v>
      </c>
    </row>
    <row r="19" spans="1:12" ht="23.25" customHeight="1" x14ac:dyDescent="0.2">
      <c r="A19" s="1334" t="s">
        <v>643</v>
      </c>
      <c r="B19" s="1334"/>
      <c r="C19" s="1334"/>
      <c r="D19" s="1667" t="s">
        <v>644</v>
      </c>
      <c r="E19" s="1668">
        <f>E20</f>
        <v>25000</v>
      </c>
      <c r="F19" s="1668">
        <f t="shared" ref="F19:L19" si="7">F20</f>
        <v>0</v>
      </c>
      <c r="G19" s="1669" t="str">
        <f t="shared" si="7"/>
        <v>25 000,00</v>
      </c>
      <c r="H19" s="1765">
        <f t="shared" si="7"/>
        <v>20150</v>
      </c>
      <c r="I19" s="1951">
        <f t="shared" si="3"/>
        <v>0.80600000000000005</v>
      </c>
      <c r="J19" s="1766">
        <f t="shared" si="7"/>
        <v>0</v>
      </c>
      <c r="K19" s="1766">
        <f t="shared" si="7"/>
        <v>0</v>
      </c>
      <c r="L19" s="1766">
        <f t="shared" si="7"/>
        <v>0</v>
      </c>
    </row>
    <row r="20" spans="1:12" ht="15" x14ac:dyDescent="0.2">
      <c r="A20" s="1299"/>
      <c r="B20" s="1341" t="s">
        <v>646</v>
      </c>
      <c r="C20" s="1300"/>
      <c r="D20" s="1301" t="s">
        <v>11</v>
      </c>
      <c r="E20" s="1344">
        <f>E21</f>
        <v>25000</v>
      </c>
      <c r="F20" s="1344">
        <f t="shared" ref="F20:L20" si="8">F21</f>
        <v>0</v>
      </c>
      <c r="G20" s="1661" t="str">
        <f t="shared" si="8"/>
        <v>25 000,00</v>
      </c>
      <c r="H20" s="1763">
        <f t="shared" si="8"/>
        <v>20150</v>
      </c>
      <c r="I20" s="1773">
        <f t="shared" si="3"/>
        <v>0.80600000000000005</v>
      </c>
      <c r="J20" s="1764">
        <f t="shared" si="8"/>
        <v>0</v>
      </c>
      <c r="K20" s="1764">
        <f t="shared" si="8"/>
        <v>0</v>
      </c>
      <c r="L20" s="1764">
        <f t="shared" si="8"/>
        <v>0</v>
      </c>
    </row>
    <row r="21" spans="1:12" x14ac:dyDescent="0.2">
      <c r="A21" s="1302"/>
      <c r="B21" s="1342"/>
      <c r="C21" s="1303" t="s">
        <v>107</v>
      </c>
      <c r="D21" s="1304" t="s">
        <v>591</v>
      </c>
      <c r="E21" s="1345">
        <v>25000</v>
      </c>
      <c r="F21" s="1345">
        <f>G21-E21</f>
        <v>0</v>
      </c>
      <c r="G21" s="1348" t="s">
        <v>645</v>
      </c>
      <c r="H21" s="1769">
        <v>20150</v>
      </c>
      <c r="I21" s="1772">
        <f t="shared" si="3"/>
        <v>0.80600000000000005</v>
      </c>
      <c r="J21" s="1308">
        <v>0</v>
      </c>
      <c r="K21" s="1308">
        <v>0</v>
      </c>
      <c r="L21" s="1308">
        <v>0</v>
      </c>
    </row>
    <row r="22" spans="1:12" ht="23.25" customHeight="1" x14ac:dyDescent="0.2">
      <c r="A22" s="1334" t="s">
        <v>137</v>
      </c>
      <c r="B22" s="1334"/>
      <c r="C22" s="1334"/>
      <c r="D22" s="1667" t="s">
        <v>340</v>
      </c>
      <c r="E22" s="1668">
        <f>E23+E25</f>
        <v>20000</v>
      </c>
      <c r="F22" s="1668">
        <f t="shared" ref="F22:L22" si="9">F23+F25</f>
        <v>213864</v>
      </c>
      <c r="G22" s="1669">
        <f t="shared" si="9"/>
        <v>233864</v>
      </c>
      <c r="H22" s="1765">
        <f t="shared" si="9"/>
        <v>243266.16999999998</v>
      </c>
      <c r="I22" s="1951">
        <f t="shared" si="3"/>
        <v>1.0402035798583791</v>
      </c>
      <c r="J22" s="1766">
        <f t="shared" si="9"/>
        <v>0</v>
      </c>
      <c r="K22" s="1766">
        <f t="shared" si="9"/>
        <v>0</v>
      </c>
      <c r="L22" s="1766">
        <f t="shared" si="9"/>
        <v>0</v>
      </c>
    </row>
    <row r="23" spans="1:12" ht="15" x14ac:dyDescent="0.2">
      <c r="A23" s="1299"/>
      <c r="B23" s="1341" t="s">
        <v>647</v>
      </c>
      <c r="C23" s="1300"/>
      <c r="D23" s="1301" t="s">
        <v>380</v>
      </c>
      <c r="E23" s="1344">
        <f>E24</f>
        <v>0</v>
      </c>
      <c r="F23" s="1344">
        <f t="shared" ref="F23:L23" si="10">F24</f>
        <v>10000</v>
      </c>
      <c r="G23" s="1661" t="str">
        <f t="shared" si="10"/>
        <v>10 000,00</v>
      </c>
      <c r="H23" s="1763">
        <f t="shared" si="10"/>
        <v>10000</v>
      </c>
      <c r="I23" s="1773">
        <f t="shared" si="3"/>
        <v>1</v>
      </c>
      <c r="J23" s="1764">
        <f t="shared" si="10"/>
        <v>0</v>
      </c>
      <c r="K23" s="1764">
        <f t="shared" si="10"/>
        <v>0</v>
      </c>
      <c r="L23" s="1764">
        <f t="shared" si="10"/>
        <v>0</v>
      </c>
    </row>
    <row r="24" spans="1:12" ht="56.25" x14ac:dyDescent="0.2">
      <c r="A24" s="1302"/>
      <c r="B24" s="1342"/>
      <c r="C24" s="1303" t="s">
        <v>649</v>
      </c>
      <c r="D24" s="1304" t="s">
        <v>381</v>
      </c>
      <c r="E24" s="1345">
        <v>0</v>
      </c>
      <c r="F24" s="1345">
        <f>G24-E24</f>
        <v>10000</v>
      </c>
      <c r="G24" s="1348" t="s">
        <v>648</v>
      </c>
      <c r="H24" s="1769">
        <v>10000</v>
      </c>
      <c r="I24" s="1772">
        <f t="shared" si="3"/>
        <v>1</v>
      </c>
      <c r="J24" s="1308">
        <v>0</v>
      </c>
      <c r="K24" s="1308">
        <v>0</v>
      </c>
      <c r="L24" s="1308">
        <v>0</v>
      </c>
    </row>
    <row r="25" spans="1:12" ht="15" x14ac:dyDescent="0.2">
      <c r="A25" s="1299"/>
      <c r="B25" s="1341" t="s">
        <v>146</v>
      </c>
      <c r="C25" s="1300"/>
      <c r="D25" s="1301" t="s">
        <v>390</v>
      </c>
      <c r="E25" s="1344">
        <f>E26+E27+E28+E29+E30</f>
        <v>20000</v>
      </c>
      <c r="F25" s="1344">
        <f t="shared" ref="F25:J25" si="11">F26+F27+F28+F29+F30</f>
        <v>203864</v>
      </c>
      <c r="G25" s="1661">
        <f t="shared" si="11"/>
        <v>223864</v>
      </c>
      <c r="H25" s="1763">
        <f t="shared" si="11"/>
        <v>233266.16999999998</v>
      </c>
      <c r="I25" s="1773">
        <f t="shared" si="3"/>
        <v>1.0419994728942572</v>
      </c>
      <c r="J25" s="1764">
        <f t="shared" si="11"/>
        <v>0</v>
      </c>
      <c r="K25" s="1764">
        <f>K26+K27+K28+K29+K30</f>
        <v>0</v>
      </c>
      <c r="L25" s="1764">
        <f t="shared" ref="L25" si="12">L26+L27+L28+L29+L30</f>
        <v>0</v>
      </c>
    </row>
    <row r="26" spans="1:12" ht="45" x14ac:dyDescent="0.2">
      <c r="A26" s="1302"/>
      <c r="B26" s="1342"/>
      <c r="C26" s="1303" t="s">
        <v>650</v>
      </c>
      <c r="D26" s="1304" t="s">
        <v>651</v>
      </c>
      <c r="E26" s="1345">
        <v>20000</v>
      </c>
      <c r="F26" s="1345">
        <f>G26-E26</f>
        <v>11000</v>
      </c>
      <c r="G26" s="1348" t="s">
        <v>652</v>
      </c>
      <c r="H26" s="1769">
        <v>38985.269999999997</v>
      </c>
      <c r="I26" s="1772">
        <f t="shared" si="3"/>
        <v>1.2575893548387096</v>
      </c>
      <c r="J26" s="1308">
        <v>0</v>
      </c>
      <c r="K26" s="1308">
        <v>0</v>
      </c>
      <c r="L26" s="1308">
        <v>0</v>
      </c>
    </row>
    <row r="27" spans="1:12" s="1340" customFormat="1" ht="33.75" x14ac:dyDescent="0.2">
      <c r="A27" s="1342"/>
      <c r="B27" s="1342"/>
      <c r="C27" s="1352" t="s">
        <v>678</v>
      </c>
      <c r="D27" s="1353" t="s">
        <v>679</v>
      </c>
      <c r="E27" s="1345">
        <v>0</v>
      </c>
      <c r="F27" s="1345">
        <f t="shared" ref="F27:F30" si="13">G27-E27</f>
        <v>0</v>
      </c>
      <c r="G27" s="1348">
        <v>0</v>
      </c>
      <c r="H27" s="1769">
        <v>1400</v>
      </c>
      <c r="I27" s="1772">
        <v>0</v>
      </c>
      <c r="J27" s="1308">
        <v>0</v>
      </c>
      <c r="K27" s="1308">
        <v>0</v>
      </c>
      <c r="L27" s="1308">
        <v>0</v>
      </c>
    </row>
    <row r="28" spans="1:12" s="1340" customFormat="1" ht="33.75" x14ac:dyDescent="0.2">
      <c r="A28" s="1342"/>
      <c r="B28" s="1342"/>
      <c r="C28" s="1352" t="s">
        <v>114</v>
      </c>
      <c r="D28" s="1353" t="s">
        <v>1458</v>
      </c>
      <c r="E28" s="1345">
        <v>0</v>
      </c>
      <c r="F28" s="1345">
        <f t="shared" si="13"/>
        <v>0</v>
      </c>
      <c r="G28" s="1348">
        <v>0</v>
      </c>
      <c r="H28" s="1769">
        <v>11.6</v>
      </c>
      <c r="I28" s="1772">
        <v>0</v>
      </c>
      <c r="J28" s="1308">
        <v>0</v>
      </c>
      <c r="K28" s="1308">
        <v>0</v>
      </c>
      <c r="L28" s="1308">
        <v>0</v>
      </c>
    </row>
    <row r="29" spans="1:12" s="1340" customFormat="1" ht="22.5" x14ac:dyDescent="0.2">
      <c r="A29" s="1342"/>
      <c r="B29" s="1342"/>
      <c r="C29" s="1352" t="s">
        <v>717</v>
      </c>
      <c r="D29" s="1353" t="s">
        <v>1459</v>
      </c>
      <c r="E29" s="1345">
        <v>0</v>
      </c>
      <c r="F29" s="1345">
        <f t="shared" si="13"/>
        <v>0</v>
      </c>
      <c r="G29" s="1348">
        <v>0</v>
      </c>
      <c r="H29" s="1769">
        <v>5.3</v>
      </c>
      <c r="I29" s="1772">
        <v>0</v>
      </c>
      <c r="J29" s="1308">
        <v>0</v>
      </c>
      <c r="K29" s="1308">
        <v>0</v>
      </c>
      <c r="L29" s="1308">
        <v>0</v>
      </c>
    </row>
    <row r="30" spans="1:12" ht="56.25" x14ac:dyDescent="0.2">
      <c r="A30" s="1302"/>
      <c r="B30" s="1342"/>
      <c r="C30" s="1303" t="s">
        <v>653</v>
      </c>
      <c r="D30" s="1304" t="s">
        <v>654</v>
      </c>
      <c r="E30" s="1345">
        <v>0</v>
      </c>
      <c r="F30" s="1345">
        <f t="shared" si="13"/>
        <v>192864</v>
      </c>
      <c r="G30" s="1348" t="s">
        <v>655</v>
      </c>
      <c r="H30" s="1769">
        <v>192864</v>
      </c>
      <c r="I30" s="1772">
        <f t="shared" si="3"/>
        <v>1</v>
      </c>
      <c r="J30" s="1308">
        <v>0</v>
      </c>
      <c r="K30" s="1308">
        <v>0</v>
      </c>
      <c r="L30" s="1308">
        <v>0</v>
      </c>
    </row>
    <row r="31" spans="1:12" ht="21.75" customHeight="1" x14ac:dyDescent="0.2">
      <c r="A31" s="1334" t="s">
        <v>182</v>
      </c>
      <c r="B31" s="1334"/>
      <c r="C31" s="1334"/>
      <c r="D31" s="1667" t="s">
        <v>73</v>
      </c>
      <c r="E31" s="1668">
        <f>E32</f>
        <v>1456500</v>
      </c>
      <c r="F31" s="1668">
        <f t="shared" ref="F31:L31" si="14">F32</f>
        <v>1239253.58</v>
      </c>
      <c r="G31" s="1669">
        <f t="shared" si="14"/>
        <v>2695753.58</v>
      </c>
      <c r="H31" s="1765">
        <f t="shared" si="14"/>
        <v>1673872.37</v>
      </c>
      <c r="I31" s="1951">
        <f t="shared" si="3"/>
        <v>0.62092929502851668</v>
      </c>
      <c r="J31" s="1766">
        <f t="shared" si="14"/>
        <v>68096.36</v>
      </c>
      <c r="K31" s="1766">
        <f t="shared" si="14"/>
        <v>58449.119999999995</v>
      </c>
      <c r="L31" s="1766">
        <f t="shared" si="14"/>
        <v>450</v>
      </c>
    </row>
    <row r="32" spans="1:12" ht="22.5" x14ac:dyDescent="0.2">
      <c r="A32" s="1299"/>
      <c r="B32" s="1341" t="s">
        <v>183</v>
      </c>
      <c r="C32" s="1300"/>
      <c r="D32" s="1301" t="s">
        <v>74</v>
      </c>
      <c r="E32" s="1344">
        <f>E33+E34+E35+E36+E37+E38+E39+E40+E41+E42+E43</f>
        <v>1456500</v>
      </c>
      <c r="F32" s="1344">
        <f t="shared" ref="F32:L32" si="15">F33+F34+F35+F36+F37+F38+F39+F40+F41+F42+F43</f>
        <v>1239253.58</v>
      </c>
      <c r="G32" s="1661">
        <f t="shared" si="15"/>
        <v>2695753.58</v>
      </c>
      <c r="H32" s="1763">
        <f t="shared" si="15"/>
        <v>1673872.37</v>
      </c>
      <c r="I32" s="1773">
        <f t="shared" si="3"/>
        <v>0.62092929502851668</v>
      </c>
      <c r="J32" s="1764">
        <f t="shared" si="15"/>
        <v>68096.36</v>
      </c>
      <c r="K32" s="1764">
        <f t="shared" si="15"/>
        <v>58449.119999999995</v>
      </c>
      <c r="L32" s="1764">
        <f t="shared" si="15"/>
        <v>450</v>
      </c>
    </row>
    <row r="33" spans="1:12" ht="22.5" x14ac:dyDescent="0.2">
      <c r="A33" s="1302"/>
      <c r="B33" s="1342"/>
      <c r="C33" s="1303" t="s">
        <v>656</v>
      </c>
      <c r="D33" s="1304" t="s">
        <v>657</v>
      </c>
      <c r="E33" s="1345">
        <v>40000</v>
      </c>
      <c r="F33" s="1345">
        <f>G33-E33</f>
        <v>0</v>
      </c>
      <c r="G33" s="1348" t="s">
        <v>658</v>
      </c>
      <c r="H33" s="1769">
        <v>39674.79</v>
      </c>
      <c r="I33" s="1772">
        <f t="shared" si="3"/>
        <v>0.99186974999999999</v>
      </c>
      <c r="J33" s="1308">
        <v>4137.6499999999996</v>
      </c>
      <c r="K33" s="1308">
        <v>238.02</v>
      </c>
      <c r="L33" s="1308">
        <v>0</v>
      </c>
    </row>
    <row r="34" spans="1:12" ht="22.5" x14ac:dyDescent="0.2">
      <c r="A34" s="1302"/>
      <c r="B34" s="1342"/>
      <c r="C34" s="1303" t="s">
        <v>659</v>
      </c>
      <c r="D34" s="1304" t="s">
        <v>660</v>
      </c>
      <c r="E34" s="1345">
        <v>80000</v>
      </c>
      <c r="F34" s="1345">
        <f t="shared" ref="F34:F43" si="16">G34-E34</f>
        <v>0</v>
      </c>
      <c r="G34" s="1348" t="s">
        <v>661</v>
      </c>
      <c r="H34" s="1769">
        <v>82576.460000000006</v>
      </c>
      <c r="I34" s="1772">
        <f t="shared" si="3"/>
        <v>1.0322057500000001</v>
      </c>
      <c r="J34" s="1308">
        <v>19444.05</v>
      </c>
      <c r="K34" s="1308">
        <v>19444.05</v>
      </c>
      <c r="L34" s="1308">
        <v>450</v>
      </c>
    </row>
    <row r="35" spans="1:12" s="1340" customFormat="1" ht="33.75" x14ac:dyDescent="0.2">
      <c r="A35" s="1342"/>
      <c r="B35" s="1342"/>
      <c r="C35" s="1352" t="s">
        <v>114</v>
      </c>
      <c r="D35" s="1353" t="s">
        <v>1458</v>
      </c>
      <c r="E35" s="1345">
        <v>0</v>
      </c>
      <c r="F35" s="1345">
        <f t="shared" si="16"/>
        <v>0</v>
      </c>
      <c r="G35" s="1348">
        <v>0</v>
      </c>
      <c r="H35" s="1769">
        <v>69.599999999999994</v>
      </c>
      <c r="I35" s="1772">
        <v>0</v>
      </c>
      <c r="J35" s="1308">
        <v>0</v>
      </c>
      <c r="K35" s="1308">
        <v>0</v>
      </c>
      <c r="L35" s="1308">
        <v>0</v>
      </c>
    </row>
    <row r="36" spans="1:12" ht="45" x14ac:dyDescent="0.2">
      <c r="A36" s="1302"/>
      <c r="B36" s="1342"/>
      <c r="C36" s="1303" t="s">
        <v>662</v>
      </c>
      <c r="D36" s="1304" t="s">
        <v>663</v>
      </c>
      <c r="E36" s="1345">
        <v>0</v>
      </c>
      <c r="F36" s="1345">
        <f t="shared" si="16"/>
        <v>207600.46</v>
      </c>
      <c r="G36" s="1348" t="s">
        <v>664</v>
      </c>
      <c r="H36" s="1769">
        <v>207600.46</v>
      </c>
      <c r="I36" s="1772">
        <f t="shared" si="3"/>
        <v>1</v>
      </c>
      <c r="J36" s="1308">
        <v>0</v>
      </c>
      <c r="K36" s="1308">
        <v>0</v>
      </c>
      <c r="L36" s="1308">
        <v>0</v>
      </c>
    </row>
    <row r="37" spans="1:12" ht="78.75" x14ac:dyDescent="0.2">
      <c r="A37" s="1302"/>
      <c r="B37" s="1342"/>
      <c r="C37" s="1303" t="s">
        <v>637</v>
      </c>
      <c r="D37" s="1304" t="s">
        <v>638</v>
      </c>
      <c r="E37" s="1345">
        <v>334500</v>
      </c>
      <c r="F37" s="1345">
        <f t="shared" si="16"/>
        <v>-34000</v>
      </c>
      <c r="G37" s="1348" t="s">
        <v>665</v>
      </c>
      <c r="H37" s="1769">
        <v>288742.52</v>
      </c>
      <c r="I37" s="1772">
        <f t="shared" si="3"/>
        <v>0.96087361064891852</v>
      </c>
      <c r="J37" s="1308">
        <v>5841.26</v>
      </c>
      <c r="K37" s="1308">
        <v>5841.26</v>
      </c>
      <c r="L37" s="1308">
        <v>0</v>
      </c>
    </row>
    <row r="38" spans="1:12" ht="45" x14ac:dyDescent="0.2">
      <c r="A38" s="1302"/>
      <c r="B38" s="1342"/>
      <c r="C38" s="1303" t="s">
        <v>666</v>
      </c>
      <c r="D38" s="1304" t="s">
        <v>667</v>
      </c>
      <c r="E38" s="1345">
        <v>2000</v>
      </c>
      <c r="F38" s="1345">
        <f t="shared" si="16"/>
        <v>0</v>
      </c>
      <c r="G38" s="1348" t="s">
        <v>668</v>
      </c>
      <c r="H38" s="1769">
        <v>12009.7</v>
      </c>
      <c r="I38" s="1772">
        <f t="shared" si="3"/>
        <v>6.0048500000000002</v>
      </c>
      <c r="J38" s="1308">
        <v>211.13</v>
      </c>
      <c r="K38" s="1308">
        <v>211.13</v>
      </c>
      <c r="L38" s="1308">
        <v>0</v>
      </c>
    </row>
    <row r="39" spans="1:12" ht="45" x14ac:dyDescent="0.2">
      <c r="A39" s="1302"/>
      <c r="B39" s="1342"/>
      <c r="C39" s="1303" t="s">
        <v>669</v>
      </c>
      <c r="D39" s="1304" t="s">
        <v>670</v>
      </c>
      <c r="E39" s="1345">
        <v>1000000</v>
      </c>
      <c r="F39" s="1345">
        <f t="shared" si="16"/>
        <v>0</v>
      </c>
      <c r="G39" s="1348" t="s">
        <v>671</v>
      </c>
      <c r="H39" s="1769">
        <v>1041696.65</v>
      </c>
      <c r="I39" s="1772">
        <f t="shared" si="3"/>
        <v>1.04169665</v>
      </c>
      <c r="J39" s="1308">
        <v>13740.22</v>
      </c>
      <c r="K39" s="1308">
        <v>13740.22</v>
      </c>
      <c r="L39" s="1308">
        <v>0</v>
      </c>
    </row>
    <row r="40" spans="1:12" s="1340" customFormat="1" x14ac:dyDescent="0.2">
      <c r="A40" s="1342"/>
      <c r="B40" s="1342"/>
      <c r="C40" s="1352" t="s">
        <v>60</v>
      </c>
      <c r="D40" s="1353" t="s">
        <v>61</v>
      </c>
      <c r="E40" s="1345">
        <v>0</v>
      </c>
      <c r="F40" s="1345">
        <f t="shared" si="16"/>
        <v>0</v>
      </c>
      <c r="G40" s="1348">
        <v>0</v>
      </c>
      <c r="H40" s="1769">
        <v>636.15</v>
      </c>
      <c r="I40" s="1772">
        <v>0</v>
      </c>
      <c r="J40" s="1308">
        <v>0</v>
      </c>
      <c r="K40" s="1308">
        <v>0</v>
      </c>
      <c r="L40" s="1308">
        <v>0</v>
      </c>
    </row>
    <row r="41" spans="1:12" s="1340" customFormat="1" ht="22.5" x14ac:dyDescent="0.2">
      <c r="A41" s="1342"/>
      <c r="B41" s="1342"/>
      <c r="C41" s="1352" t="s">
        <v>717</v>
      </c>
      <c r="D41" s="1353" t="s">
        <v>1459</v>
      </c>
      <c r="E41" s="1345">
        <v>0</v>
      </c>
      <c r="F41" s="1345">
        <f t="shared" si="16"/>
        <v>0</v>
      </c>
      <c r="G41" s="1348">
        <v>0</v>
      </c>
      <c r="H41" s="1769">
        <v>629.46</v>
      </c>
      <c r="I41" s="1772">
        <v>0</v>
      </c>
      <c r="J41" s="1308">
        <v>5747.61</v>
      </c>
      <c r="K41" s="1308">
        <v>0</v>
      </c>
      <c r="L41" s="1308">
        <v>0</v>
      </c>
    </row>
    <row r="42" spans="1:12" s="1340" customFormat="1" x14ac:dyDescent="0.2">
      <c r="A42" s="1342"/>
      <c r="B42" s="1342"/>
      <c r="C42" s="1352" t="s">
        <v>62</v>
      </c>
      <c r="D42" s="1353" t="s">
        <v>63</v>
      </c>
      <c r="E42" s="1345">
        <v>0</v>
      </c>
      <c r="F42" s="1345">
        <f t="shared" si="16"/>
        <v>0</v>
      </c>
      <c r="G42" s="1348">
        <v>0</v>
      </c>
      <c r="H42" s="1769">
        <v>236.58</v>
      </c>
      <c r="I42" s="1772">
        <v>0</v>
      </c>
      <c r="J42" s="1308">
        <v>18974.439999999999</v>
      </c>
      <c r="K42" s="1308">
        <v>18974.439999999999</v>
      </c>
      <c r="L42" s="1308">
        <v>0</v>
      </c>
    </row>
    <row r="43" spans="1:12" ht="67.5" x14ac:dyDescent="0.2">
      <c r="A43" s="1302"/>
      <c r="B43" s="1342"/>
      <c r="C43" s="1303" t="s">
        <v>672</v>
      </c>
      <c r="D43" s="1304" t="s">
        <v>673</v>
      </c>
      <c r="E43" s="1345">
        <v>0</v>
      </c>
      <c r="F43" s="1345">
        <f t="shared" si="16"/>
        <v>1065653.1200000001</v>
      </c>
      <c r="G43" s="1348" t="s">
        <v>674</v>
      </c>
      <c r="H43" s="1769">
        <v>0</v>
      </c>
      <c r="I43" s="1772">
        <f t="shared" si="3"/>
        <v>0</v>
      </c>
      <c r="J43" s="1308">
        <v>0</v>
      </c>
      <c r="K43" s="1308">
        <v>0</v>
      </c>
      <c r="L43" s="1308">
        <v>0</v>
      </c>
    </row>
    <row r="44" spans="1:12" ht="21.75" customHeight="1" x14ac:dyDescent="0.2">
      <c r="A44" s="1334" t="s">
        <v>192</v>
      </c>
      <c r="B44" s="1334"/>
      <c r="C44" s="1334"/>
      <c r="D44" s="1667" t="s">
        <v>20</v>
      </c>
      <c r="E44" s="1668">
        <f>E45+E48+E53+E56</f>
        <v>144828.41</v>
      </c>
      <c r="F44" s="1668">
        <f t="shared" ref="F44:L44" si="17">F45+F48+F53+F56</f>
        <v>43104</v>
      </c>
      <c r="G44" s="1669">
        <f t="shared" si="17"/>
        <v>187932.41</v>
      </c>
      <c r="H44" s="1765">
        <f t="shared" si="17"/>
        <v>182710.47</v>
      </c>
      <c r="I44" s="1951">
        <f t="shared" si="3"/>
        <v>0.97221373365030539</v>
      </c>
      <c r="J44" s="1766">
        <f t="shared" si="17"/>
        <v>578.21</v>
      </c>
      <c r="K44" s="1766">
        <f t="shared" si="17"/>
        <v>570</v>
      </c>
      <c r="L44" s="1766">
        <f t="shared" si="17"/>
        <v>0</v>
      </c>
    </row>
    <row r="45" spans="1:12" ht="15" x14ac:dyDescent="0.2">
      <c r="A45" s="1299"/>
      <c r="B45" s="1341" t="s">
        <v>675</v>
      </c>
      <c r="C45" s="1300"/>
      <c r="D45" s="1301" t="s">
        <v>21</v>
      </c>
      <c r="E45" s="1344">
        <f>E46+E47</f>
        <v>143228</v>
      </c>
      <c r="F45" s="1344">
        <f t="shared" ref="F45:L45" si="18">F46+F47</f>
        <v>33104</v>
      </c>
      <c r="G45" s="1661">
        <f t="shared" si="18"/>
        <v>176332</v>
      </c>
      <c r="H45" s="1763">
        <f t="shared" si="18"/>
        <v>170547.99</v>
      </c>
      <c r="I45" s="1773">
        <f t="shared" si="3"/>
        <v>0.96719818297302806</v>
      </c>
      <c r="J45" s="1764">
        <f t="shared" si="18"/>
        <v>0</v>
      </c>
      <c r="K45" s="1764">
        <f t="shared" si="18"/>
        <v>0</v>
      </c>
      <c r="L45" s="1764">
        <f t="shared" si="18"/>
        <v>0</v>
      </c>
    </row>
    <row r="46" spans="1:12" ht="67.5" x14ac:dyDescent="0.2">
      <c r="A46" s="1302"/>
      <c r="B46" s="1342"/>
      <c r="C46" s="1303" t="s">
        <v>640</v>
      </c>
      <c r="D46" s="1304" t="s">
        <v>641</v>
      </c>
      <c r="E46" s="1345">
        <v>143228</v>
      </c>
      <c r="F46" s="1345">
        <f>G46-E46</f>
        <v>33104</v>
      </c>
      <c r="G46" s="1348" t="s">
        <v>676</v>
      </c>
      <c r="H46" s="1769">
        <v>170530.94</v>
      </c>
      <c r="I46" s="1772">
        <f t="shared" si="3"/>
        <v>0.96710149037043758</v>
      </c>
      <c r="J46" s="1308">
        <v>0</v>
      </c>
      <c r="K46" s="1308">
        <v>0</v>
      </c>
      <c r="L46" s="1308">
        <v>0</v>
      </c>
    </row>
    <row r="47" spans="1:12" s="1340" customFormat="1" ht="45" x14ac:dyDescent="0.2">
      <c r="A47" s="1342"/>
      <c r="B47" s="1342"/>
      <c r="C47" s="1356" t="s">
        <v>834</v>
      </c>
      <c r="D47" s="1353" t="s">
        <v>835</v>
      </c>
      <c r="E47" s="1345">
        <v>0</v>
      </c>
      <c r="F47" s="1345">
        <f>G47-E47</f>
        <v>0</v>
      </c>
      <c r="G47" s="1348">
        <v>0</v>
      </c>
      <c r="H47" s="1769">
        <v>17.05</v>
      </c>
      <c r="I47" s="1772">
        <v>0</v>
      </c>
      <c r="J47" s="1308">
        <v>0</v>
      </c>
      <c r="K47" s="1308">
        <v>0</v>
      </c>
      <c r="L47" s="1308">
        <v>0</v>
      </c>
    </row>
    <row r="48" spans="1:12" ht="22.5" x14ac:dyDescent="0.2">
      <c r="A48" s="1299"/>
      <c r="B48" s="1341" t="s">
        <v>196</v>
      </c>
      <c r="C48" s="1300"/>
      <c r="D48" s="1301" t="s">
        <v>677</v>
      </c>
      <c r="E48" s="1344">
        <f>E49+E50+E51+E52</f>
        <v>1600.4099999999999</v>
      </c>
      <c r="F48" s="1344">
        <f t="shared" ref="F48:H48" si="19">F49+F50+F51+F52</f>
        <v>0</v>
      </c>
      <c r="G48" s="1661">
        <f t="shared" si="19"/>
        <v>1600.4099999999999</v>
      </c>
      <c r="H48" s="1763">
        <f t="shared" si="19"/>
        <v>1975.44</v>
      </c>
      <c r="I48" s="1773">
        <f t="shared" si="3"/>
        <v>1.2343337019888656</v>
      </c>
      <c r="J48" s="1764">
        <f t="shared" ref="J48:K48" si="20">J49+J50+J51+J52</f>
        <v>578.21</v>
      </c>
      <c r="K48" s="1764">
        <f t="shared" si="20"/>
        <v>570</v>
      </c>
      <c r="L48" s="1764">
        <f t="shared" ref="L48" si="21">L49+L50+L51+L52</f>
        <v>0</v>
      </c>
    </row>
    <row r="49" spans="1:12" ht="33.75" x14ac:dyDescent="0.2">
      <c r="A49" s="1302"/>
      <c r="B49" s="1342"/>
      <c r="C49" s="1303" t="s">
        <v>678</v>
      </c>
      <c r="D49" s="1304" t="s">
        <v>679</v>
      </c>
      <c r="E49" s="1345">
        <v>1000</v>
      </c>
      <c r="F49" s="1345">
        <f>G49-E49</f>
        <v>0</v>
      </c>
      <c r="G49" s="1348" t="s">
        <v>680</v>
      </c>
      <c r="H49" s="1769">
        <v>949.6</v>
      </c>
      <c r="I49" s="1772">
        <f t="shared" si="3"/>
        <v>0.9496</v>
      </c>
      <c r="J49" s="1308">
        <v>570</v>
      </c>
      <c r="K49" s="1308">
        <v>570</v>
      </c>
      <c r="L49" s="1308">
        <v>0</v>
      </c>
    </row>
    <row r="50" spans="1:12" s="1340" customFormat="1" ht="33.75" x14ac:dyDescent="0.2">
      <c r="A50" s="1342"/>
      <c r="B50" s="1342"/>
      <c r="C50" s="1352" t="s">
        <v>114</v>
      </c>
      <c r="D50" s="1353" t="s">
        <v>1458</v>
      </c>
      <c r="E50" s="1345">
        <v>0</v>
      </c>
      <c r="F50" s="1345">
        <f t="shared" ref="F50:F51" si="22">G50-E50</f>
        <v>0</v>
      </c>
      <c r="G50" s="1348">
        <v>0</v>
      </c>
      <c r="H50" s="1769">
        <v>34.799999999999997</v>
      </c>
      <c r="I50" s="1772">
        <v>0</v>
      </c>
      <c r="J50" s="1308">
        <v>0</v>
      </c>
      <c r="K50" s="1308">
        <v>0</v>
      </c>
      <c r="L50" s="1308">
        <v>0</v>
      </c>
    </row>
    <row r="51" spans="1:12" s="1340" customFormat="1" ht="22.5" x14ac:dyDescent="0.2">
      <c r="A51" s="1342"/>
      <c r="B51" s="1342"/>
      <c r="C51" s="1356" t="s">
        <v>1460</v>
      </c>
      <c r="D51" s="1353" t="s">
        <v>1461</v>
      </c>
      <c r="E51" s="1345">
        <v>0</v>
      </c>
      <c r="F51" s="1345">
        <f t="shared" si="22"/>
        <v>0</v>
      </c>
      <c r="G51" s="1348">
        <v>0</v>
      </c>
      <c r="H51" s="1769">
        <v>16.260000000000002</v>
      </c>
      <c r="I51" s="1772">
        <v>0</v>
      </c>
      <c r="J51" s="1308">
        <v>0</v>
      </c>
      <c r="K51" s="1308">
        <v>0</v>
      </c>
      <c r="L51" s="1308">
        <v>0</v>
      </c>
    </row>
    <row r="52" spans="1:12" x14ac:dyDescent="0.2">
      <c r="A52" s="1302"/>
      <c r="B52" s="1342"/>
      <c r="C52" s="1303" t="s">
        <v>64</v>
      </c>
      <c r="D52" s="1304" t="s">
        <v>65</v>
      </c>
      <c r="E52" s="1345">
        <v>600.41</v>
      </c>
      <c r="F52" s="1345">
        <f>G52-E52</f>
        <v>0</v>
      </c>
      <c r="G52" s="1348" t="s">
        <v>681</v>
      </c>
      <c r="H52" s="1769">
        <v>974.78</v>
      </c>
      <c r="I52" s="1772">
        <f t="shared" si="3"/>
        <v>1.6235239253176996</v>
      </c>
      <c r="J52" s="1308">
        <v>8.2100000000000009</v>
      </c>
      <c r="K52" s="1308">
        <v>0</v>
      </c>
      <c r="L52" s="1308">
        <v>0</v>
      </c>
    </row>
    <row r="53" spans="1:12" ht="22.5" x14ac:dyDescent="0.2">
      <c r="A53" s="1299"/>
      <c r="B53" s="1341" t="s">
        <v>682</v>
      </c>
      <c r="C53" s="1300"/>
      <c r="D53" s="1301" t="s">
        <v>76</v>
      </c>
      <c r="E53" s="1344">
        <f>E54+E55</f>
        <v>0</v>
      </c>
      <c r="F53" s="1344">
        <f t="shared" ref="F53:L53" si="23">F54+F55</f>
        <v>10000</v>
      </c>
      <c r="G53" s="1661">
        <f t="shared" si="23"/>
        <v>10000</v>
      </c>
      <c r="H53" s="1763">
        <f t="shared" si="23"/>
        <v>10091.040000000001</v>
      </c>
      <c r="I53" s="1773">
        <f t="shared" si="3"/>
        <v>1.009104</v>
      </c>
      <c r="J53" s="1764">
        <f t="shared" si="23"/>
        <v>0</v>
      </c>
      <c r="K53" s="1764">
        <f t="shared" si="23"/>
        <v>0</v>
      </c>
      <c r="L53" s="1764">
        <f t="shared" si="23"/>
        <v>0</v>
      </c>
    </row>
    <row r="54" spans="1:12" s="1359" customFormat="1" ht="15" x14ac:dyDescent="0.2">
      <c r="A54" s="1357"/>
      <c r="B54" s="1358"/>
      <c r="C54" s="1360" t="s">
        <v>1462</v>
      </c>
      <c r="D54" s="1361" t="s">
        <v>1463</v>
      </c>
      <c r="E54" s="1362">
        <v>0</v>
      </c>
      <c r="F54" s="1362">
        <f>G54-E54</f>
        <v>0</v>
      </c>
      <c r="G54" s="1363">
        <v>0</v>
      </c>
      <c r="H54" s="1770">
        <v>91.04</v>
      </c>
      <c r="I54" s="1772">
        <v>0</v>
      </c>
      <c r="J54" s="1771">
        <v>0</v>
      </c>
      <c r="K54" s="1771">
        <v>0</v>
      </c>
      <c r="L54" s="1771">
        <v>0</v>
      </c>
    </row>
    <row r="55" spans="1:12" ht="56.25" x14ac:dyDescent="0.2">
      <c r="A55" s="1302"/>
      <c r="B55" s="1342"/>
      <c r="C55" s="1303" t="s">
        <v>633</v>
      </c>
      <c r="D55" s="1304" t="s">
        <v>634</v>
      </c>
      <c r="E55" s="1345">
        <v>0</v>
      </c>
      <c r="F55" s="1362">
        <f>G55-E55</f>
        <v>10000</v>
      </c>
      <c r="G55" s="1348" t="s">
        <v>648</v>
      </c>
      <c r="H55" s="1769">
        <v>10000</v>
      </c>
      <c r="I55" s="1772">
        <f t="shared" si="3"/>
        <v>1</v>
      </c>
      <c r="J55" s="1308">
        <v>0</v>
      </c>
      <c r="K55" s="1308">
        <v>0</v>
      </c>
      <c r="L55" s="1308">
        <v>0</v>
      </c>
    </row>
    <row r="56" spans="1:12" s="1340" customFormat="1" ht="22.5" x14ac:dyDescent="0.2">
      <c r="A56" s="1342"/>
      <c r="B56" s="1364" t="s">
        <v>1014</v>
      </c>
      <c r="C56" s="1300"/>
      <c r="D56" s="1355" t="s">
        <v>1015</v>
      </c>
      <c r="E56" s="1344">
        <f>E57</f>
        <v>0</v>
      </c>
      <c r="F56" s="1344">
        <f t="shared" ref="F56:L56" si="24">F57</f>
        <v>0</v>
      </c>
      <c r="G56" s="1661">
        <f t="shared" si="24"/>
        <v>0</v>
      </c>
      <c r="H56" s="1763">
        <f t="shared" si="24"/>
        <v>96</v>
      </c>
      <c r="I56" s="1773">
        <v>0</v>
      </c>
      <c r="J56" s="1764">
        <f t="shared" si="24"/>
        <v>0</v>
      </c>
      <c r="K56" s="1764">
        <f t="shared" si="24"/>
        <v>0</v>
      </c>
      <c r="L56" s="1764">
        <f t="shared" si="24"/>
        <v>0</v>
      </c>
    </row>
    <row r="57" spans="1:12" s="1340" customFormat="1" ht="22.5" x14ac:dyDescent="0.2">
      <c r="A57" s="1342"/>
      <c r="B57" s="1342"/>
      <c r="C57" s="1356" t="s">
        <v>1460</v>
      </c>
      <c r="D57" s="1353" t="s">
        <v>1461</v>
      </c>
      <c r="E57" s="1345">
        <v>0</v>
      </c>
      <c r="F57" s="1345">
        <f>G57-E57</f>
        <v>0</v>
      </c>
      <c r="G57" s="1348">
        <v>0</v>
      </c>
      <c r="H57" s="1769">
        <v>96</v>
      </c>
      <c r="I57" s="1772">
        <v>0</v>
      </c>
      <c r="J57" s="1308">
        <v>0</v>
      </c>
      <c r="K57" s="1308">
        <v>0</v>
      </c>
      <c r="L57" s="1308">
        <v>0</v>
      </c>
    </row>
    <row r="58" spans="1:12" ht="33.75" x14ac:dyDescent="0.2">
      <c r="A58" s="1334" t="s">
        <v>683</v>
      </c>
      <c r="B58" s="1334"/>
      <c r="C58" s="1334"/>
      <c r="D58" s="1667" t="s">
        <v>684</v>
      </c>
      <c r="E58" s="1668">
        <f>E59+E61</f>
        <v>3500</v>
      </c>
      <c r="F58" s="1668">
        <f t="shared" ref="F58:L58" si="25">F59+F61</f>
        <v>157570</v>
      </c>
      <c r="G58" s="1669">
        <f t="shared" si="25"/>
        <v>161070</v>
      </c>
      <c r="H58" s="1765">
        <f t="shared" si="25"/>
        <v>154700.76</v>
      </c>
      <c r="I58" s="1951">
        <f t="shared" si="3"/>
        <v>0.96045669584652638</v>
      </c>
      <c r="J58" s="1766">
        <f t="shared" si="25"/>
        <v>0</v>
      </c>
      <c r="K58" s="1766">
        <f t="shared" si="25"/>
        <v>0</v>
      </c>
      <c r="L58" s="1766">
        <f t="shared" si="25"/>
        <v>0</v>
      </c>
    </row>
    <row r="59" spans="1:12" ht="22.5" x14ac:dyDescent="0.2">
      <c r="A59" s="1299"/>
      <c r="B59" s="1341" t="s">
        <v>685</v>
      </c>
      <c r="C59" s="1300"/>
      <c r="D59" s="1301" t="s">
        <v>686</v>
      </c>
      <c r="E59" s="1344">
        <f>E60</f>
        <v>3500</v>
      </c>
      <c r="F59" s="1344">
        <f t="shared" ref="F59:L59" si="26">F60</f>
        <v>0</v>
      </c>
      <c r="G59" s="1661" t="str">
        <f t="shared" si="26"/>
        <v>3 500,00</v>
      </c>
      <c r="H59" s="1763">
        <f t="shared" si="26"/>
        <v>3500</v>
      </c>
      <c r="I59" s="1773">
        <f t="shared" si="3"/>
        <v>1</v>
      </c>
      <c r="J59" s="1764">
        <f t="shared" si="26"/>
        <v>0</v>
      </c>
      <c r="K59" s="1764">
        <f t="shared" si="26"/>
        <v>0</v>
      </c>
      <c r="L59" s="1764">
        <f t="shared" si="26"/>
        <v>0</v>
      </c>
    </row>
    <row r="60" spans="1:12" ht="67.5" x14ac:dyDescent="0.2">
      <c r="A60" s="1302"/>
      <c r="B60" s="1342"/>
      <c r="C60" s="1303" t="s">
        <v>640</v>
      </c>
      <c r="D60" s="1304" t="s">
        <v>641</v>
      </c>
      <c r="E60" s="1345">
        <v>3500</v>
      </c>
      <c r="F60" s="1345">
        <f>G60-E60</f>
        <v>0</v>
      </c>
      <c r="G60" s="1348" t="s">
        <v>687</v>
      </c>
      <c r="H60" s="1769">
        <v>3500</v>
      </c>
      <c r="I60" s="1772">
        <f t="shared" si="3"/>
        <v>1</v>
      </c>
      <c r="J60" s="1308">
        <v>0</v>
      </c>
      <c r="K60" s="1308">
        <v>0</v>
      </c>
      <c r="L60" s="1308">
        <v>0</v>
      </c>
    </row>
    <row r="61" spans="1:12" ht="56.25" x14ac:dyDescent="0.2">
      <c r="A61" s="1299"/>
      <c r="B61" s="1341" t="s">
        <v>688</v>
      </c>
      <c r="C61" s="1300"/>
      <c r="D61" s="1301" t="s">
        <v>29</v>
      </c>
      <c r="E61" s="1344">
        <f>E62</f>
        <v>0</v>
      </c>
      <c r="F61" s="1344">
        <f t="shared" ref="F61:L61" si="27">F62</f>
        <v>157570</v>
      </c>
      <c r="G61" s="1661" t="str">
        <f t="shared" si="27"/>
        <v>157 570,00</v>
      </c>
      <c r="H61" s="1763">
        <f t="shared" si="27"/>
        <v>151200.76</v>
      </c>
      <c r="I61" s="1773">
        <f t="shared" si="3"/>
        <v>0.95957834613187798</v>
      </c>
      <c r="J61" s="1764">
        <f t="shared" si="27"/>
        <v>0</v>
      </c>
      <c r="K61" s="1764">
        <f t="shared" si="27"/>
        <v>0</v>
      </c>
      <c r="L61" s="1764">
        <f t="shared" si="27"/>
        <v>0</v>
      </c>
    </row>
    <row r="62" spans="1:12" ht="67.5" x14ac:dyDescent="0.2">
      <c r="A62" s="1302"/>
      <c r="B62" s="1342"/>
      <c r="C62" s="1303" t="s">
        <v>640</v>
      </c>
      <c r="D62" s="1304" t="s">
        <v>641</v>
      </c>
      <c r="E62" s="1345">
        <v>0</v>
      </c>
      <c r="F62" s="1345">
        <f>G62-E62</f>
        <v>157570</v>
      </c>
      <c r="G62" s="1348" t="s">
        <v>689</v>
      </c>
      <c r="H62" s="1769">
        <v>151200.76</v>
      </c>
      <c r="I62" s="1772">
        <f t="shared" si="3"/>
        <v>0.95957834613187798</v>
      </c>
      <c r="J62" s="1308">
        <v>0</v>
      </c>
      <c r="K62" s="1308">
        <v>0</v>
      </c>
      <c r="L62" s="1308">
        <v>0</v>
      </c>
    </row>
    <row r="63" spans="1:12" ht="27.75" customHeight="1" x14ac:dyDescent="0.2">
      <c r="A63" s="1334" t="s">
        <v>200</v>
      </c>
      <c r="B63" s="1334"/>
      <c r="C63" s="1334"/>
      <c r="D63" s="1667" t="s">
        <v>328</v>
      </c>
      <c r="E63" s="1668">
        <f>E64</f>
        <v>1000</v>
      </c>
      <c r="F63" s="1668">
        <f t="shared" ref="F63:L63" si="28">F64</f>
        <v>36396.36</v>
      </c>
      <c r="G63" s="1669">
        <f t="shared" si="28"/>
        <v>37396.36</v>
      </c>
      <c r="H63" s="1765">
        <f t="shared" si="28"/>
        <v>36147.31</v>
      </c>
      <c r="I63" s="1951">
        <f t="shared" si="3"/>
        <v>0.96659969045115612</v>
      </c>
      <c r="J63" s="1766">
        <f t="shared" si="28"/>
        <v>81.11</v>
      </c>
      <c r="K63" s="1766">
        <f t="shared" si="28"/>
        <v>0</v>
      </c>
      <c r="L63" s="1766">
        <f t="shared" si="28"/>
        <v>0</v>
      </c>
    </row>
    <row r="64" spans="1:12" ht="15" x14ac:dyDescent="0.2">
      <c r="A64" s="1299"/>
      <c r="B64" s="1341" t="s">
        <v>204</v>
      </c>
      <c r="C64" s="1300"/>
      <c r="D64" s="1301" t="s">
        <v>329</v>
      </c>
      <c r="E64" s="1344">
        <f>E65+E66</f>
        <v>1000</v>
      </c>
      <c r="F64" s="1344">
        <f t="shared" ref="F64:L64" si="29">F65+F66</f>
        <v>36396.36</v>
      </c>
      <c r="G64" s="1661">
        <f t="shared" si="29"/>
        <v>37396.36</v>
      </c>
      <c r="H64" s="1763">
        <f t="shared" si="29"/>
        <v>36147.31</v>
      </c>
      <c r="I64" s="1773">
        <f t="shared" si="3"/>
        <v>0.96659969045115612</v>
      </c>
      <c r="J64" s="1764">
        <f t="shared" si="29"/>
        <v>81.11</v>
      </c>
      <c r="K64" s="1764">
        <f t="shared" si="29"/>
        <v>0</v>
      </c>
      <c r="L64" s="1764">
        <f t="shared" si="29"/>
        <v>0</v>
      </c>
    </row>
    <row r="65" spans="1:12" x14ac:dyDescent="0.2">
      <c r="A65" s="1302"/>
      <c r="B65" s="1342"/>
      <c r="C65" s="1303" t="s">
        <v>60</v>
      </c>
      <c r="D65" s="1304" t="s">
        <v>61</v>
      </c>
      <c r="E65" s="1345">
        <v>1000</v>
      </c>
      <c r="F65" s="1345">
        <f>G65-E65</f>
        <v>0</v>
      </c>
      <c r="G65" s="1348" t="s">
        <v>680</v>
      </c>
      <c r="H65" s="1769">
        <v>965.45</v>
      </c>
      <c r="I65" s="1772">
        <f t="shared" si="3"/>
        <v>0.96545000000000003</v>
      </c>
      <c r="J65" s="1308">
        <v>81.11</v>
      </c>
      <c r="K65" s="1308">
        <v>0</v>
      </c>
      <c r="L65" s="1308">
        <v>0</v>
      </c>
    </row>
    <row r="66" spans="1:12" ht="45" x14ac:dyDescent="0.2">
      <c r="A66" s="1302"/>
      <c r="B66" s="1342"/>
      <c r="C66" s="1303" t="s">
        <v>690</v>
      </c>
      <c r="D66" s="1304" t="s">
        <v>691</v>
      </c>
      <c r="E66" s="1345">
        <v>0</v>
      </c>
      <c r="F66" s="1345">
        <f>G66-E66</f>
        <v>36396.36</v>
      </c>
      <c r="G66" s="1348" t="s">
        <v>692</v>
      </c>
      <c r="H66" s="1769">
        <v>35181.86</v>
      </c>
      <c r="I66" s="1772">
        <f t="shared" si="3"/>
        <v>0.96663127851246666</v>
      </c>
      <c r="J66" s="1308">
        <v>0</v>
      </c>
      <c r="K66" s="1308">
        <v>0</v>
      </c>
      <c r="L66" s="1308">
        <v>0</v>
      </c>
    </row>
    <row r="67" spans="1:12" ht="60" customHeight="1" x14ac:dyDescent="0.2">
      <c r="A67" s="1334" t="s">
        <v>693</v>
      </c>
      <c r="B67" s="1334"/>
      <c r="C67" s="1334"/>
      <c r="D67" s="1667" t="s">
        <v>694</v>
      </c>
      <c r="E67" s="1668">
        <f>E68+E71+E80+E91+E97</f>
        <v>24769958.199999999</v>
      </c>
      <c r="F67" s="1668">
        <f t="shared" ref="F67:L67" si="30">F68+F71+F80+F91+F97</f>
        <v>0</v>
      </c>
      <c r="G67" s="1669">
        <f t="shared" si="30"/>
        <v>24769958.199999999</v>
      </c>
      <c r="H67" s="1765">
        <f t="shared" si="30"/>
        <v>25999721.670000002</v>
      </c>
      <c r="I67" s="1774">
        <f t="shared" si="3"/>
        <v>1.0496473776851187</v>
      </c>
      <c r="J67" s="1766">
        <f t="shared" si="30"/>
        <v>3190878.11</v>
      </c>
      <c r="K67" s="1766">
        <f t="shared" si="30"/>
        <v>2277626.2599999998</v>
      </c>
      <c r="L67" s="1766">
        <f t="shared" si="30"/>
        <v>27463.279999999999</v>
      </c>
    </row>
    <row r="68" spans="1:12" ht="22.5" x14ac:dyDescent="0.2">
      <c r="A68" s="1299"/>
      <c r="B68" s="1341" t="s">
        <v>695</v>
      </c>
      <c r="C68" s="1300"/>
      <c r="D68" s="1301" t="s">
        <v>696</v>
      </c>
      <c r="E68" s="1344">
        <f>E69+E70</f>
        <v>60000</v>
      </c>
      <c r="F68" s="1344">
        <f t="shared" ref="F68:L68" si="31">F69+F70</f>
        <v>-11034</v>
      </c>
      <c r="G68" s="1661">
        <f t="shared" si="31"/>
        <v>48966</v>
      </c>
      <c r="H68" s="1763">
        <f t="shared" si="31"/>
        <v>51259.92</v>
      </c>
      <c r="I68" s="1773">
        <f t="shared" si="3"/>
        <v>1.0468472000980271</v>
      </c>
      <c r="J68" s="1764">
        <f t="shared" si="31"/>
        <v>60609.31</v>
      </c>
      <c r="K68" s="1764">
        <f t="shared" si="31"/>
        <v>60510.31</v>
      </c>
      <c r="L68" s="1764">
        <f t="shared" si="31"/>
        <v>0</v>
      </c>
    </row>
    <row r="69" spans="1:12" ht="33.75" x14ac:dyDescent="0.2">
      <c r="A69" s="1302"/>
      <c r="B69" s="1342"/>
      <c r="C69" s="1303" t="s">
        <v>698</v>
      </c>
      <c r="D69" s="1304" t="s">
        <v>699</v>
      </c>
      <c r="E69" s="1345">
        <v>60000</v>
      </c>
      <c r="F69" s="1345">
        <f>G69-E69</f>
        <v>-11034</v>
      </c>
      <c r="G69" s="1348" t="s">
        <v>697</v>
      </c>
      <c r="H69" s="1769">
        <v>51146.06</v>
      </c>
      <c r="I69" s="1772">
        <f t="shared" si="3"/>
        <v>1.0445219131642363</v>
      </c>
      <c r="J69" s="1308">
        <v>60609.31</v>
      </c>
      <c r="K69" s="1308">
        <v>60510.31</v>
      </c>
      <c r="L69" s="1308">
        <v>0</v>
      </c>
    </row>
    <row r="70" spans="1:12" s="1340" customFormat="1" ht="22.5" x14ac:dyDescent="0.2">
      <c r="A70" s="1342"/>
      <c r="B70" s="1342"/>
      <c r="C70" s="1352" t="s">
        <v>717</v>
      </c>
      <c r="D70" s="1353" t="s">
        <v>1459</v>
      </c>
      <c r="E70" s="1345">
        <v>0</v>
      </c>
      <c r="F70" s="1345">
        <f>G70-E70</f>
        <v>0</v>
      </c>
      <c r="G70" s="1348">
        <v>0</v>
      </c>
      <c r="H70" s="1769">
        <v>113.86</v>
      </c>
      <c r="I70" s="1772">
        <v>0</v>
      </c>
      <c r="J70" s="1308">
        <v>0</v>
      </c>
      <c r="K70" s="1308">
        <v>0</v>
      </c>
      <c r="L70" s="1308">
        <v>0</v>
      </c>
    </row>
    <row r="71" spans="1:12" ht="56.25" x14ac:dyDescent="0.2">
      <c r="A71" s="1299"/>
      <c r="B71" s="1341" t="s">
        <v>700</v>
      </c>
      <c r="C71" s="1300"/>
      <c r="D71" s="1301" t="s">
        <v>701</v>
      </c>
      <c r="E71" s="1344">
        <f>E72+E73+E74+E75+E76+E78+E79+E77</f>
        <v>6680917.2000000002</v>
      </c>
      <c r="F71" s="1344">
        <f t="shared" ref="F71:L71" si="32">F72+F73+F74+F75+F76+F78+F79+F77</f>
        <v>-278214</v>
      </c>
      <c r="G71" s="1661">
        <f t="shared" si="32"/>
        <v>6402703.2000000002</v>
      </c>
      <c r="H71" s="1763">
        <f t="shared" si="32"/>
        <v>7037884.919999999</v>
      </c>
      <c r="I71" s="1773">
        <f t="shared" si="3"/>
        <v>1.099205241935937</v>
      </c>
      <c r="J71" s="1764">
        <f t="shared" si="32"/>
        <v>431721.13</v>
      </c>
      <c r="K71" s="1764">
        <f t="shared" si="32"/>
        <v>218010.01</v>
      </c>
      <c r="L71" s="1764">
        <f t="shared" si="32"/>
        <v>936</v>
      </c>
    </row>
    <row r="72" spans="1:12" x14ac:dyDescent="0.2">
      <c r="A72" s="1302"/>
      <c r="B72" s="1342"/>
      <c r="C72" s="1303" t="s">
        <v>702</v>
      </c>
      <c r="D72" s="1304" t="s">
        <v>703</v>
      </c>
      <c r="E72" s="1345">
        <v>6063600</v>
      </c>
      <c r="F72" s="1345">
        <f>G72-E72</f>
        <v>0</v>
      </c>
      <c r="G72" s="1348" t="s">
        <v>704</v>
      </c>
      <c r="H72" s="1769">
        <v>6691742.6399999997</v>
      </c>
      <c r="I72" s="1772">
        <f t="shared" si="3"/>
        <v>1.1035923609736789</v>
      </c>
      <c r="J72" s="1308">
        <v>293117.32</v>
      </c>
      <c r="K72" s="1308">
        <v>120473.2</v>
      </c>
      <c r="L72" s="1308">
        <v>0</v>
      </c>
    </row>
    <row r="73" spans="1:12" x14ac:dyDescent="0.2">
      <c r="A73" s="1302"/>
      <c r="B73" s="1342"/>
      <c r="C73" s="1303" t="s">
        <v>705</v>
      </c>
      <c r="D73" s="1304" t="s">
        <v>706</v>
      </c>
      <c r="E73" s="1345">
        <v>85525</v>
      </c>
      <c r="F73" s="1345">
        <f t="shared" ref="F73:F79" si="33">G73-E73</f>
        <v>0</v>
      </c>
      <c r="G73" s="1348" t="s">
        <v>707</v>
      </c>
      <c r="H73" s="1769">
        <v>85727.89</v>
      </c>
      <c r="I73" s="1772">
        <f t="shared" si="3"/>
        <v>1.0023722888044431</v>
      </c>
      <c r="J73" s="1308">
        <v>125.11</v>
      </c>
      <c r="K73" s="1308">
        <v>125.11</v>
      </c>
      <c r="L73" s="1308">
        <v>930</v>
      </c>
    </row>
    <row r="74" spans="1:12" x14ac:dyDescent="0.2">
      <c r="A74" s="1302"/>
      <c r="B74" s="1342"/>
      <c r="C74" s="1303" t="s">
        <v>708</v>
      </c>
      <c r="D74" s="1304" t="s">
        <v>709</v>
      </c>
      <c r="E74" s="1345">
        <v>164257</v>
      </c>
      <c r="F74" s="1345">
        <f t="shared" si="33"/>
        <v>0</v>
      </c>
      <c r="G74" s="1348" t="s">
        <v>710</v>
      </c>
      <c r="H74" s="1769">
        <v>164127</v>
      </c>
      <c r="I74" s="1772">
        <f t="shared" si="3"/>
        <v>0.99920855732175795</v>
      </c>
      <c r="J74" s="1308">
        <v>0</v>
      </c>
      <c r="K74" s="1308">
        <v>0</v>
      </c>
      <c r="L74" s="1308">
        <v>4</v>
      </c>
    </row>
    <row r="75" spans="1:12" ht="22.5" x14ac:dyDescent="0.2">
      <c r="A75" s="1302"/>
      <c r="B75" s="1342"/>
      <c r="C75" s="1303" t="s">
        <v>711</v>
      </c>
      <c r="D75" s="1304" t="s">
        <v>712</v>
      </c>
      <c r="E75" s="1345">
        <v>78942</v>
      </c>
      <c r="F75" s="1345">
        <f t="shared" si="33"/>
        <v>0</v>
      </c>
      <c r="G75" s="1348" t="s">
        <v>713</v>
      </c>
      <c r="H75" s="1769">
        <v>57534.6</v>
      </c>
      <c r="I75" s="1772">
        <f t="shared" ref="I75:I143" si="34">H75/G75</f>
        <v>0.72882115983886897</v>
      </c>
      <c r="J75" s="1308">
        <v>95818.7</v>
      </c>
      <c r="K75" s="1308">
        <v>95818.7</v>
      </c>
      <c r="L75" s="1308">
        <v>2</v>
      </c>
    </row>
    <row r="76" spans="1:12" ht="22.5" x14ac:dyDescent="0.2">
      <c r="A76" s="1302"/>
      <c r="B76" s="1342"/>
      <c r="C76" s="1303" t="s">
        <v>714</v>
      </c>
      <c r="D76" s="1304" t="s">
        <v>715</v>
      </c>
      <c r="E76" s="1345">
        <v>6000</v>
      </c>
      <c r="F76" s="1345">
        <f t="shared" si="33"/>
        <v>0</v>
      </c>
      <c r="G76" s="1348" t="s">
        <v>716</v>
      </c>
      <c r="H76" s="1769">
        <v>17046</v>
      </c>
      <c r="I76" s="1772">
        <f t="shared" si="34"/>
        <v>2.8410000000000002</v>
      </c>
      <c r="J76" s="1308">
        <v>3967</v>
      </c>
      <c r="K76" s="1308">
        <v>1593</v>
      </c>
      <c r="L76" s="1308">
        <v>0</v>
      </c>
    </row>
    <row r="77" spans="1:12" s="1340" customFormat="1" ht="33.75" x14ac:dyDescent="0.2">
      <c r="A77" s="1342"/>
      <c r="B77" s="1342"/>
      <c r="C77" s="1352" t="s">
        <v>114</v>
      </c>
      <c r="D77" s="1353" t="s">
        <v>1458</v>
      </c>
      <c r="E77" s="1345">
        <v>0</v>
      </c>
      <c r="F77" s="1345">
        <f t="shared" si="33"/>
        <v>0</v>
      </c>
      <c r="G77" s="1348">
        <v>0</v>
      </c>
      <c r="H77" s="1769">
        <v>1030.9000000000001</v>
      </c>
      <c r="I77" s="1772">
        <v>0</v>
      </c>
      <c r="J77" s="1308">
        <v>0</v>
      </c>
      <c r="K77" s="1308">
        <v>0</v>
      </c>
      <c r="L77" s="1308">
        <v>0</v>
      </c>
    </row>
    <row r="78" spans="1:12" ht="22.5" x14ac:dyDescent="0.2">
      <c r="A78" s="1302"/>
      <c r="B78" s="1342"/>
      <c r="C78" s="1303" t="s">
        <v>717</v>
      </c>
      <c r="D78" s="1304" t="s">
        <v>718</v>
      </c>
      <c r="E78" s="1345">
        <v>2593.1999999999998</v>
      </c>
      <c r="F78" s="1345">
        <f t="shared" si="33"/>
        <v>0</v>
      </c>
      <c r="G78" s="1348" t="s">
        <v>719</v>
      </c>
      <c r="H78" s="1769">
        <v>18889.89</v>
      </c>
      <c r="I78" s="1772">
        <f t="shared" si="34"/>
        <v>7.2843937991670522</v>
      </c>
      <c r="J78" s="1308">
        <v>38693</v>
      </c>
      <c r="K78" s="1308">
        <v>0</v>
      </c>
      <c r="L78" s="1308">
        <v>0</v>
      </c>
    </row>
    <row r="79" spans="1:12" ht="22.5" x14ac:dyDescent="0.2">
      <c r="A79" s="1302"/>
      <c r="B79" s="1342"/>
      <c r="C79" s="1303" t="s">
        <v>720</v>
      </c>
      <c r="D79" s="1304" t="s">
        <v>721</v>
      </c>
      <c r="E79" s="1345">
        <v>280000</v>
      </c>
      <c r="F79" s="1345">
        <f t="shared" si="33"/>
        <v>-278214</v>
      </c>
      <c r="G79" s="1348" t="s">
        <v>722</v>
      </c>
      <c r="H79" s="1769">
        <v>1786</v>
      </c>
      <c r="I79" s="1772">
        <f t="shared" si="34"/>
        <v>1</v>
      </c>
      <c r="J79" s="1308">
        <v>0</v>
      </c>
      <c r="K79" s="1308">
        <v>0</v>
      </c>
      <c r="L79" s="1308">
        <v>0</v>
      </c>
    </row>
    <row r="80" spans="1:12" ht="56.25" x14ac:dyDescent="0.2">
      <c r="A80" s="1299"/>
      <c r="B80" s="1341" t="s">
        <v>723</v>
      </c>
      <c r="C80" s="1300"/>
      <c r="D80" s="1301" t="s">
        <v>724</v>
      </c>
      <c r="E80" s="1344">
        <f>E81+E82+E83+E84+E85+E86+E87+E88+E89+E90</f>
        <v>4748758</v>
      </c>
      <c r="F80" s="1344">
        <f t="shared" ref="F80:L80" si="35">F81+F82+F83+F84+F85+F86+F87+F88+F89+F90</f>
        <v>289248</v>
      </c>
      <c r="G80" s="1661">
        <f t="shared" si="35"/>
        <v>5038006</v>
      </c>
      <c r="H80" s="1763">
        <f t="shared" si="35"/>
        <v>5187757.71</v>
      </c>
      <c r="I80" s="1773">
        <f t="shared" si="34"/>
        <v>1.0297244008840005</v>
      </c>
      <c r="J80" s="1764">
        <f t="shared" si="35"/>
        <v>2423747.37</v>
      </c>
      <c r="K80" s="1764">
        <f t="shared" si="35"/>
        <v>1849441.64</v>
      </c>
      <c r="L80" s="1764">
        <f t="shared" si="35"/>
        <v>24702.28</v>
      </c>
    </row>
    <row r="81" spans="1:12" x14ac:dyDescent="0.2">
      <c r="A81" s="1302"/>
      <c r="B81" s="1342"/>
      <c r="C81" s="1303" t="s">
        <v>702</v>
      </c>
      <c r="D81" s="1304" t="s">
        <v>703</v>
      </c>
      <c r="E81" s="1345">
        <v>3079865</v>
      </c>
      <c r="F81" s="1345">
        <f>G81-E81</f>
        <v>-239594</v>
      </c>
      <c r="G81" s="1348" t="s">
        <v>725</v>
      </c>
      <c r="H81" s="1769">
        <v>2849897.14</v>
      </c>
      <c r="I81" s="1772">
        <f t="shared" si="34"/>
        <v>1.0033891625130138</v>
      </c>
      <c r="J81" s="1308">
        <v>1594060.57</v>
      </c>
      <c r="K81" s="1308">
        <v>1563705.17</v>
      </c>
      <c r="L81" s="1308">
        <v>21323.59</v>
      </c>
    </row>
    <row r="82" spans="1:12" x14ac:dyDescent="0.2">
      <c r="A82" s="1302"/>
      <c r="B82" s="1342"/>
      <c r="C82" s="1303" t="s">
        <v>705</v>
      </c>
      <c r="D82" s="1304" t="s">
        <v>706</v>
      </c>
      <c r="E82" s="1345">
        <v>678900</v>
      </c>
      <c r="F82" s="1345">
        <f t="shared" ref="F82:F90" si="36">G82-E82</f>
        <v>0</v>
      </c>
      <c r="G82" s="1348" t="s">
        <v>726</v>
      </c>
      <c r="H82" s="1769">
        <v>647025.51</v>
      </c>
      <c r="I82" s="1772">
        <f t="shared" si="34"/>
        <v>0.95304980114891735</v>
      </c>
      <c r="J82" s="1308">
        <v>81741.3</v>
      </c>
      <c r="K82" s="1308">
        <v>81576.3</v>
      </c>
      <c r="L82" s="1308">
        <v>3321.69</v>
      </c>
    </row>
    <row r="83" spans="1:12" x14ac:dyDescent="0.2">
      <c r="A83" s="1302"/>
      <c r="B83" s="1342"/>
      <c r="C83" s="1303" t="s">
        <v>708</v>
      </c>
      <c r="D83" s="1304" t="s">
        <v>709</v>
      </c>
      <c r="E83" s="1345">
        <v>9056</v>
      </c>
      <c r="F83" s="1345">
        <f t="shared" si="36"/>
        <v>0</v>
      </c>
      <c r="G83" s="1348" t="s">
        <v>727</v>
      </c>
      <c r="H83" s="1769">
        <v>9053</v>
      </c>
      <c r="I83" s="1772">
        <f t="shared" si="34"/>
        <v>0.99966872791519434</v>
      </c>
      <c r="J83" s="1308">
        <v>686</v>
      </c>
      <c r="K83" s="1308">
        <v>686</v>
      </c>
      <c r="L83" s="1308">
        <v>0</v>
      </c>
    </row>
    <row r="84" spans="1:12" ht="22.5" x14ac:dyDescent="0.2">
      <c r="A84" s="1302"/>
      <c r="B84" s="1342"/>
      <c r="C84" s="1303" t="s">
        <v>711</v>
      </c>
      <c r="D84" s="1304" t="s">
        <v>712</v>
      </c>
      <c r="E84" s="1345">
        <v>369937</v>
      </c>
      <c r="F84" s="1345">
        <f t="shared" si="36"/>
        <v>0</v>
      </c>
      <c r="G84" s="1348" t="s">
        <v>728</v>
      </c>
      <c r="H84" s="1769">
        <v>331483.59999999998</v>
      </c>
      <c r="I84" s="1772">
        <f t="shared" si="34"/>
        <v>0.89605419301124234</v>
      </c>
      <c r="J84" s="1308">
        <v>195438.7</v>
      </c>
      <c r="K84" s="1308">
        <v>195438.7</v>
      </c>
      <c r="L84" s="1308">
        <v>57</v>
      </c>
    </row>
    <row r="85" spans="1:12" ht="22.5" x14ac:dyDescent="0.2">
      <c r="A85" s="1302"/>
      <c r="B85" s="1342"/>
      <c r="C85" s="1303" t="s">
        <v>729</v>
      </c>
      <c r="D85" s="1304" t="s">
        <v>730</v>
      </c>
      <c r="E85" s="1345">
        <v>30000</v>
      </c>
      <c r="F85" s="1345">
        <f t="shared" si="36"/>
        <v>13000</v>
      </c>
      <c r="G85" s="1348" t="s">
        <v>731</v>
      </c>
      <c r="H85" s="1769">
        <v>55290.75</v>
      </c>
      <c r="I85" s="1772">
        <f t="shared" si="34"/>
        <v>1.2858313953488372</v>
      </c>
      <c r="J85" s="1308">
        <v>3591.53</v>
      </c>
      <c r="K85" s="1308">
        <v>1935.53</v>
      </c>
      <c r="L85" s="1308">
        <v>0</v>
      </c>
    </row>
    <row r="86" spans="1:12" x14ac:dyDescent="0.2">
      <c r="A86" s="1302"/>
      <c r="B86" s="1342"/>
      <c r="C86" s="1303" t="s">
        <v>732</v>
      </c>
      <c r="D86" s="1304" t="s">
        <v>733</v>
      </c>
      <c r="E86" s="1345">
        <v>50000</v>
      </c>
      <c r="F86" s="1345">
        <f t="shared" si="36"/>
        <v>0</v>
      </c>
      <c r="G86" s="1348" t="s">
        <v>639</v>
      </c>
      <c r="H86" s="1769">
        <v>62076.5</v>
      </c>
      <c r="I86" s="1772">
        <f t="shared" si="34"/>
        <v>1.24153</v>
      </c>
      <c r="J86" s="1308">
        <v>0</v>
      </c>
      <c r="K86" s="1308">
        <v>0</v>
      </c>
      <c r="L86" s="1308">
        <v>0</v>
      </c>
    </row>
    <row r="87" spans="1:12" ht="22.5" x14ac:dyDescent="0.2">
      <c r="A87" s="1302"/>
      <c r="B87" s="1342"/>
      <c r="C87" s="1303" t="s">
        <v>714</v>
      </c>
      <c r="D87" s="1304" t="s">
        <v>715</v>
      </c>
      <c r="E87" s="1345">
        <v>500000</v>
      </c>
      <c r="F87" s="1345">
        <f t="shared" si="36"/>
        <v>0</v>
      </c>
      <c r="G87" s="1348" t="s">
        <v>734</v>
      </c>
      <c r="H87" s="1769">
        <v>676654.47</v>
      </c>
      <c r="I87" s="1772">
        <f t="shared" si="34"/>
        <v>1.35330894</v>
      </c>
      <c r="J87" s="1308">
        <v>7886.27</v>
      </c>
      <c r="K87" s="1308">
        <v>6099.94</v>
      </c>
      <c r="L87" s="1308">
        <v>0</v>
      </c>
    </row>
    <row r="88" spans="1:12" ht="33.75" x14ac:dyDescent="0.2">
      <c r="A88" s="1302"/>
      <c r="B88" s="1342"/>
      <c r="C88" s="1303" t="s">
        <v>114</v>
      </c>
      <c r="D88" s="1304" t="s">
        <v>735</v>
      </c>
      <c r="E88" s="1345">
        <v>11000</v>
      </c>
      <c r="F88" s="1345">
        <f t="shared" si="36"/>
        <v>0</v>
      </c>
      <c r="G88" s="1348" t="s">
        <v>736</v>
      </c>
      <c r="H88" s="1769">
        <v>14117.06</v>
      </c>
      <c r="I88" s="1772">
        <f t="shared" si="34"/>
        <v>1.2833690909090909</v>
      </c>
      <c r="J88" s="1308">
        <v>0</v>
      </c>
      <c r="K88" s="1308">
        <v>0</v>
      </c>
      <c r="L88" s="1308">
        <v>0</v>
      </c>
    </row>
    <row r="89" spans="1:12" ht="22.5" x14ac:dyDescent="0.2">
      <c r="A89" s="1302"/>
      <c r="B89" s="1342"/>
      <c r="C89" s="1303" t="s">
        <v>717</v>
      </c>
      <c r="D89" s="1304" t="s">
        <v>718</v>
      </c>
      <c r="E89" s="1345">
        <v>20000</v>
      </c>
      <c r="F89" s="1345">
        <f t="shared" si="36"/>
        <v>0</v>
      </c>
      <c r="G89" s="1348" t="s">
        <v>632</v>
      </c>
      <c r="H89" s="1769">
        <v>24441.68</v>
      </c>
      <c r="I89" s="1772">
        <f t="shared" si="34"/>
        <v>1.2220839999999999</v>
      </c>
      <c r="J89" s="1308">
        <v>540343</v>
      </c>
      <c r="K89" s="1308">
        <v>0</v>
      </c>
      <c r="L89" s="1308">
        <v>0</v>
      </c>
    </row>
    <row r="90" spans="1:12" ht="22.5" x14ac:dyDescent="0.2">
      <c r="A90" s="1302"/>
      <c r="B90" s="1342"/>
      <c r="C90" s="1303" t="s">
        <v>720</v>
      </c>
      <c r="D90" s="1304" t="s">
        <v>721</v>
      </c>
      <c r="E90" s="1345">
        <v>0</v>
      </c>
      <c r="F90" s="1345">
        <f t="shared" si="36"/>
        <v>515842</v>
      </c>
      <c r="G90" s="1348" t="s">
        <v>737</v>
      </c>
      <c r="H90" s="1769">
        <v>517718</v>
      </c>
      <c r="I90" s="1772">
        <f t="shared" si="34"/>
        <v>1.0036367725001065</v>
      </c>
      <c r="J90" s="1308">
        <v>0</v>
      </c>
      <c r="K90" s="1308">
        <v>0</v>
      </c>
      <c r="L90" s="1308">
        <v>0</v>
      </c>
    </row>
    <row r="91" spans="1:12" ht="33.75" x14ac:dyDescent="0.2">
      <c r="A91" s="1299"/>
      <c r="B91" s="1341" t="s">
        <v>738</v>
      </c>
      <c r="C91" s="1300"/>
      <c r="D91" s="1301" t="s">
        <v>370</v>
      </c>
      <c r="E91" s="1344">
        <f>E92+E93+E95+E94+E96</f>
        <v>393000</v>
      </c>
      <c r="F91" s="1344">
        <f t="shared" ref="F91:H91" si="37">F92+F93+F95+F94+F96</f>
        <v>0</v>
      </c>
      <c r="G91" s="1661">
        <f t="shared" si="37"/>
        <v>393000</v>
      </c>
      <c r="H91" s="1664">
        <f t="shared" si="37"/>
        <v>409020.3</v>
      </c>
      <c r="I91" s="1773">
        <f t="shared" si="34"/>
        <v>1.0407641221374047</v>
      </c>
      <c r="J91" s="1764">
        <f>J92+J93+J95+J94+J96</f>
        <v>274800.3</v>
      </c>
      <c r="K91" s="1764">
        <f t="shared" ref="K91:L91" si="38">K92+K93+K95+K94+K96</f>
        <v>149664.29999999999</v>
      </c>
      <c r="L91" s="1764">
        <f t="shared" si="38"/>
        <v>0</v>
      </c>
    </row>
    <row r="92" spans="1:12" x14ac:dyDescent="0.2">
      <c r="A92" s="1302"/>
      <c r="B92" s="1342"/>
      <c r="C92" s="1303" t="s">
        <v>739</v>
      </c>
      <c r="D92" s="1304" t="s">
        <v>740</v>
      </c>
      <c r="E92" s="1345">
        <v>50000</v>
      </c>
      <c r="F92" s="1345">
        <f>G92-E92</f>
        <v>0</v>
      </c>
      <c r="G92" s="1348" t="s">
        <v>639</v>
      </c>
      <c r="H92" s="1769">
        <v>58575</v>
      </c>
      <c r="I92" s="1772">
        <f t="shared" si="34"/>
        <v>1.1715</v>
      </c>
      <c r="J92" s="1308">
        <v>0</v>
      </c>
      <c r="K92" s="1308">
        <v>0</v>
      </c>
      <c r="L92" s="1308">
        <v>0</v>
      </c>
    </row>
    <row r="93" spans="1:12" ht="22.5" x14ac:dyDescent="0.2">
      <c r="A93" s="1302"/>
      <c r="B93" s="1342"/>
      <c r="C93" s="1303" t="s">
        <v>741</v>
      </c>
      <c r="D93" s="1304" t="s">
        <v>742</v>
      </c>
      <c r="E93" s="1345">
        <v>343000</v>
      </c>
      <c r="F93" s="1345">
        <f t="shared" ref="F93:F95" si="39">G93-E93</f>
        <v>0</v>
      </c>
      <c r="G93" s="1348" t="s">
        <v>743</v>
      </c>
      <c r="H93" s="1769">
        <v>348445.3</v>
      </c>
      <c r="I93" s="1772">
        <f t="shared" si="34"/>
        <v>1.0158755102040815</v>
      </c>
      <c r="J93" s="1308">
        <v>0</v>
      </c>
      <c r="K93" s="1308">
        <v>0</v>
      </c>
      <c r="L93" s="1308">
        <v>0</v>
      </c>
    </row>
    <row r="94" spans="1:12" s="1340" customFormat="1" ht="45" x14ac:dyDescent="0.2">
      <c r="A94" s="1342"/>
      <c r="B94" s="1342"/>
      <c r="C94" s="1352" t="s">
        <v>650</v>
      </c>
      <c r="D94" s="1353" t="s">
        <v>651</v>
      </c>
      <c r="E94" s="1345">
        <v>0</v>
      </c>
      <c r="F94" s="1345">
        <v>0</v>
      </c>
      <c r="G94" s="1348">
        <v>0</v>
      </c>
      <c r="H94" s="1769">
        <v>0</v>
      </c>
      <c r="I94" s="1772">
        <v>0</v>
      </c>
      <c r="J94" s="1308">
        <v>149664.29999999999</v>
      </c>
      <c r="K94" s="1308">
        <v>149664.29999999999</v>
      </c>
      <c r="L94" s="1308">
        <v>0</v>
      </c>
    </row>
    <row r="95" spans="1:12" s="1340" customFormat="1" x14ac:dyDescent="0.2">
      <c r="A95" s="1342"/>
      <c r="B95" s="1342"/>
      <c r="C95" s="1352" t="s">
        <v>107</v>
      </c>
      <c r="D95" s="1304" t="s">
        <v>591</v>
      </c>
      <c r="E95" s="1345">
        <v>0</v>
      </c>
      <c r="F95" s="1345">
        <f t="shared" si="39"/>
        <v>0</v>
      </c>
      <c r="G95" s="1348">
        <v>0</v>
      </c>
      <c r="H95" s="1769">
        <v>2000</v>
      </c>
      <c r="I95" s="1772">
        <v>0</v>
      </c>
      <c r="J95" s="1308">
        <v>0</v>
      </c>
      <c r="K95" s="1308">
        <v>0</v>
      </c>
      <c r="L95" s="1308">
        <v>0</v>
      </c>
    </row>
    <row r="96" spans="1:12" s="1340" customFormat="1" ht="22.5" x14ac:dyDescent="0.2">
      <c r="A96" s="1776"/>
      <c r="B96" s="1342"/>
      <c r="C96" s="1352" t="s">
        <v>717</v>
      </c>
      <c r="D96" s="1304" t="s">
        <v>718</v>
      </c>
      <c r="E96" s="1345"/>
      <c r="F96" s="1345"/>
      <c r="G96" s="1348"/>
      <c r="H96" s="1775">
        <v>0</v>
      </c>
      <c r="I96" s="1772">
        <v>0</v>
      </c>
      <c r="J96" s="1308">
        <v>125136</v>
      </c>
      <c r="K96" s="1308">
        <v>0</v>
      </c>
      <c r="L96" s="1308">
        <v>0</v>
      </c>
    </row>
    <row r="97" spans="1:12" ht="22.5" x14ac:dyDescent="0.2">
      <c r="A97" s="1299"/>
      <c r="B97" s="1341" t="s">
        <v>744</v>
      </c>
      <c r="C97" s="1300"/>
      <c r="D97" s="1301" t="s">
        <v>745</v>
      </c>
      <c r="E97" s="1344">
        <f>E98+E99</f>
        <v>12887283</v>
      </c>
      <c r="F97" s="1344">
        <f t="shared" ref="F97:L97" si="40">F98+F99</f>
        <v>0</v>
      </c>
      <c r="G97" s="1661">
        <f t="shared" si="40"/>
        <v>12887283</v>
      </c>
      <c r="H97" s="1763">
        <f t="shared" si="40"/>
        <v>13313798.82</v>
      </c>
      <c r="I97" s="1773">
        <f t="shared" si="34"/>
        <v>1.0330958682291682</v>
      </c>
      <c r="J97" s="1777">
        <f t="shared" si="40"/>
        <v>0</v>
      </c>
      <c r="K97" s="1777">
        <f t="shared" si="40"/>
        <v>0</v>
      </c>
      <c r="L97" s="1777">
        <f t="shared" si="40"/>
        <v>1825</v>
      </c>
    </row>
    <row r="98" spans="1:12" ht="22.5" x14ac:dyDescent="0.2">
      <c r="A98" s="1302"/>
      <c r="B98" s="1342"/>
      <c r="C98" s="1303" t="s">
        <v>746</v>
      </c>
      <c r="D98" s="1304" t="s">
        <v>696</v>
      </c>
      <c r="E98" s="1345">
        <v>11387283</v>
      </c>
      <c r="F98" s="1345">
        <f>G98-E98</f>
        <v>0</v>
      </c>
      <c r="G98" s="1348" t="s">
        <v>747</v>
      </c>
      <c r="H98" s="1769">
        <v>12110930</v>
      </c>
      <c r="I98" s="1772">
        <f t="shared" si="34"/>
        <v>1.0635486972616734</v>
      </c>
      <c r="J98" s="1308">
        <v>0</v>
      </c>
      <c r="K98" s="1308">
        <v>0</v>
      </c>
      <c r="L98" s="1308">
        <v>1825</v>
      </c>
    </row>
    <row r="99" spans="1:12" ht="22.5" x14ac:dyDescent="0.2">
      <c r="A99" s="1302"/>
      <c r="B99" s="1342"/>
      <c r="C99" s="1303" t="s">
        <v>748</v>
      </c>
      <c r="D99" s="1304" t="s">
        <v>749</v>
      </c>
      <c r="E99" s="1345">
        <v>1500000</v>
      </c>
      <c r="F99" s="1345">
        <f>G99-E99</f>
        <v>0</v>
      </c>
      <c r="G99" s="1348" t="s">
        <v>750</v>
      </c>
      <c r="H99" s="1769">
        <v>1202868.82</v>
      </c>
      <c r="I99" s="1772">
        <f t="shared" si="34"/>
        <v>0.80191254666666667</v>
      </c>
      <c r="J99" s="1308">
        <v>0</v>
      </c>
      <c r="K99" s="1308">
        <v>0</v>
      </c>
      <c r="L99" s="1308">
        <v>0</v>
      </c>
    </row>
    <row r="100" spans="1:12" ht="24.75" customHeight="1" x14ac:dyDescent="0.2">
      <c r="A100" s="1334" t="s">
        <v>751</v>
      </c>
      <c r="B100" s="1334"/>
      <c r="C100" s="1334"/>
      <c r="D100" s="1667" t="s">
        <v>70</v>
      </c>
      <c r="E100" s="1668">
        <f>E101+E103+E105+E117</f>
        <v>19150527</v>
      </c>
      <c r="F100" s="1668">
        <f t="shared" ref="F100:L100" si="41">F101+F103+F105+F117</f>
        <v>145050.90000000002</v>
      </c>
      <c r="G100" s="1669">
        <f t="shared" si="41"/>
        <v>19295577.899999999</v>
      </c>
      <c r="H100" s="1765">
        <f t="shared" si="41"/>
        <v>19336458.870000001</v>
      </c>
      <c r="I100" s="1951">
        <f t="shared" si="34"/>
        <v>1.0021186704130796</v>
      </c>
      <c r="J100" s="1766">
        <f t="shared" si="41"/>
        <v>369.57</v>
      </c>
      <c r="K100" s="1766">
        <f t="shared" si="41"/>
        <v>0</v>
      </c>
      <c r="L100" s="1766">
        <f t="shared" si="41"/>
        <v>0</v>
      </c>
    </row>
    <row r="101" spans="1:12" ht="22.5" x14ac:dyDescent="0.2">
      <c r="A101" s="1299"/>
      <c r="B101" s="1341" t="s">
        <v>752</v>
      </c>
      <c r="C101" s="1300"/>
      <c r="D101" s="1301" t="s">
        <v>753</v>
      </c>
      <c r="E101" s="1344">
        <f>E102</f>
        <v>14116149</v>
      </c>
      <c r="F101" s="1344">
        <f t="shared" ref="F101:L101" si="42">F102</f>
        <v>-122006</v>
      </c>
      <c r="G101" s="1661" t="str">
        <f t="shared" si="42"/>
        <v>13 994 143,00</v>
      </c>
      <c r="H101" s="1763">
        <f t="shared" si="42"/>
        <v>13994143</v>
      </c>
      <c r="I101" s="1773">
        <f t="shared" si="34"/>
        <v>1</v>
      </c>
      <c r="J101" s="1764">
        <f t="shared" si="42"/>
        <v>0</v>
      </c>
      <c r="K101" s="1764">
        <f t="shared" si="42"/>
        <v>0</v>
      </c>
      <c r="L101" s="1764">
        <f t="shared" si="42"/>
        <v>0</v>
      </c>
    </row>
    <row r="102" spans="1:12" x14ac:dyDescent="0.2">
      <c r="A102" s="1302"/>
      <c r="B102" s="1342"/>
      <c r="C102" s="1303" t="s">
        <v>755</v>
      </c>
      <c r="D102" s="1304" t="s">
        <v>756</v>
      </c>
      <c r="E102" s="1345">
        <v>14116149</v>
      </c>
      <c r="F102" s="1345">
        <f>G102-E102</f>
        <v>-122006</v>
      </c>
      <c r="G102" s="1348" t="s">
        <v>754</v>
      </c>
      <c r="H102" s="1769">
        <v>13994143</v>
      </c>
      <c r="I102" s="1772">
        <f t="shared" si="34"/>
        <v>1</v>
      </c>
      <c r="J102" s="1308">
        <v>0</v>
      </c>
      <c r="K102" s="1308">
        <v>0</v>
      </c>
      <c r="L102" s="1308">
        <v>0</v>
      </c>
    </row>
    <row r="103" spans="1:12" ht="22.5" x14ac:dyDescent="0.2">
      <c r="A103" s="1299"/>
      <c r="B103" s="1341" t="s">
        <v>757</v>
      </c>
      <c r="C103" s="1300"/>
      <c r="D103" s="1301" t="s">
        <v>758</v>
      </c>
      <c r="E103" s="1344">
        <f>E104</f>
        <v>4751658</v>
      </c>
      <c r="F103" s="1344">
        <f t="shared" ref="F103:L103" si="43">F104</f>
        <v>0</v>
      </c>
      <c r="G103" s="1661" t="str">
        <f t="shared" si="43"/>
        <v>4 751 658,00</v>
      </c>
      <c r="H103" s="1763">
        <f t="shared" si="43"/>
        <v>4751658</v>
      </c>
      <c r="I103" s="1773">
        <f t="shared" si="34"/>
        <v>1</v>
      </c>
      <c r="J103" s="1764">
        <f t="shared" si="43"/>
        <v>0</v>
      </c>
      <c r="K103" s="1764">
        <f t="shared" si="43"/>
        <v>0</v>
      </c>
      <c r="L103" s="1764">
        <f t="shared" si="43"/>
        <v>0</v>
      </c>
    </row>
    <row r="104" spans="1:12" x14ac:dyDescent="0.2">
      <c r="A104" s="1302"/>
      <c r="B104" s="1342"/>
      <c r="C104" s="1303" t="s">
        <v>755</v>
      </c>
      <c r="D104" s="1304" t="s">
        <v>756</v>
      </c>
      <c r="E104" s="1345">
        <v>4751658</v>
      </c>
      <c r="F104" s="1345">
        <f>G104-E104</f>
        <v>0</v>
      </c>
      <c r="G104" s="1348" t="s">
        <v>759</v>
      </c>
      <c r="H104" s="1769">
        <v>4751658</v>
      </c>
      <c r="I104" s="1772">
        <f t="shared" si="34"/>
        <v>1</v>
      </c>
      <c r="J104" s="1308">
        <v>0</v>
      </c>
      <c r="K104" s="1308">
        <v>0</v>
      </c>
      <c r="L104" s="1308">
        <v>0</v>
      </c>
    </row>
    <row r="105" spans="1:12" ht="15" x14ac:dyDescent="0.2">
      <c r="A105" s="1299"/>
      <c r="B105" s="1341" t="s">
        <v>760</v>
      </c>
      <c r="C105" s="1300"/>
      <c r="D105" s="1301" t="s">
        <v>27</v>
      </c>
      <c r="E105" s="1344">
        <f>E106+E107+E108+E109+E110+E111+E112+E113+E114+E115+E116</f>
        <v>55000</v>
      </c>
      <c r="F105" s="1344">
        <f t="shared" ref="F105:L105" si="44">F106+F107+F108+F109+F110+F111+F112+F113+F114+F115+F116</f>
        <v>267056.90000000002</v>
      </c>
      <c r="G105" s="1661">
        <f t="shared" si="44"/>
        <v>322056.90000000002</v>
      </c>
      <c r="H105" s="1763">
        <f t="shared" si="44"/>
        <v>362937.87</v>
      </c>
      <c r="I105" s="1773">
        <f t="shared" si="34"/>
        <v>1.1269371033503706</v>
      </c>
      <c r="J105" s="1764">
        <f t="shared" si="44"/>
        <v>369.57</v>
      </c>
      <c r="K105" s="1764">
        <f t="shared" si="44"/>
        <v>0</v>
      </c>
      <c r="L105" s="1764">
        <f t="shared" si="44"/>
        <v>0</v>
      </c>
    </row>
    <row r="106" spans="1:12" s="1359" customFormat="1" ht="33.75" x14ac:dyDescent="0.2">
      <c r="A106" s="1357"/>
      <c r="B106" s="1358"/>
      <c r="C106" s="1360" t="s">
        <v>1533</v>
      </c>
      <c r="D106" s="1361" t="s">
        <v>1534</v>
      </c>
      <c r="E106" s="1362">
        <v>0</v>
      </c>
      <c r="F106" s="1362">
        <f>G106-E106</f>
        <v>0</v>
      </c>
      <c r="G106" s="1363">
        <v>0</v>
      </c>
      <c r="H106" s="1770">
        <v>3000</v>
      </c>
      <c r="I106" s="1772">
        <v>0</v>
      </c>
      <c r="J106" s="1771">
        <v>0</v>
      </c>
      <c r="K106" s="1771">
        <v>0</v>
      </c>
      <c r="L106" s="1771">
        <v>0</v>
      </c>
    </row>
    <row r="107" spans="1:12" s="1359" customFormat="1" ht="33.75" x14ac:dyDescent="0.2">
      <c r="A107" s="1357"/>
      <c r="B107" s="1358"/>
      <c r="C107" s="1360" t="s">
        <v>1535</v>
      </c>
      <c r="D107" s="1361" t="s">
        <v>1536</v>
      </c>
      <c r="E107" s="1362">
        <v>0</v>
      </c>
      <c r="F107" s="1362">
        <f t="shared" ref="F107:F116" si="45">G107-E107</f>
        <v>0</v>
      </c>
      <c r="G107" s="1363">
        <v>0</v>
      </c>
      <c r="H107" s="1770">
        <v>709</v>
      </c>
      <c r="I107" s="1772">
        <v>0</v>
      </c>
      <c r="J107" s="1771">
        <v>0</v>
      </c>
      <c r="K107" s="1771">
        <v>0</v>
      </c>
      <c r="L107" s="1771">
        <v>0</v>
      </c>
    </row>
    <row r="108" spans="1:12" s="1359" customFormat="1" ht="15" x14ac:dyDescent="0.2">
      <c r="A108" s="1357"/>
      <c r="B108" s="1358"/>
      <c r="C108" s="1360" t="s">
        <v>60</v>
      </c>
      <c r="D108" s="1353" t="s">
        <v>61</v>
      </c>
      <c r="E108" s="1362">
        <v>0</v>
      </c>
      <c r="F108" s="1362">
        <f t="shared" si="45"/>
        <v>0</v>
      </c>
      <c r="G108" s="1363">
        <v>0</v>
      </c>
      <c r="H108" s="1770">
        <v>6.6</v>
      </c>
      <c r="I108" s="1772">
        <v>0</v>
      </c>
      <c r="J108" s="1771">
        <v>0</v>
      </c>
      <c r="K108" s="1771">
        <v>0</v>
      </c>
      <c r="L108" s="1771">
        <v>0</v>
      </c>
    </row>
    <row r="109" spans="1:12" x14ac:dyDescent="0.2">
      <c r="A109" s="1302"/>
      <c r="B109" s="1342"/>
      <c r="C109" s="1303" t="s">
        <v>62</v>
      </c>
      <c r="D109" s="1304" t="s">
        <v>63</v>
      </c>
      <c r="E109" s="1345">
        <v>55000</v>
      </c>
      <c r="F109" s="1362">
        <f t="shared" si="45"/>
        <v>24000</v>
      </c>
      <c r="G109" s="1348" t="s">
        <v>761</v>
      </c>
      <c r="H109" s="1769">
        <v>101690.45</v>
      </c>
      <c r="I109" s="1772">
        <f t="shared" si="34"/>
        <v>1.2872208860759493</v>
      </c>
      <c r="J109" s="1308">
        <v>0</v>
      </c>
      <c r="K109" s="1308">
        <v>0</v>
      </c>
      <c r="L109" s="1308">
        <v>0</v>
      </c>
    </row>
    <row r="110" spans="1:12" ht="22.5" x14ac:dyDescent="0.2">
      <c r="A110" s="1302"/>
      <c r="B110" s="1342"/>
      <c r="C110" s="1303" t="s">
        <v>762</v>
      </c>
      <c r="D110" s="1304" t="s">
        <v>763</v>
      </c>
      <c r="E110" s="1345">
        <v>0</v>
      </c>
      <c r="F110" s="1362">
        <f t="shared" si="45"/>
        <v>8558.83</v>
      </c>
      <c r="G110" s="1348" t="s">
        <v>764</v>
      </c>
      <c r="H110" s="1769">
        <v>13492.36</v>
      </c>
      <c r="I110" s="1772">
        <f t="shared" si="34"/>
        <v>1.5764257497812202</v>
      </c>
      <c r="J110" s="1308">
        <v>369.57</v>
      </c>
      <c r="K110" s="1308">
        <v>0</v>
      </c>
      <c r="L110" s="1308">
        <v>0</v>
      </c>
    </row>
    <row r="111" spans="1:12" s="1340" customFormat="1" x14ac:dyDescent="0.2">
      <c r="A111" s="1342"/>
      <c r="B111" s="1342"/>
      <c r="C111" s="1352" t="s">
        <v>64</v>
      </c>
      <c r="D111" s="1353" t="s">
        <v>65</v>
      </c>
      <c r="E111" s="1345">
        <v>0</v>
      </c>
      <c r="F111" s="1362">
        <f t="shared" si="45"/>
        <v>0</v>
      </c>
      <c r="G111" s="1348">
        <v>0</v>
      </c>
      <c r="H111" s="1769">
        <v>17503.099999999999</v>
      </c>
      <c r="I111" s="1772">
        <v>0</v>
      </c>
      <c r="J111" s="1308">
        <v>0</v>
      </c>
      <c r="K111" s="1308">
        <v>0</v>
      </c>
      <c r="L111" s="1308">
        <v>0</v>
      </c>
    </row>
    <row r="112" spans="1:12" ht="67.5" x14ac:dyDescent="0.2">
      <c r="A112" s="1302"/>
      <c r="B112" s="1342"/>
      <c r="C112" s="1303" t="s">
        <v>640</v>
      </c>
      <c r="D112" s="1304" t="s">
        <v>641</v>
      </c>
      <c r="E112" s="1345">
        <v>0</v>
      </c>
      <c r="F112" s="1362">
        <f t="shared" si="45"/>
        <v>7961.71</v>
      </c>
      <c r="G112" s="1348" t="s">
        <v>765</v>
      </c>
      <c r="H112" s="1769">
        <v>0</v>
      </c>
      <c r="I112" s="1772">
        <f t="shared" si="34"/>
        <v>0</v>
      </c>
      <c r="J112" s="1308">
        <v>0</v>
      </c>
      <c r="K112" s="1308">
        <v>0</v>
      </c>
      <c r="L112" s="1308">
        <v>0</v>
      </c>
    </row>
    <row r="113" spans="1:12" ht="45" x14ac:dyDescent="0.2">
      <c r="A113" s="1302"/>
      <c r="B113" s="1342"/>
      <c r="C113" s="1303" t="s">
        <v>766</v>
      </c>
      <c r="D113" s="1304" t="s">
        <v>767</v>
      </c>
      <c r="E113" s="1345">
        <v>0</v>
      </c>
      <c r="F113" s="1362">
        <f t="shared" si="45"/>
        <v>82548.56</v>
      </c>
      <c r="G113" s="1348" t="s">
        <v>768</v>
      </c>
      <c r="H113" s="1769">
        <v>82548.56</v>
      </c>
      <c r="I113" s="1772">
        <f t="shared" si="34"/>
        <v>1</v>
      </c>
      <c r="J113" s="1308">
        <v>0</v>
      </c>
      <c r="K113" s="1308">
        <v>0</v>
      </c>
      <c r="L113" s="1308">
        <v>0</v>
      </c>
    </row>
    <row r="114" spans="1:12" ht="45" x14ac:dyDescent="0.2">
      <c r="A114" s="1302"/>
      <c r="B114" s="1342"/>
      <c r="C114" s="1303" t="s">
        <v>769</v>
      </c>
      <c r="D114" s="1304" t="s">
        <v>770</v>
      </c>
      <c r="E114" s="1345">
        <v>0</v>
      </c>
      <c r="F114" s="1362">
        <f t="shared" si="45"/>
        <v>57998.1</v>
      </c>
      <c r="G114" s="1348" t="s">
        <v>771</v>
      </c>
      <c r="H114" s="1769">
        <v>57998.1</v>
      </c>
      <c r="I114" s="1772">
        <f t="shared" si="34"/>
        <v>1</v>
      </c>
      <c r="J114" s="1308">
        <v>0</v>
      </c>
      <c r="K114" s="1308">
        <v>0</v>
      </c>
      <c r="L114" s="1308">
        <v>0</v>
      </c>
    </row>
    <row r="115" spans="1:12" ht="56.25" x14ac:dyDescent="0.2">
      <c r="A115" s="1302"/>
      <c r="B115" s="1342"/>
      <c r="C115" s="1303" t="s">
        <v>772</v>
      </c>
      <c r="D115" s="1304" t="s">
        <v>773</v>
      </c>
      <c r="E115" s="1345">
        <v>0</v>
      </c>
      <c r="F115" s="1362">
        <f t="shared" si="45"/>
        <v>8200.9500000000007</v>
      </c>
      <c r="G115" s="1348" t="s">
        <v>774</v>
      </c>
      <c r="H115" s="1769">
        <v>8200.9500000000007</v>
      </c>
      <c r="I115" s="1772">
        <f t="shared" si="34"/>
        <v>1</v>
      </c>
      <c r="J115" s="1308">
        <v>0</v>
      </c>
      <c r="K115" s="1308">
        <v>0</v>
      </c>
      <c r="L115" s="1308">
        <v>0</v>
      </c>
    </row>
    <row r="116" spans="1:12" ht="45" x14ac:dyDescent="0.2">
      <c r="A116" s="1302"/>
      <c r="B116" s="1342"/>
      <c r="C116" s="1303" t="s">
        <v>775</v>
      </c>
      <c r="D116" s="1304" t="s">
        <v>770</v>
      </c>
      <c r="E116" s="1345">
        <v>0</v>
      </c>
      <c r="F116" s="1362">
        <f t="shared" si="45"/>
        <v>77788.75</v>
      </c>
      <c r="G116" s="1348" t="s">
        <v>776</v>
      </c>
      <c r="H116" s="1769">
        <v>77788.75</v>
      </c>
      <c r="I116" s="1772">
        <f t="shared" si="34"/>
        <v>1</v>
      </c>
      <c r="J116" s="1308">
        <v>0</v>
      </c>
      <c r="K116" s="1308">
        <v>0</v>
      </c>
      <c r="L116" s="1308">
        <v>0</v>
      </c>
    </row>
    <row r="117" spans="1:12" ht="22.5" x14ac:dyDescent="0.2">
      <c r="A117" s="1299"/>
      <c r="B117" s="1341" t="s">
        <v>777</v>
      </c>
      <c r="C117" s="1300"/>
      <c r="D117" s="1301" t="s">
        <v>778</v>
      </c>
      <c r="E117" s="1344">
        <f>E118</f>
        <v>227720</v>
      </c>
      <c r="F117" s="1344">
        <f t="shared" ref="F117:L117" si="46">F118</f>
        <v>0</v>
      </c>
      <c r="G117" s="1661" t="str">
        <f t="shared" si="46"/>
        <v>227 720,00</v>
      </c>
      <c r="H117" s="1781">
        <f t="shared" si="46"/>
        <v>227720</v>
      </c>
      <c r="I117" s="1773">
        <f t="shared" si="34"/>
        <v>1</v>
      </c>
      <c r="J117" s="1764">
        <f t="shared" si="46"/>
        <v>0</v>
      </c>
      <c r="K117" s="1764">
        <f t="shared" si="46"/>
        <v>0</v>
      </c>
      <c r="L117" s="1764">
        <f t="shared" si="46"/>
        <v>0</v>
      </c>
    </row>
    <row r="118" spans="1:12" x14ac:dyDescent="0.2">
      <c r="A118" s="1302"/>
      <c r="B118" s="1342"/>
      <c r="C118" s="1303" t="s">
        <v>755</v>
      </c>
      <c r="D118" s="1304" t="s">
        <v>756</v>
      </c>
      <c r="E118" s="1345">
        <v>227720</v>
      </c>
      <c r="F118" s="1345">
        <f>G118-E118</f>
        <v>0</v>
      </c>
      <c r="G118" s="1348" t="s">
        <v>779</v>
      </c>
      <c r="H118" s="1769">
        <v>227720</v>
      </c>
      <c r="I118" s="1772">
        <f t="shared" si="34"/>
        <v>1</v>
      </c>
      <c r="J118" s="1308">
        <v>0</v>
      </c>
      <c r="K118" s="1308">
        <v>0</v>
      </c>
      <c r="L118" s="1308">
        <v>0</v>
      </c>
    </row>
    <row r="119" spans="1:12" ht="27.75" customHeight="1" x14ac:dyDescent="0.2">
      <c r="A119" s="1334" t="s">
        <v>218</v>
      </c>
      <c r="B119" s="1334"/>
      <c r="C119" s="1334"/>
      <c r="D119" s="1667" t="s">
        <v>33</v>
      </c>
      <c r="E119" s="1668">
        <f>E120+E126+E129+E138+E140+E143+E145+E136</f>
        <v>1994510.6</v>
      </c>
      <c r="F119" s="1668">
        <f>F120+F126+F129+F138+F140+F143+F145+F136</f>
        <v>-24952.219999999972</v>
      </c>
      <c r="G119" s="1668">
        <f>G120+G126+G129+G138+G140+G143+G145+G136</f>
        <v>1969558.3800000001</v>
      </c>
      <c r="H119" s="1668">
        <f>H120+H126+H129+H138+H140+H143+H145+H136</f>
        <v>2246406.67</v>
      </c>
      <c r="I119" s="1801">
        <f>H119/G119</f>
        <v>1.140563637418049</v>
      </c>
      <c r="J119" s="1668">
        <f>J120+J126+J129+J138+J140+J143+J145+J136</f>
        <v>11714.67</v>
      </c>
      <c r="K119" s="1668">
        <f>K120+K126+K129+K138+K140+K143+K145+K136</f>
        <v>1866.13</v>
      </c>
      <c r="L119" s="1668">
        <f>L120+L126+L129+L138+L140+L143+L145+L136</f>
        <v>0</v>
      </c>
    </row>
    <row r="120" spans="1:12" ht="15" x14ac:dyDescent="0.2">
      <c r="A120" s="1299"/>
      <c r="B120" s="1341" t="s">
        <v>219</v>
      </c>
      <c r="C120" s="1300"/>
      <c r="D120" s="1301" t="s">
        <v>77</v>
      </c>
      <c r="E120" s="1344">
        <f>E122+E123+E124+E125+E121</f>
        <v>15000</v>
      </c>
      <c r="F120" s="1344">
        <f t="shared" ref="F120:H120" si="47">F122+F123+F124+F125+F121</f>
        <v>100776.81</v>
      </c>
      <c r="G120" s="1661">
        <f t="shared" si="47"/>
        <v>115776.81</v>
      </c>
      <c r="H120" s="1664">
        <f t="shared" si="47"/>
        <v>121989.97</v>
      </c>
      <c r="I120" s="1773">
        <f t="shared" si="34"/>
        <v>1.0536649783320167</v>
      </c>
      <c r="J120" s="1779">
        <f>J122+J123+J124+J125+J121</f>
        <v>1866.13</v>
      </c>
      <c r="K120" s="1779">
        <f t="shared" ref="K120:L120" si="48">K122+K123+K124+K125+K121</f>
        <v>1866.13</v>
      </c>
      <c r="L120" s="1779">
        <f t="shared" si="48"/>
        <v>0</v>
      </c>
    </row>
    <row r="121" spans="1:12" s="1359" customFormat="1" ht="33.75" x14ac:dyDescent="0.2">
      <c r="A121" s="1357"/>
      <c r="B121" s="1358"/>
      <c r="C121" s="1782" t="s">
        <v>678</v>
      </c>
      <c r="D121" s="1304" t="s">
        <v>679</v>
      </c>
      <c r="E121" s="1362">
        <v>0</v>
      </c>
      <c r="F121" s="1362">
        <v>0</v>
      </c>
      <c r="G121" s="1363">
        <v>0</v>
      </c>
      <c r="H121" s="1778">
        <v>0</v>
      </c>
      <c r="I121" s="1772">
        <v>0</v>
      </c>
      <c r="J121" s="1780">
        <v>1266.5</v>
      </c>
      <c r="K121" s="1780">
        <v>1266.5</v>
      </c>
      <c r="L121" s="1780">
        <v>0</v>
      </c>
    </row>
    <row r="122" spans="1:12" ht="78.75" x14ac:dyDescent="0.2">
      <c r="A122" s="1302"/>
      <c r="B122" s="1342"/>
      <c r="C122" s="1303" t="s">
        <v>637</v>
      </c>
      <c r="D122" s="1304" t="s">
        <v>638</v>
      </c>
      <c r="E122" s="1345">
        <v>15000</v>
      </c>
      <c r="F122" s="1345">
        <f>G122-E122</f>
        <v>16000</v>
      </c>
      <c r="G122" s="1348" t="s">
        <v>652</v>
      </c>
      <c r="H122" s="1769">
        <v>36675.21</v>
      </c>
      <c r="I122" s="1772">
        <f t="shared" si="34"/>
        <v>1.1830712903225806</v>
      </c>
      <c r="J122" s="1308">
        <v>599.63</v>
      </c>
      <c r="K122" s="1308">
        <v>599.63</v>
      </c>
      <c r="L122" s="1308">
        <v>0</v>
      </c>
    </row>
    <row r="123" spans="1:12" x14ac:dyDescent="0.2">
      <c r="A123" s="1302"/>
      <c r="B123" s="1342"/>
      <c r="C123" s="1303" t="s">
        <v>62</v>
      </c>
      <c r="D123" s="1304" t="s">
        <v>63</v>
      </c>
      <c r="E123" s="1345">
        <v>0</v>
      </c>
      <c r="F123" s="1345">
        <f t="shared" ref="F123:F125" si="49">G123-E123</f>
        <v>0</v>
      </c>
      <c r="G123" s="1348" t="s">
        <v>636</v>
      </c>
      <c r="H123" s="1769">
        <v>0</v>
      </c>
      <c r="I123" s="1772">
        <v>0</v>
      </c>
      <c r="J123" s="1308">
        <v>0</v>
      </c>
      <c r="K123" s="1308">
        <v>0</v>
      </c>
      <c r="L123" s="1308">
        <v>0</v>
      </c>
    </row>
    <row r="124" spans="1:12" x14ac:dyDescent="0.2">
      <c r="A124" s="1302"/>
      <c r="B124" s="1342"/>
      <c r="C124" s="1303" t="s">
        <v>64</v>
      </c>
      <c r="D124" s="1304" t="s">
        <v>65</v>
      </c>
      <c r="E124" s="1345">
        <v>0</v>
      </c>
      <c r="F124" s="1345">
        <f t="shared" si="49"/>
        <v>776.81</v>
      </c>
      <c r="G124" s="1348" t="s">
        <v>780</v>
      </c>
      <c r="H124" s="1769">
        <v>1314.76</v>
      </c>
      <c r="I124" s="1772">
        <f t="shared" si="34"/>
        <v>1.6925116823933781</v>
      </c>
      <c r="J124" s="1308">
        <v>0</v>
      </c>
      <c r="K124" s="1308">
        <v>0</v>
      </c>
      <c r="L124" s="1308">
        <v>0</v>
      </c>
    </row>
    <row r="125" spans="1:12" ht="45" x14ac:dyDescent="0.2">
      <c r="A125" s="1302"/>
      <c r="B125" s="1342"/>
      <c r="C125" s="1303" t="s">
        <v>766</v>
      </c>
      <c r="D125" s="1304" t="s">
        <v>767</v>
      </c>
      <c r="E125" s="1345">
        <v>0</v>
      </c>
      <c r="F125" s="1345">
        <f t="shared" si="49"/>
        <v>84000</v>
      </c>
      <c r="G125" s="1348" t="s">
        <v>781</v>
      </c>
      <c r="H125" s="1769">
        <v>84000</v>
      </c>
      <c r="I125" s="1772">
        <f t="shared" si="34"/>
        <v>1</v>
      </c>
      <c r="J125" s="1308">
        <v>0</v>
      </c>
      <c r="K125" s="1308">
        <v>0</v>
      </c>
      <c r="L125" s="1308">
        <v>0</v>
      </c>
    </row>
    <row r="126" spans="1:12" ht="22.5" x14ac:dyDescent="0.2">
      <c r="A126" s="1299"/>
      <c r="B126" s="1341" t="s">
        <v>782</v>
      </c>
      <c r="C126" s="1300"/>
      <c r="D126" s="1301" t="s">
        <v>783</v>
      </c>
      <c r="E126" s="1344">
        <f>E127+E128</f>
        <v>96830</v>
      </c>
      <c r="F126" s="1344">
        <f t="shared" ref="F126:L126" si="50">F127+F128</f>
        <v>-16000</v>
      </c>
      <c r="G126" s="1661">
        <f t="shared" si="50"/>
        <v>80830</v>
      </c>
      <c r="H126" s="1763">
        <f t="shared" si="50"/>
        <v>80830</v>
      </c>
      <c r="I126" s="1773">
        <f t="shared" si="34"/>
        <v>1</v>
      </c>
      <c r="J126" s="1764">
        <f t="shared" si="50"/>
        <v>0</v>
      </c>
      <c r="K126" s="1764">
        <f t="shared" si="50"/>
        <v>0</v>
      </c>
      <c r="L126" s="1764">
        <f t="shared" si="50"/>
        <v>0</v>
      </c>
    </row>
    <row r="127" spans="1:12" x14ac:dyDescent="0.2">
      <c r="A127" s="1302"/>
      <c r="B127" s="1342"/>
      <c r="C127" s="1303" t="s">
        <v>60</v>
      </c>
      <c r="D127" s="1304" t="s">
        <v>61</v>
      </c>
      <c r="E127" s="1345">
        <v>16000</v>
      </c>
      <c r="F127" s="1345">
        <f>G127-E127</f>
        <v>-16000</v>
      </c>
      <c r="G127" s="1348" t="s">
        <v>636</v>
      </c>
      <c r="H127" s="1769">
        <v>0</v>
      </c>
      <c r="I127" s="1772">
        <v>0</v>
      </c>
      <c r="J127" s="1308">
        <v>0</v>
      </c>
      <c r="K127" s="1308">
        <v>0</v>
      </c>
      <c r="L127" s="1308">
        <v>0</v>
      </c>
    </row>
    <row r="128" spans="1:12" ht="45" x14ac:dyDescent="0.2">
      <c r="A128" s="1302"/>
      <c r="B128" s="1342"/>
      <c r="C128" s="1303" t="s">
        <v>766</v>
      </c>
      <c r="D128" s="1304" t="s">
        <v>767</v>
      </c>
      <c r="E128" s="1345">
        <v>80830</v>
      </c>
      <c r="F128" s="1345">
        <f>G128-E128</f>
        <v>0</v>
      </c>
      <c r="G128" s="1348" t="s">
        <v>784</v>
      </c>
      <c r="H128" s="1769">
        <v>80830</v>
      </c>
      <c r="I128" s="1772">
        <f t="shared" si="34"/>
        <v>1</v>
      </c>
      <c r="J128" s="1308">
        <v>0</v>
      </c>
      <c r="K128" s="1308">
        <v>0</v>
      </c>
      <c r="L128" s="1308">
        <v>0</v>
      </c>
    </row>
    <row r="129" spans="1:12" ht="15" x14ac:dyDescent="0.2">
      <c r="A129" s="1299"/>
      <c r="B129" s="1341" t="s">
        <v>427</v>
      </c>
      <c r="C129" s="1300"/>
      <c r="D129" s="1301" t="s">
        <v>785</v>
      </c>
      <c r="E129" s="1344">
        <f>E130+E131+E132+E133+E134+E135</f>
        <v>1044120</v>
      </c>
      <c r="F129" s="1344">
        <f t="shared" ref="F129:L129" si="51">F130+F131+F132+F133+F134+F135</f>
        <v>12500</v>
      </c>
      <c r="G129" s="1661">
        <f t="shared" si="51"/>
        <v>1056620</v>
      </c>
      <c r="H129" s="1763">
        <f t="shared" si="51"/>
        <v>958662.91</v>
      </c>
      <c r="I129" s="1773">
        <f t="shared" si="34"/>
        <v>0.90729203497946287</v>
      </c>
      <c r="J129" s="1764">
        <f t="shared" si="51"/>
        <v>0.1</v>
      </c>
      <c r="K129" s="1764">
        <f t="shared" si="51"/>
        <v>0</v>
      </c>
      <c r="L129" s="1764">
        <f t="shared" si="51"/>
        <v>0</v>
      </c>
    </row>
    <row r="130" spans="1:12" ht="22.5" x14ac:dyDescent="0.2">
      <c r="A130" s="1302"/>
      <c r="B130" s="1342"/>
      <c r="C130" s="1303" t="s">
        <v>786</v>
      </c>
      <c r="D130" s="1304" t="s">
        <v>787</v>
      </c>
      <c r="E130" s="1345">
        <v>110800</v>
      </c>
      <c r="F130" s="1345">
        <f>G130-E130</f>
        <v>0</v>
      </c>
      <c r="G130" s="1348" t="s">
        <v>788</v>
      </c>
      <c r="H130" s="1769">
        <v>84172</v>
      </c>
      <c r="I130" s="1772">
        <f t="shared" si="34"/>
        <v>0.75967509025270763</v>
      </c>
      <c r="J130" s="1308">
        <v>0</v>
      </c>
      <c r="K130" s="1308">
        <v>0</v>
      </c>
      <c r="L130" s="1308">
        <v>0</v>
      </c>
    </row>
    <row r="131" spans="1:12" ht="45" x14ac:dyDescent="0.2">
      <c r="A131" s="1302"/>
      <c r="B131" s="1342"/>
      <c r="C131" s="1303" t="s">
        <v>789</v>
      </c>
      <c r="D131" s="1304" t="s">
        <v>790</v>
      </c>
      <c r="E131" s="1345">
        <v>422290</v>
      </c>
      <c r="F131" s="1345">
        <f t="shared" ref="F131:F135" si="52">G131-E131</f>
        <v>0</v>
      </c>
      <c r="G131" s="1348" t="s">
        <v>791</v>
      </c>
      <c r="H131" s="1769">
        <v>353955.5</v>
      </c>
      <c r="I131" s="1772">
        <f t="shared" si="34"/>
        <v>0.83818110776954224</v>
      </c>
      <c r="J131" s="1308">
        <v>0</v>
      </c>
      <c r="K131" s="1308">
        <v>0</v>
      </c>
      <c r="L131" s="1308">
        <v>0</v>
      </c>
    </row>
    <row r="132" spans="1:12" ht="78.75" x14ac:dyDescent="0.2">
      <c r="A132" s="1302"/>
      <c r="B132" s="1342"/>
      <c r="C132" s="1303" t="s">
        <v>637</v>
      </c>
      <c r="D132" s="1304" t="s">
        <v>638</v>
      </c>
      <c r="E132" s="1345">
        <v>8790</v>
      </c>
      <c r="F132" s="1345">
        <f t="shared" si="52"/>
        <v>0</v>
      </c>
      <c r="G132" s="1348" t="s">
        <v>792</v>
      </c>
      <c r="H132" s="1769">
        <v>4470.38</v>
      </c>
      <c r="I132" s="1772">
        <f t="shared" si="34"/>
        <v>0.50857565415244599</v>
      </c>
      <c r="J132" s="1308">
        <v>0.1</v>
      </c>
      <c r="K132" s="1308">
        <v>0</v>
      </c>
      <c r="L132" s="1308">
        <v>0</v>
      </c>
    </row>
    <row r="133" spans="1:12" x14ac:dyDescent="0.2">
      <c r="A133" s="1302"/>
      <c r="B133" s="1342"/>
      <c r="C133" s="1303" t="s">
        <v>64</v>
      </c>
      <c r="D133" s="1304" t="s">
        <v>65</v>
      </c>
      <c r="E133" s="1345">
        <v>0</v>
      </c>
      <c r="F133" s="1345">
        <f t="shared" si="52"/>
        <v>1500</v>
      </c>
      <c r="G133" s="1348" t="s">
        <v>793</v>
      </c>
      <c r="H133" s="1769">
        <v>2857.91</v>
      </c>
      <c r="I133" s="1772">
        <f t="shared" si="34"/>
        <v>1.9052733333333332</v>
      </c>
      <c r="J133" s="1308">
        <v>0</v>
      </c>
      <c r="K133" s="1308">
        <v>0</v>
      </c>
      <c r="L133" s="1308">
        <v>0</v>
      </c>
    </row>
    <row r="134" spans="1:12" ht="45" x14ac:dyDescent="0.2">
      <c r="A134" s="1302"/>
      <c r="B134" s="1342"/>
      <c r="C134" s="1303" t="s">
        <v>766</v>
      </c>
      <c r="D134" s="1304" t="s">
        <v>767</v>
      </c>
      <c r="E134" s="1345">
        <v>482240</v>
      </c>
      <c r="F134" s="1345">
        <f t="shared" si="52"/>
        <v>0</v>
      </c>
      <c r="G134" s="1348" t="s">
        <v>794</v>
      </c>
      <c r="H134" s="1769">
        <v>482240</v>
      </c>
      <c r="I134" s="1772">
        <f t="shared" si="34"/>
        <v>1</v>
      </c>
      <c r="J134" s="1308">
        <v>0</v>
      </c>
      <c r="K134" s="1308">
        <v>0</v>
      </c>
      <c r="L134" s="1308">
        <v>0</v>
      </c>
    </row>
    <row r="135" spans="1:12" ht="45" x14ac:dyDescent="0.2">
      <c r="A135" s="1302"/>
      <c r="B135" s="1342"/>
      <c r="C135" s="1303" t="s">
        <v>795</v>
      </c>
      <c r="D135" s="1304" t="s">
        <v>382</v>
      </c>
      <c r="E135" s="1790">
        <v>20000</v>
      </c>
      <c r="F135" s="1790">
        <f t="shared" si="52"/>
        <v>11000</v>
      </c>
      <c r="G135" s="1348" t="s">
        <v>652</v>
      </c>
      <c r="H135" s="1769">
        <v>30967.119999999999</v>
      </c>
      <c r="I135" s="1772">
        <f t="shared" si="34"/>
        <v>0.99893935483870966</v>
      </c>
      <c r="J135" s="1308">
        <v>0</v>
      </c>
      <c r="K135" s="1308">
        <v>0</v>
      </c>
      <c r="L135" s="1308">
        <v>0</v>
      </c>
    </row>
    <row r="136" spans="1:12" s="1340" customFormat="1" x14ac:dyDescent="0.2">
      <c r="A136" s="1783"/>
      <c r="B136" s="1786" t="s">
        <v>1149</v>
      </c>
      <c r="C136" s="1787"/>
      <c r="D136" s="1788" t="s">
        <v>306</v>
      </c>
      <c r="E136" s="1798">
        <f>E137</f>
        <v>0</v>
      </c>
      <c r="F136" s="1798">
        <f t="shared" ref="F136:H136" si="53">F137</f>
        <v>0</v>
      </c>
      <c r="G136" s="1789">
        <f t="shared" si="53"/>
        <v>0</v>
      </c>
      <c r="H136" s="1802">
        <f t="shared" si="53"/>
        <v>0</v>
      </c>
      <c r="I136" s="1773">
        <v>0</v>
      </c>
      <c r="J136" s="1799">
        <f>J137</f>
        <v>9848.44</v>
      </c>
      <c r="K136" s="1799">
        <f t="shared" ref="K136:L136" si="54">K137</f>
        <v>0</v>
      </c>
      <c r="L136" s="1799">
        <f t="shared" si="54"/>
        <v>0</v>
      </c>
    </row>
    <row r="137" spans="1:12" s="1340" customFormat="1" ht="67.5" x14ac:dyDescent="0.2">
      <c r="A137" s="1342"/>
      <c r="B137" s="1342"/>
      <c r="C137" s="1785" t="s">
        <v>821</v>
      </c>
      <c r="D137" s="1304" t="s">
        <v>822</v>
      </c>
      <c r="E137" s="1795">
        <v>0</v>
      </c>
      <c r="F137" s="1795">
        <v>0</v>
      </c>
      <c r="G137" s="1796">
        <v>0</v>
      </c>
      <c r="H137" s="1775">
        <v>0</v>
      </c>
      <c r="I137" s="1797">
        <v>0</v>
      </c>
      <c r="J137" s="1308">
        <v>9848.44</v>
      </c>
      <c r="K137" s="1308">
        <v>0</v>
      </c>
      <c r="L137" s="1308">
        <v>0</v>
      </c>
    </row>
    <row r="138" spans="1:12" s="1340" customFormat="1" ht="15" x14ac:dyDescent="0.2">
      <c r="A138" s="1342"/>
      <c r="B138" s="1364" t="s">
        <v>1165</v>
      </c>
      <c r="C138" s="1300"/>
      <c r="D138" s="1355" t="s">
        <v>1166</v>
      </c>
      <c r="E138" s="1344">
        <f>E139</f>
        <v>0</v>
      </c>
      <c r="F138" s="1344">
        <f t="shared" ref="F138:L138" si="55">F139</f>
        <v>0</v>
      </c>
      <c r="G138" s="1661">
        <f t="shared" si="55"/>
        <v>0</v>
      </c>
      <c r="H138" s="1763">
        <f t="shared" si="55"/>
        <v>15336.64</v>
      </c>
      <c r="I138" s="1773">
        <v>0</v>
      </c>
      <c r="J138" s="1764">
        <f t="shared" si="55"/>
        <v>0</v>
      </c>
      <c r="K138" s="1764">
        <f t="shared" si="55"/>
        <v>0</v>
      </c>
      <c r="L138" s="1764">
        <f t="shared" si="55"/>
        <v>0</v>
      </c>
    </row>
    <row r="139" spans="1:12" s="1340" customFormat="1" ht="33.75" x14ac:dyDescent="0.2">
      <c r="A139" s="1342"/>
      <c r="B139" s="1935"/>
      <c r="C139" s="1936" t="s">
        <v>1533</v>
      </c>
      <c r="D139" s="1937" t="s">
        <v>1534</v>
      </c>
      <c r="E139" s="1938">
        <v>0</v>
      </c>
      <c r="F139" s="1938">
        <f>G139-E139</f>
        <v>0</v>
      </c>
      <c r="G139" s="1939">
        <v>0</v>
      </c>
      <c r="H139" s="1769">
        <v>15336.64</v>
      </c>
      <c r="I139" s="1772">
        <v>0</v>
      </c>
      <c r="J139" s="1308">
        <v>0</v>
      </c>
      <c r="K139" s="1308">
        <v>0</v>
      </c>
      <c r="L139" s="1308">
        <v>0</v>
      </c>
    </row>
    <row r="140" spans="1:12" ht="15" x14ac:dyDescent="0.2">
      <c r="A140" s="1299"/>
      <c r="B140" s="1929" t="s">
        <v>226</v>
      </c>
      <c r="C140" s="1930"/>
      <c r="D140" s="1931" t="s">
        <v>796</v>
      </c>
      <c r="E140" s="1932">
        <f>E141+E142</f>
        <v>318000</v>
      </c>
      <c r="F140" s="1932">
        <f t="shared" ref="F140:L140" si="56">F141+F142</f>
        <v>-42000</v>
      </c>
      <c r="G140" s="1933">
        <f t="shared" si="56"/>
        <v>276000</v>
      </c>
      <c r="H140" s="1934">
        <f t="shared" si="56"/>
        <v>250901</v>
      </c>
      <c r="I140" s="1805">
        <f t="shared" si="34"/>
        <v>0.90906159420289856</v>
      </c>
      <c r="J140" s="1777">
        <f t="shared" si="56"/>
        <v>0</v>
      </c>
      <c r="K140" s="1777">
        <f t="shared" si="56"/>
        <v>0</v>
      </c>
      <c r="L140" s="1777">
        <f t="shared" si="56"/>
        <v>0</v>
      </c>
    </row>
    <row r="141" spans="1:12" x14ac:dyDescent="0.2">
      <c r="A141" s="1302"/>
      <c r="B141" s="1342"/>
      <c r="C141" s="1303" t="s">
        <v>60</v>
      </c>
      <c r="D141" s="1304" t="s">
        <v>61</v>
      </c>
      <c r="E141" s="1345">
        <v>300000</v>
      </c>
      <c r="F141" s="1345">
        <f>G141-E141</f>
        <v>-42000</v>
      </c>
      <c r="G141" s="1348" t="s">
        <v>797</v>
      </c>
      <c r="H141" s="1769">
        <v>232901</v>
      </c>
      <c r="I141" s="1772">
        <f t="shared" si="34"/>
        <v>0.90271705426356585</v>
      </c>
      <c r="J141" s="1308">
        <v>0</v>
      </c>
      <c r="K141" s="1308">
        <v>0</v>
      </c>
      <c r="L141" s="1308">
        <v>0</v>
      </c>
    </row>
    <row r="142" spans="1:12" ht="67.5" x14ac:dyDescent="0.2">
      <c r="A142" s="1302"/>
      <c r="B142" s="1342"/>
      <c r="C142" s="1303" t="s">
        <v>798</v>
      </c>
      <c r="D142" s="1304" t="s">
        <v>799</v>
      </c>
      <c r="E142" s="1345">
        <v>18000</v>
      </c>
      <c r="F142" s="1345">
        <f>G142-E142</f>
        <v>0</v>
      </c>
      <c r="G142" s="1348" t="s">
        <v>800</v>
      </c>
      <c r="H142" s="1769">
        <v>18000</v>
      </c>
      <c r="I142" s="1772">
        <f t="shared" si="34"/>
        <v>1</v>
      </c>
      <c r="J142" s="1308">
        <v>0</v>
      </c>
      <c r="K142" s="1308">
        <v>0</v>
      </c>
      <c r="L142" s="1308">
        <v>0</v>
      </c>
    </row>
    <row r="143" spans="1:12" ht="45" x14ac:dyDescent="0.2">
      <c r="A143" s="1299"/>
      <c r="B143" s="1341" t="s">
        <v>801</v>
      </c>
      <c r="C143" s="1300"/>
      <c r="D143" s="1301" t="s">
        <v>34</v>
      </c>
      <c r="E143" s="1344">
        <f>E144</f>
        <v>0</v>
      </c>
      <c r="F143" s="1344">
        <f t="shared" ref="F143:L143" si="57">F144</f>
        <v>209834.49</v>
      </c>
      <c r="G143" s="1661" t="str">
        <f t="shared" si="57"/>
        <v>209 834,49</v>
      </c>
      <c r="H143" s="1763">
        <f t="shared" si="57"/>
        <v>206948.81</v>
      </c>
      <c r="I143" s="1773">
        <f t="shared" si="34"/>
        <v>0.98624782799052724</v>
      </c>
      <c r="J143" s="1764">
        <f t="shared" si="57"/>
        <v>0</v>
      </c>
      <c r="K143" s="1764">
        <f t="shared" si="57"/>
        <v>0</v>
      </c>
      <c r="L143" s="1764">
        <f t="shared" si="57"/>
        <v>0</v>
      </c>
    </row>
    <row r="144" spans="1:12" ht="67.5" x14ac:dyDescent="0.2">
      <c r="A144" s="1302"/>
      <c r="B144" s="1342"/>
      <c r="C144" s="1303" t="s">
        <v>640</v>
      </c>
      <c r="D144" s="1304" t="s">
        <v>641</v>
      </c>
      <c r="E144" s="1345">
        <v>0</v>
      </c>
      <c r="F144" s="1345">
        <f>G144-E144</f>
        <v>209834.49</v>
      </c>
      <c r="G144" s="1348" t="s">
        <v>802</v>
      </c>
      <c r="H144" s="1769">
        <v>206948.81</v>
      </c>
      <c r="I144" s="1772">
        <f t="shared" ref="I144:I207" si="58">H144/G144</f>
        <v>0.98624782799052724</v>
      </c>
      <c r="J144" s="1308">
        <v>0</v>
      </c>
      <c r="K144" s="1308">
        <v>0</v>
      </c>
      <c r="L144" s="1308">
        <v>0</v>
      </c>
    </row>
    <row r="145" spans="1:12" ht="15" x14ac:dyDescent="0.2">
      <c r="A145" s="1299"/>
      <c r="B145" s="1341" t="s">
        <v>428</v>
      </c>
      <c r="C145" s="1300"/>
      <c r="D145" s="1301" t="s">
        <v>11</v>
      </c>
      <c r="E145" s="1344">
        <f>E146+E147+E148+E149+E150+E151</f>
        <v>520560.6</v>
      </c>
      <c r="F145" s="1344">
        <f t="shared" ref="F145:L145" si="59">F146+F147+F148+F149+F150+F151</f>
        <v>-290063.51999999996</v>
      </c>
      <c r="G145" s="1661">
        <f t="shared" si="59"/>
        <v>230497.08000000002</v>
      </c>
      <c r="H145" s="1763">
        <f t="shared" si="59"/>
        <v>611737.34</v>
      </c>
      <c r="I145" s="1773">
        <f t="shared" si="58"/>
        <v>2.6539917121726657</v>
      </c>
      <c r="J145" s="1764">
        <f t="shared" si="59"/>
        <v>0</v>
      </c>
      <c r="K145" s="1764">
        <f t="shared" si="59"/>
        <v>0</v>
      </c>
      <c r="L145" s="1764">
        <f t="shared" si="59"/>
        <v>0</v>
      </c>
    </row>
    <row r="146" spans="1:12" s="1654" customFormat="1" ht="22.5" x14ac:dyDescent="0.2">
      <c r="A146" s="1653"/>
      <c r="B146" s="1653"/>
      <c r="C146" s="1360" t="s">
        <v>762</v>
      </c>
      <c r="D146" s="1304" t="s">
        <v>763</v>
      </c>
      <c r="E146" s="1362">
        <v>0</v>
      </c>
      <c r="F146" s="1362">
        <f>G146-E146</f>
        <v>0</v>
      </c>
      <c r="G146" s="1363">
        <v>0</v>
      </c>
      <c r="H146" s="1770">
        <v>14826.95</v>
      </c>
      <c r="I146" s="1772">
        <v>0</v>
      </c>
      <c r="J146" s="1771">
        <v>0</v>
      </c>
      <c r="K146" s="1771">
        <v>0</v>
      </c>
      <c r="L146" s="1771">
        <v>0</v>
      </c>
    </row>
    <row r="147" spans="1:12" ht="90" x14ac:dyDescent="0.2">
      <c r="A147" s="1302"/>
      <c r="B147" s="1342"/>
      <c r="C147" s="1303" t="s">
        <v>803</v>
      </c>
      <c r="D147" s="1304" t="s">
        <v>804</v>
      </c>
      <c r="E147" s="1345">
        <v>151741</v>
      </c>
      <c r="F147" s="1362">
        <f t="shared" ref="F147:F151" si="60">G147-E147</f>
        <v>0</v>
      </c>
      <c r="G147" s="1348" t="s">
        <v>805</v>
      </c>
      <c r="H147" s="1769">
        <v>159882.59</v>
      </c>
      <c r="I147" s="1772">
        <f t="shared" si="58"/>
        <v>1.0536545165775895</v>
      </c>
      <c r="J147" s="1308">
        <v>0</v>
      </c>
      <c r="K147" s="1308">
        <v>0</v>
      </c>
      <c r="L147" s="1308">
        <v>0</v>
      </c>
    </row>
    <row r="148" spans="1:12" ht="90" x14ac:dyDescent="0.2">
      <c r="A148" s="1302"/>
      <c r="B148" s="1342"/>
      <c r="C148" s="1303" t="s">
        <v>806</v>
      </c>
      <c r="D148" s="1304" t="s">
        <v>804</v>
      </c>
      <c r="E148" s="1345">
        <v>17691.22</v>
      </c>
      <c r="F148" s="1362">
        <f t="shared" si="60"/>
        <v>308.77999999999884</v>
      </c>
      <c r="G148" s="1348" t="s">
        <v>800</v>
      </c>
      <c r="H148" s="1769">
        <v>18000</v>
      </c>
      <c r="I148" s="1772">
        <f t="shared" si="58"/>
        <v>1</v>
      </c>
      <c r="J148" s="1308">
        <v>0</v>
      </c>
      <c r="K148" s="1308">
        <v>0</v>
      </c>
      <c r="L148" s="1308">
        <v>0</v>
      </c>
    </row>
    <row r="149" spans="1:12" ht="90" x14ac:dyDescent="0.2">
      <c r="A149" s="1302"/>
      <c r="B149" s="1342"/>
      <c r="C149" s="1303" t="s">
        <v>807</v>
      </c>
      <c r="D149" s="1304" t="s">
        <v>808</v>
      </c>
      <c r="E149" s="1345">
        <v>314469.71999999997</v>
      </c>
      <c r="F149" s="1362">
        <f t="shared" si="60"/>
        <v>-304259.95999999996</v>
      </c>
      <c r="G149" s="1348" t="s">
        <v>809</v>
      </c>
      <c r="H149" s="1769">
        <v>373795.81</v>
      </c>
      <c r="I149" s="1772">
        <f t="shared" si="58"/>
        <v>36.611615748068516</v>
      </c>
      <c r="J149" s="1308">
        <v>0</v>
      </c>
      <c r="K149" s="1308">
        <v>0</v>
      </c>
      <c r="L149" s="1308">
        <v>0</v>
      </c>
    </row>
    <row r="150" spans="1:12" ht="90" x14ac:dyDescent="0.2">
      <c r="A150" s="1302"/>
      <c r="B150" s="1342"/>
      <c r="C150" s="1303" t="s">
        <v>810</v>
      </c>
      <c r="D150" s="1304" t="s">
        <v>808</v>
      </c>
      <c r="E150" s="1345">
        <v>36658.660000000003</v>
      </c>
      <c r="F150" s="1362">
        <f t="shared" si="60"/>
        <v>13887.659999999996</v>
      </c>
      <c r="G150" s="1348" t="s">
        <v>811</v>
      </c>
      <c r="H150" s="1769">
        <v>55441.75</v>
      </c>
      <c r="I150" s="1772">
        <f t="shared" si="58"/>
        <v>1.0968503740727318</v>
      </c>
      <c r="J150" s="1308">
        <v>0</v>
      </c>
      <c r="K150" s="1308">
        <v>0</v>
      </c>
      <c r="L150" s="1308">
        <v>0</v>
      </c>
    </row>
    <row r="151" spans="1:12" s="1340" customFormat="1" ht="90" x14ac:dyDescent="0.2">
      <c r="A151" s="1342"/>
      <c r="B151" s="1342"/>
      <c r="C151" s="1356" t="s">
        <v>1537</v>
      </c>
      <c r="D151" s="1304" t="s">
        <v>808</v>
      </c>
      <c r="E151" s="1345">
        <v>0</v>
      </c>
      <c r="F151" s="1362">
        <f t="shared" si="60"/>
        <v>0</v>
      </c>
      <c r="G151" s="1348">
        <v>0</v>
      </c>
      <c r="H151" s="1769">
        <v>-10209.76</v>
      </c>
      <c r="I151" s="1772">
        <v>0</v>
      </c>
      <c r="J151" s="1308">
        <v>0</v>
      </c>
      <c r="K151" s="1308">
        <v>0</v>
      </c>
      <c r="L151" s="1308">
        <v>0</v>
      </c>
    </row>
    <row r="152" spans="1:12" s="1340" customFormat="1" x14ac:dyDescent="0.2">
      <c r="A152" s="1334" t="s">
        <v>230</v>
      </c>
      <c r="B152" s="1334"/>
      <c r="C152" s="1334"/>
      <c r="D152" s="1667" t="s">
        <v>309</v>
      </c>
      <c r="E152" s="1668">
        <f>E153</f>
        <v>0</v>
      </c>
      <c r="F152" s="1668">
        <f t="shared" ref="F152:L152" si="61">F153</f>
        <v>0</v>
      </c>
      <c r="G152" s="1669">
        <f t="shared" si="61"/>
        <v>0</v>
      </c>
      <c r="H152" s="1765">
        <f t="shared" si="61"/>
        <v>43.65</v>
      </c>
      <c r="I152" s="1951">
        <v>0</v>
      </c>
      <c r="J152" s="1766">
        <f t="shared" si="61"/>
        <v>0</v>
      </c>
      <c r="K152" s="1766">
        <f t="shared" si="61"/>
        <v>0</v>
      </c>
      <c r="L152" s="1766">
        <f t="shared" si="61"/>
        <v>0</v>
      </c>
    </row>
    <row r="153" spans="1:12" s="1340" customFormat="1" ht="15" x14ac:dyDescent="0.2">
      <c r="A153" s="1299"/>
      <c r="B153" s="1364" t="s">
        <v>1249</v>
      </c>
      <c r="C153" s="1300"/>
      <c r="D153" s="1355" t="s">
        <v>310</v>
      </c>
      <c r="E153" s="1344">
        <f>E154</f>
        <v>0</v>
      </c>
      <c r="F153" s="1344">
        <f t="shared" ref="F153:L153" si="62">F154</f>
        <v>0</v>
      </c>
      <c r="G153" s="1661">
        <f t="shared" si="62"/>
        <v>0</v>
      </c>
      <c r="H153" s="1763">
        <f t="shared" si="62"/>
        <v>43.65</v>
      </c>
      <c r="I153" s="1773">
        <v>0</v>
      </c>
      <c r="J153" s="1764">
        <f t="shared" si="62"/>
        <v>0</v>
      </c>
      <c r="K153" s="1764">
        <f t="shared" si="62"/>
        <v>0</v>
      </c>
      <c r="L153" s="1764">
        <f t="shared" si="62"/>
        <v>0</v>
      </c>
    </row>
    <row r="154" spans="1:12" s="1340" customFormat="1" ht="67.5" x14ac:dyDescent="0.2">
      <c r="A154" s="1342"/>
      <c r="B154" s="1342"/>
      <c r="C154" s="1356" t="s">
        <v>821</v>
      </c>
      <c r="D154" s="1304" t="s">
        <v>822</v>
      </c>
      <c r="E154" s="1345">
        <v>0</v>
      </c>
      <c r="F154" s="1345">
        <f>G154-E154</f>
        <v>0</v>
      </c>
      <c r="G154" s="1348">
        <v>0</v>
      </c>
      <c r="H154" s="1769">
        <v>43.65</v>
      </c>
      <c r="I154" s="1772">
        <v>0</v>
      </c>
      <c r="J154" s="1308">
        <v>0</v>
      </c>
      <c r="K154" s="1308">
        <v>0</v>
      </c>
      <c r="L154" s="1308">
        <v>0</v>
      </c>
    </row>
    <row r="155" spans="1:12" ht="29.25" customHeight="1" x14ac:dyDescent="0.2">
      <c r="A155" s="1334" t="s">
        <v>241</v>
      </c>
      <c r="B155" s="1334"/>
      <c r="C155" s="1334"/>
      <c r="D155" s="1667" t="s">
        <v>37</v>
      </c>
      <c r="E155" s="1668">
        <f>E156+E160+E165+E167+E169+E173+E175+E180</f>
        <v>863411</v>
      </c>
      <c r="F155" s="1668">
        <f t="shared" ref="F155:L155" si="63">F156+F160+F165+F167+F169+F173+F175+F180</f>
        <v>1832158</v>
      </c>
      <c r="G155" s="1669">
        <f t="shared" si="63"/>
        <v>2695569</v>
      </c>
      <c r="H155" s="1765">
        <f t="shared" si="63"/>
        <v>2643392.8200000003</v>
      </c>
      <c r="I155" s="1951">
        <f t="shared" si="58"/>
        <v>0.98064372308777858</v>
      </c>
      <c r="J155" s="1766">
        <f t="shared" si="63"/>
        <v>6632.3</v>
      </c>
      <c r="K155" s="1766">
        <f t="shared" si="63"/>
        <v>920.16</v>
      </c>
      <c r="L155" s="1766">
        <f t="shared" si="63"/>
        <v>0</v>
      </c>
    </row>
    <row r="156" spans="1:12" ht="15" x14ac:dyDescent="0.2">
      <c r="A156" s="1299"/>
      <c r="B156" s="1341" t="s">
        <v>242</v>
      </c>
      <c r="C156" s="1300"/>
      <c r="D156" s="1301" t="s">
        <v>38</v>
      </c>
      <c r="E156" s="1344">
        <f>E157+E158+E159</f>
        <v>0</v>
      </c>
      <c r="F156" s="1344">
        <f t="shared" ref="F156:L156" si="64">F157+F158+F159</f>
        <v>1207840</v>
      </c>
      <c r="G156" s="1661">
        <f t="shared" si="64"/>
        <v>1207840</v>
      </c>
      <c r="H156" s="1763">
        <f t="shared" si="64"/>
        <v>1160199.5900000001</v>
      </c>
      <c r="I156" s="1773">
        <f t="shared" si="58"/>
        <v>0.96055735031129963</v>
      </c>
      <c r="J156" s="1764">
        <f t="shared" si="64"/>
        <v>10.45</v>
      </c>
      <c r="K156" s="1764">
        <f t="shared" si="64"/>
        <v>0</v>
      </c>
      <c r="L156" s="1764">
        <f t="shared" si="64"/>
        <v>0</v>
      </c>
    </row>
    <row r="157" spans="1:12" ht="67.5" x14ac:dyDescent="0.2">
      <c r="A157" s="1302"/>
      <c r="B157" s="1342"/>
      <c r="C157" s="1303" t="s">
        <v>640</v>
      </c>
      <c r="D157" s="1304" t="s">
        <v>641</v>
      </c>
      <c r="E157" s="1345">
        <v>0</v>
      </c>
      <c r="F157" s="1345">
        <f>G157-E157</f>
        <v>194830</v>
      </c>
      <c r="G157" s="1348" t="s">
        <v>812</v>
      </c>
      <c r="H157" s="1769">
        <v>147354.34</v>
      </c>
      <c r="I157" s="1772">
        <f t="shared" si="58"/>
        <v>0.7563226402504748</v>
      </c>
      <c r="J157" s="1308">
        <v>0</v>
      </c>
      <c r="K157" s="1308">
        <v>0</v>
      </c>
      <c r="L157" s="1308">
        <v>0</v>
      </c>
    </row>
    <row r="158" spans="1:12" s="1340" customFormat="1" ht="45" x14ac:dyDescent="0.2">
      <c r="A158" s="1342"/>
      <c r="B158" s="1342"/>
      <c r="C158" s="1356" t="s">
        <v>834</v>
      </c>
      <c r="D158" s="1304" t="s">
        <v>835</v>
      </c>
      <c r="E158" s="1345">
        <v>0</v>
      </c>
      <c r="F158" s="1345">
        <f t="shared" ref="F158:F159" si="65">G158-E158</f>
        <v>0</v>
      </c>
      <c r="G158" s="1348"/>
      <c r="H158" s="1769">
        <v>0</v>
      </c>
      <c r="I158" s="1772">
        <v>0</v>
      </c>
      <c r="J158" s="1308">
        <v>10.45</v>
      </c>
      <c r="K158" s="1308">
        <v>0</v>
      </c>
      <c r="L158" s="1308">
        <v>0</v>
      </c>
    </row>
    <row r="159" spans="1:12" ht="56.25" x14ac:dyDescent="0.2">
      <c r="A159" s="1302"/>
      <c r="B159" s="1342"/>
      <c r="C159" s="1303" t="s">
        <v>813</v>
      </c>
      <c r="D159" s="1304" t="s">
        <v>814</v>
      </c>
      <c r="E159" s="1345">
        <v>0</v>
      </c>
      <c r="F159" s="1345">
        <f t="shared" si="65"/>
        <v>1013010</v>
      </c>
      <c r="G159" s="1348" t="s">
        <v>815</v>
      </c>
      <c r="H159" s="1769">
        <v>1012845.25</v>
      </c>
      <c r="I159" s="1772">
        <f t="shared" si="58"/>
        <v>0.99983736587003091</v>
      </c>
      <c r="J159" s="1308">
        <v>0</v>
      </c>
      <c r="K159" s="1308">
        <v>0</v>
      </c>
      <c r="L159" s="1308">
        <v>0</v>
      </c>
    </row>
    <row r="160" spans="1:12" ht="67.5" x14ac:dyDescent="0.2">
      <c r="A160" s="1299"/>
      <c r="B160" s="1341" t="s">
        <v>816</v>
      </c>
      <c r="C160" s="1300"/>
      <c r="D160" s="1301" t="s">
        <v>817</v>
      </c>
      <c r="E160" s="1344">
        <f>E161+E162+E163+E164</f>
        <v>109851</v>
      </c>
      <c r="F160" s="1344">
        <f t="shared" ref="F160:L160" si="66">F161+F162+F163+F164</f>
        <v>6000</v>
      </c>
      <c r="G160" s="1661">
        <f t="shared" si="66"/>
        <v>115851</v>
      </c>
      <c r="H160" s="1763">
        <f t="shared" si="66"/>
        <v>111931.79999999999</v>
      </c>
      <c r="I160" s="1803">
        <f>H160/G160</f>
        <v>0.9661703394877903</v>
      </c>
      <c r="J160" s="1321">
        <f t="shared" si="66"/>
        <v>0</v>
      </c>
      <c r="K160" s="1314">
        <f t="shared" si="66"/>
        <v>0</v>
      </c>
      <c r="L160" s="1764">
        <f t="shared" si="66"/>
        <v>0</v>
      </c>
    </row>
    <row r="161" spans="1:12" ht="22.5" x14ac:dyDescent="0.2">
      <c r="A161" s="1302"/>
      <c r="B161" s="1342"/>
      <c r="C161" s="1303" t="s">
        <v>762</v>
      </c>
      <c r="D161" s="1304" t="s">
        <v>763</v>
      </c>
      <c r="E161" s="1345">
        <v>0</v>
      </c>
      <c r="F161" s="1345">
        <f>G161-E161</f>
        <v>250</v>
      </c>
      <c r="G161" s="1348" t="s">
        <v>818</v>
      </c>
      <c r="H161" s="1769">
        <v>93.6</v>
      </c>
      <c r="I161" s="1772">
        <f t="shared" si="58"/>
        <v>0.37439999999999996</v>
      </c>
      <c r="J161" s="1308">
        <v>0</v>
      </c>
      <c r="K161" s="1308">
        <v>0</v>
      </c>
      <c r="L161" s="1308">
        <v>0</v>
      </c>
    </row>
    <row r="162" spans="1:12" ht="67.5" x14ac:dyDescent="0.2">
      <c r="A162" s="1302"/>
      <c r="B162" s="1342"/>
      <c r="C162" s="1303" t="s">
        <v>640</v>
      </c>
      <c r="D162" s="1304" t="s">
        <v>641</v>
      </c>
      <c r="E162" s="1345">
        <v>59683</v>
      </c>
      <c r="F162" s="1345">
        <f t="shared" ref="F162:F164" si="67">G162-E162</f>
        <v>5000</v>
      </c>
      <c r="G162" s="1348" t="s">
        <v>819</v>
      </c>
      <c r="H162" s="1769">
        <v>63244.17</v>
      </c>
      <c r="I162" s="1772">
        <f t="shared" si="58"/>
        <v>0.97775566995964935</v>
      </c>
      <c r="J162" s="1308">
        <v>0</v>
      </c>
      <c r="K162" s="1308">
        <v>0</v>
      </c>
      <c r="L162" s="1308">
        <v>0</v>
      </c>
    </row>
    <row r="163" spans="1:12" ht="45" x14ac:dyDescent="0.2">
      <c r="A163" s="1302"/>
      <c r="B163" s="1342"/>
      <c r="C163" s="1303" t="s">
        <v>766</v>
      </c>
      <c r="D163" s="1304" t="s">
        <v>767</v>
      </c>
      <c r="E163" s="1345">
        <v>49918</v>
      </c>
      <c r="F163" s="1345">
        <f t="shared" si="67"/>
        <v>1000</v>
      </c>
      <c r="G163" s="1348" t="s">
        <v>820</v>
      </c>
      <c r="H163" s="1769">
        <v>48594.03</v>
      </c>
      <c r="I163" s="1772">
        <f t="shared" si="58"/>
        <v>0.9543585765348207</v>
      </c>
      <c r="J163" s="1308">
        <v>0</v>
      </c>
      <c r="K163" s="1308">
        <v>0</v>
      </c>
      <c r="L163" s="1308">
        <v>0</v>
      </c>
    </row>
    <row r="164" spans="1:12" ht="67.5" x14ac:dyDescent="0.2">
      <c r="A164" s="1302"/>
      <c r="B164" s="1342"/>
      <c r="C164" s="1303" t="s">
        <v>821</v>
      </c>
      <c r="D164" s="1304" t="s">
        <v>822</v>
      </c>
      <c r="E164" s="1345">
        <v>250</v>
      </c>
      <c r="F164" s="1345">
        <f t="shared" si="67"/>
        <v>-250</v>
      </c>
      <c r="G164" s="1348" t="s">
        <v>636</v>
      </c>
      <c r="H164" s="1769">
        <v>0</v>
      </c>
      <c r="I164" s="1772">
        <v>0</v>
      </c>
      <c r="J164" s="1308">
        <v>0</v>
      </c>
      <c r="K164" s="1308">
        <v>0</v>
      </c>
      <c r="L164" s="1308">
        <v>0</v>
      </c>
    </row>
    <row r="165" spans="1:12" ht="33.75" x14ac:dyDescent="0.2">
      <c r="A165" s="1299"/>
      <c r="B165" s="1341" t="s">
        <v>823</v>
      </c>
      <c r="C165" s="1300"/>
      <c r="D165" s="1301" t="s">
        <v>82</v>
      </c>
      <c r="E165" s="1344">
        <f>E166</f>
        <v>56560</v>
      </c>
      <c r="F165" s="1344">
        <f t="shared" ref="F165:L165" si="68">F166</f>
        <v>39440</v>
      </c>
      <c r="G165" s="1661" t="str">
        <f t="shared" si="68"/>
        <v>96 000,00</v>
      </c>
      <c r="H165" s="1763">
        <f t="shared" si="68"/>
        <v>96000</v>
      </c>
      <c r="I165" s="1773">
        <f t="shared" si="58"/>
        <v>1</v>
      </c>
      <c r="J165" s="1764">
        <f t="shared" si="68"/>
        <v>0</v>
      </c>
      <c r="K165" s="1764">
        <f t="shared" si="68"/>
        <v>0</v>
      </c>
      <c r="L165" s="1764">
        <f t="shared" si="68"/>
        <v>0</v>
      </c>
    </row>
    <row r="166" spans="1:12" ht="45" x14ac:dyDescent="0.2">
      <c r="A166" s="1302"/>
      <c r="B166" s="1342"/>
      <c r="C166" s="1303" t="s">
        <v>766</v>
      </c>
      <c r="D166" s="1304" t="s">
        <v>767</v>
      </c>
      <c r="E166" s="1345">
        <v>56560</v>
      </c>
      <c r="F166" s="1345">
        <f>G166-E166</f>
        <v>39440</v>
      </c>
      <c r="G166" s="1348" t="s">
        <v>824</v>
      </c>
      <c r="H166" s="1769">
        <v>96000</v>
      </c>
      <c r="I166" s="1772">
        <f t="shared" si="58"/>
        <v>1</v>
      </c>
      <c r="J166" s="1308">
        <v>0</v>
      </c>
      <c r="K166" s="1308">
        <v>0</v>
      </c>
      <c r="L166" s="1308">
        <v>0</v>
      </c>
    </row>
    <row r="167" spans="1:12" ht="15" x14ac:dyDescent="0.2">
      <c r="A167" s="1299"/>
      <c r="B167" s="1341" t="s">
        <v>825</v>
      </c>
      <c r="C167" s="1300"/>
      <c r="D167" s="1301" t="s">
        <v>48</v>
      </c>
      <c r="E167" s="1344">
        <f>E168</f>
        <v>0</v>
      </c>
      <c r="F167" s="1344">
        <f t="shared" ref="F167:L167" si="69">F168</f>
        <v>18500</v>
      </c>
      <c r="G167" s="1661" t="str">
        <f t="shared" si="69"/>
        <v>18 500,00</v>
      </c>
      <c r="H167" s="1763">
        <f t="shared" si="69"/>
        <v>11621.77</v>
      </c>
      <c r="I167" s="1773">
        <f t="shared" si="58"/>
        <v>0.62820378378378383</v>
      </c>
      <c r="J167" s="1764">
        <f t="shared" si="69"/>
        <v>0</v>
      </c>
      <c r="K167" s="1764">
        <f t="shared" si="69"/>
        <v>0</v>
      </c>
      <c r="L167" s="1764">
        <f t="shared" si="69"/>
        <v>0</v>
      </c>
    </row>
    <row r="168" spans="1:12" ht="67.5" x14ac:dyDescent="0.2">
      <c r="A168" s="1302"/>
      <c r="B168" s="1342"/>
      <c r="C168" s="1303" t="s">
        <v>640</v>
      </c>
      <c r="D168" s="1304" t="s">
        <v>641</v>
      </c>
      <c r="E168" s="1345">
        <v>0</v>
      </c>
      <c r="F168" s="1345">
        <f>G168-E168</f>
        <v>18500</v>
      </c>
      <c r="G168" s="1348" t="s">
        <v>826</v>
      </c>
      <c r="H168" s="1769">
        <v>11621.77</v>
      </c>
      <c r="I168" s="1772">
        <f t="shared" si="58"/>
        <v>0.62820378378378383</v>
      </c>
      <c r="J168" s="1308">
        <v>0</v>
      </c>
      <c r="K168" s="1308">
        <v>0</v>
      </c>
      <c r="L168" s="1308">
        <v>0</v>
      </c>
    </row>
    <row r="169" spans="1:12" ht="15" x14ac:dyDescent="0.2">
      <c r="A169" s="1299"/>
      <c r="B169" s="1341" t="s">
        <v>827</v>
      </c>
      <c r="C169" s="1300"/>
      <c r="D169" s="1301" t="s">
        <v>83</v>
      </c>
      <c r="E169" s="1344">
        <f>E170+E171+E172</f>
        <v>234446</v>
      </c>
      <c r="F169" s="1344">
        <f t="shared" ref="F169:L169" si="70">F170+F171+F172</f>
        <v>198554</v>
      </c>
      <c r="G169" s="1661">
        <f t="shared" si="70"/>
        <v>433000</v>
      </c>
      <c r="H169" s="1763">
        <f t="shared" si="70"/>
        <v>432365.67</v>
      </c>
      <c r="I169" s="1773">
        <f t="shared" si="58"/>
        <v>0.9985350346420323</v>
      </c>
      <c r="J169" s="1764">
        <f t="shared" si="70"/>
        <v>351</v>
      </c>
      <c r="K169" s="1764">
        <f t="shared" si="70"/>
        <v>351</v>
      </c>
      <c r="L169" s="1764">
        <f t="shared" si="70"/>
        <v>0</v>
      </c>
    </row>
    <row r="170" spans="1:12" ht="22.5" x14ac:dyDescent="0.2">
      <c r="A170" s="1302"/>
      <c r="B170" s="1342"/>
      <c r="C170" s="1303" t="s">
        <v>762</v>
      </c>
      <c r="D170" s="1304" t="s">
        <v>763</v>
      </c>
      <c r="E170" s="1345">
        <v>0</v>
      </c>
      <c r="F170" s="1345">
        <f>G170-E170</f>
        <v>1000</v>
      </c>
      <c r="G170" s="1348" t="s">
        <v>680</v>
      </c>
      <c r="H170" s="1769">
        <v>474.88</v>
      </c>
      <c r="I170" s="1772">
        <f t="shared" si="58"/>
        <v>0.47487999999999997</v>
      </c>
      <c r="J170" s="1308">
        <v>351</v>
      </c>
      <c r="K170" s="1308">
        <v>351</v>
      </c>
      <c r="L170" s="1308">
        <v>0</v>
      </c>
    </row>
    <row r="171" spans="1:12" ht="45" x14ac:dyDescent="0.2">
      <c r="A171" s="1302"/>
      <c r="B171" s="1342"/>
      <c r="C171" s="1303" t="s">
        <v>766</v>
      </c>
      <c r="D171" s="1304" t="s">
        <v>767</v>
      </c>
      <c r="E171" s="1345">
        <v>233946</v>
      </c>
      <c r="F171" s="1345">
        <f t="shared" ref="F171:F172" si="71">G171-E171</f>
        <v>198054</v>
      </c>
      <c r="G171" s="1348" t="s">
        <v>828</v>
      </c>
      <c r="H171" s="1769">
        <v>431890.79</v>
      </c>
      <c r="I171" s="1772">
        <f t="shared" si="58"/>
        <v>0.99974719907407406</v>
      </c>
      <c r="J171" s="1308">
        <v>0</v>
      </c>
      <c r="K171" s="1308">
        <v>0</v>
      </c>
      <c r="L171" s="1308">
        <v>0</v>
      </c>
    </row>
    <row r="172" spans="1:12" ht="67.5" x14ac:dyDescent="0.2">
      <c r="A172" s="1302"/>
      <c r="B172" s="1342"/>
      <c r="C172" s="1303" t="s">
        <v>821</v>
      </c>
      <c r="D172" s="1304" t="s">
        <v>822</v>
      </c>
      <c r="E172" s="1345">
        <v>500</v>
      </c>
      <c r="F172" s="1345">
        <f t="shared" si="71"/>
        <v>-500</v>
      </c>
      <c r="G172" s="1348" t="s">
        <v>636</v>
      </c>
      <c r="H172" s="1769">
        <v>0</v>
      </c>
      <c r="I172" s="1772">
        <v>0</v>
      </c>
      <c r="J172" s="1308">
        <v>0</v>
      </c>
      <c r="K172" s="1308">
        <v>0</v>
      </c>
      <c r="L172" s="1308">
        <v>0</v>
      </c>
    </row>
    <row r="173" spans="1:12" ht="15" x14ac:dyDescent="0.2">
      <c r="A173" s="1299"/>
      <c r="B173" s="1341" t="s">
        <v>829</v>
      </c>
      <c r="C173" s="1300"/>
      <c r="D173" s="1301" t="s">
        <v>84</v>
      </c>
      <c r="E173" s="1344">
        <f>E174</f>
        <v>151253</v>
      </c>
      <c r="F173" s="1344">
        <f t="shared" ref="F173:L173" si="72">F174</f>
        <v>26000</v>
      </c>
      <c r="G173" s="1661" t="str">
        <f t="shared" si="72"/>
        <v>177 253,00</v>
      </c>
      <c r="H173" s="1763">
        <f t="shared" si="72"/>
        <v>177253</v>
      </c>
      <c r="I173" s="1773">
        <f t="shared" si="58"/>
        <v>1</v>
      </c>
      <c r="J173" s="1764">
        <f t="shared" si="72"/>
        <v>0</v>
      </c>
      <c r="K173" s="1764">
        <f t="shared" si="72"/>
        <v>0</v>
      </c>
      <c r="L173" s="1764">
        <f t="shared" si="72"/>
        <v>0</v>
      </c>
    </row>
    <row r="174" spans="1:12" ht="45" x14ac:dyDescent="0.2">
      <c r="A174" s="1302"/>
      <c r="B174" s="1342"/>
      <c r="C174" s="1303" t="s">
        <v>766</v>
      </c>
      <c r="D174" s="1304" t="s">
        <v>767</v>
      </c>
      <c r="E174" s="1345">
        <v>151253</v>
      </c>
      <c r="F174" s="1345">
        <f>G174-E174</f>
        <v>26000</v>
      </c>
      <c r="G174" s="1348" t="s">
        <v>830</v>
      </c>
      <c r="H174" s="1769">
        <v>177253</v>
      </c>
      <c r="I174" s="1772">
        <f t="shared" si="58"/>
        <v>1</v>
      </c>
      <c r="J174" s="1308">
        <v>0</v>
      </c>
      <c r="K174" s="1308">
        <v>0</v>
      </c>
      <c r="L174" s="1308">
        <v>0</v>
      </c>
    </row>
    <row r="175" spans="1:12" ht="22.5" x14ac:dyDescent="0.2">
      <c r="A175" s="1299"/>
      <c r="B175" s="1341" t="s">
        <v>831</v>
      </c>
      <c r="C175" s="1300"/>
      <c r="D175" s="1301" t="s">
        <v>50</v>
      </c>
      <c r="E175" s="1344">
        <f>E176+E177+E178+E179</f>
        <v>311301</v>
      </c>
      <c r="F175" s="1344">
        <f t="shared" ref="F175:L175" si="73">F176+F177+F178+F179</f>
        <v>140824</v>
      </c>
      <c r="G175" s="1661">
        <f t="shared" si="73"/>
        <v>452125</v>
      </c>
      <c r="H175" s="1763">
        <f t="shared" si="73"/>
        <v>459020.99</v>
      </c>
      <c r="I175" s="1773">
        <f t="shared" si="58"/>
        <v>1.0152523970141001</v>
      </c>
      <c r="J175" s="1764">
        <f t="shared" si="73"/>
        <v>6270.85</v>
      </c>
      <c r="K175" s="1764">
        <f t="shared" si="73"/>
        <v>569.16</v>
      </c>
      <c r="L175" s="1764">
        <f t="shared" si="73"/>
        <v>0</v>
      </c>
    </row>
    <row r="176" spans="1:12" x14ac:dyDescent="0.2">
      <c r="A176" s="1302"/>
      <c r="B176" s="1342"/>
      <c r="C176" s="1303" t="s">
        <v>60</v>
      </c>
      <c r="D176" s="1304" t="s">
        <v>61</v>
      </c>
      <c r="E176" s="1345">
        <v>35000</v>
      </c>
      <c r="F176" s="1345">
        <f>G176-E176</f>
        <v>0</v>
      </c>
      <c r="G176" s="1348" t="s">
        <v>832</v>
      </c>
      <c r="H176" s="1769">
        <v>46582.5</v>
      </c>
      <c r="I176" s="1772">
        <f t="shared" si="58"/>
        <v>1.3309285714285715</v>
      </c>
      <c r="J176" s="1308">
        <v>6079.8</v>
      </c>
      <c r="K176" s="1308">
        <v>553.75</v>
      </c>
      <c r="L176" s="1308">
        <v>0</v>
      </c>
    </row>
    <row r="177" spans="1:12" ht="67.5" x14ac:dyDescent="0.2">
      <c r="A177" s="1302"/>
      <c r="B177" s="1342"/>
      <c r="C177" s="1303" t="s">
        <v>640</v>
      </c>
      <c r="D177" s="1304" t="s">
        <v>641</v>
      </c>
      <c r="E177" s="1345">
        <v>276176</v>
      </c>
      <c r="F177" s="1345">
        <f t="shared" ref="F177:F179" si="74">G177-E177</f>
        <v>140824</v>
      </c>
      <c r="G177" s="1348" t="s">
        <v>833</v>
      </c>
      <c r="H177" s="1769">
        <v>410145</v>
      </c>
      <c r="I177" s="1772">
        <f t="shared" si="58"/>
        <v>0.98356115107913666</v>
      </c>
      <c r="J177" s="1308">
        <v>0</v>
      </c>
      <c r="K177" s="1308">
        <v>0</v>
      </c>
      <c r="L177" s="1308">
        <v>0</v>
      </c>
    </row>
    <row r="178" spans="1:12" ht="45" x14ac:dyDescent="0.2">
      <c r="A178" s="1302"/>
      <c r="B178" s="1342"/>
      <c r="C178" s="1303" t="s">
        <v>766</v>
      </c>
      <c r="D178" s="1304" t="s">
        <v>767</v>
      </c>
      <c r="E178" s="1345">
        <v>0</v>
      </c>
      <c r="F178" s="1345">
        <f t="shared" si="74"/>
        <v>0</v>
      </c>
      <c r="G178" s="1348" t="s">
        <v>636</v>
      </c>
      <c r="H178" s="1769">
        <v>0</v>
      </c>
      <c r="I178" s="1772">
        <v>0</v>
      </c>
      <c r="J178" s="1308">
        <v>0</v>
      </c>
      <c r="K178" s="1308">
        <v>0</v>
      </c>
      <c r="L178" s="1308">
        <v>0</v>
      </c>
    </row>
    <row r="179" spans="1:12" ht="45" x14ac:dyDescent="0.2">
      <c r="A179" s="1302"/>
      <c r="B179" s="1342"/>
      <c r="C179" s="1303" t="s">
        <v>834</v>
      </c>
      <c r="D179" s="1304" t="s">
        <v>835</v>
      </c>
      <c r="E179" s="1345">
        <v>125</v>
      </c>
      <c r="F179" s="1345">
        <f t="shared" si="74"/>
        <v>0</v>
      </c>
      <c r="G179" s="1348" t="s">
        <v>836</v>
      </c>
      <c r="H179" s="1769">
        <v>2293.4899999999998</v>
      </c>
      <c r="I179" s="1772">
        <f t="shared" si="58"/>
        <v>18.347919999999998</v>
      </c>
      <c r="J179" s="1308">
        <v>191.05</v>
      </c>
      <c r="K179" s="1308">
        <v>15.41</v>
      </c>
      <c r="L179" s="1308">
        <v>0</v>
      </c>
    </row>
    <row r="180" spans="1:12" ht="15" x14ac:dyDescent="0.2">
      <c r="A180" s="1299"/>
      <c r="B180" s="1341" t="s">
        <v>837</v>
      </c>
      <c r="C180" s="1300"/>
      <c r="D180" s="1301" t="s">
        <v>85</v>
      </c>
      <c r="E180" s="1344">
        <f>E181</f>
        <v>0</v>
      </c>
      <c r="F180" s="1344">
        <f t="shared" ref="F180:L180" si="75">F181</f>
        <v>195000</v>
      </c>
      <c r="G180" s="1661" t="str">
        <f t="shared" si="75"/>
        <v>195 000,00</v>
      </c>
      <c r="H180" s="1763">
        <f t="shared" si="75"/>
        <v>195000</v>
      </c>
      <c r="I180" s="1773">
        <f t="shared" si="58"/>
        <v>1</v>
      </c>
      <c r="J180" s="1764">
        <f t="shared" si="75"/>
        <v>0</v>
      </c>
      <c r="K180" s="1764">
        <f t="shared" si="75"/>
        <v>0</v>
      </c>
      <c r="L180" s="1764">
        <f t="shared" si="75"/>
        <v>0</v>
      </c>
    </row>
    <row r="181" spans="1:12" ht="45" x14ac:dyDescent="0.2">
      <c r="A181" s="1302"/>
      <c r="B181" s="1342"/>
      <c r="C181" s="1303" t="s">
        <v>766</v>
      </c>
      <c r="D181" s="1304" t="s">
        <v>767</v>
      </c>
      <c r="E181" s="1345">
        <v>0</v>
      </c>
      <c r="F181" s="1345">
        <f>G181-E181</f>
        <v>195000</v>
      </c>
      <c r="G181" s="1348" t="s">
        <v>838</v>
      </c>
      <c r="H181" s="1769">
        <v>195000</v>
      </c>
      <c r="I181" s="1772">
        <f t="shared" si="58"/>
        <v>1</v>
      </c>
      <c r="J181" s="1308">
        <v>0</v>
      </c>
      <c r="K181" s="1308">
        <v>0</v>
      </c>
      <c r="L181" s="1308">
        <v>0</v>
      </c>
    </row>
    <row r="182" spans="1:12" ht="27" customHeight="1" x14ac:dyDescent="0.2">
      <c r="A182" s="1334" t="s">
        <v>839</v>
      </c>
      <c r="B182" s="1334"/>
      <c r="C182" s="1334"/>
      <c r="D182" s="1667" t="s">
        <v>333</v>
      </c>
      <c r="E182" s="1668">
        <f>E183</f>
        <v>496119.91000000003</v>
      </c>
      <c r="F182" s="1668">
        <f t="shared" ref="F182:L182" si="76">F183</f>
        <v>144258.65999999997</v>
      </c>
      <c r="G182" s="1669">
        <f t="shared" si="76"/>
        <v>640378.56999999995</v>
      </c>
      <c r="H182" s="1765">
        <f t="shared" si="76"/>
        <v>628161.20000000007</v>
      </c>
      <c r="I182" s="1951">
        <f t="shared" si="58"/>
        <v>0.98092164452036568</v>
      </c>
      <c r="J182" s="1766">
        <f t="shared" si="76"/>
        <v>0</v>
      </c>
      <c r="K182" s="1766">
        <f t="shared" si="76"/>
        <v>0</v>
      </c>
      <c r="L182" s="1766">
        <f t="shared" si="76"/>
        <v>0</v>
      </c>
    </row>
    <row r="183" spans="1:12" ht="15" x14ac:dyDescent="0.2">
      <c r="A183" s="1299"/>
      <c r="B183" s="1341" t="s">
        <v>840</v>
      </c>
      <c r="C183" s="1300"/>
      <c r="D183" s="1301" t="s">
        <v>11</v>
      </c>
      <c r="E183" s="1344">
        <f>E184+E185</f>
        <v>496119.91000000003</v>
      </c>
      <c r="F183" s="1344">
        <f t="shared" ref="F183:L183" si="77">F184+F185</f>
        <v>144258.65999999997</v>
      </c>
      <c r="G183" s="1661">
        <f t="shared" si="77"/>
        <v>640378.56999999995</v>
      </c>
      <c r="H183" s="1763">
        <f t="shared" si="77"/>
        <v>628161.20000000007</v>
      </c>
      <c r="I183" s="1773">
        <f t="shared" si="58"/>
        <v>0.98092164452036568</v>
      </c>
      <c r="J183" s="1764">
        <f t="shared" si="77"/>
        <v>0</v>
      </c>
      <c r="K183" s="1764">
        <f t="shared" si="77"/>
        <v>0</v>
      </c>
      <c r="L183" s="1764">
        <f t="shared" si="77"/>
        <v>0</v>
      </c>
    </row>
    <row r="184" spans="1:12" ht="90" x14ac:dyDescent="0.2">
      <c r="A184" s="1302"/>
      <c r="B184" s="1342"/>
      <c r="C184" s="1303" t="s">
        <v>807</v>
      </c>
      <c r="D184" s="1304" t="s">
        <v>808</v>
      </c>
      <c r="E184" s="1345">
        <v>477993.28</v>
      </c>
      <c r="F184" s="1345">
        <f>G184-E184</f>
        <v>140269.84999999998</v>
      </c>
      <c r="G184" s="1348" t="s">
        <v>841</v>
      </c>
      <c r="H184" s="1769">
        <v>607331.79</v>
      </c>
      <c r="I184" s="1772">
        <f t="shared" si="58"/>
        <v>0.98231927561328136</v>
      </c>
      <c r="J184" s="1308">
        <v>0</v>
      </c>
      <c r="K184" s="1308">
        <v>0</v>
      </c>
      <c r="L184" s="1308">
        <v>0</v>
      </c>
    </row>
    <row r="185" spans="1:12" ht="90" x14ac:dyDescent="0.2">
      <c r="A185" s="1302"/>
      <c r="B185" s="1342"/>
      <c r="C185" s="1303" t="s">
        <v>810</v>
      </c>
      <c r="D185" s="1304" t="s">
        <v>808</v>
      </c>
      <c r="E185" s="1345">
        <v>18126.63</v>
      </c>
      <c r="F185" s="1345">
        <f>G185-E185</f>
        <v>3988.8099999999977</v>
      </c>
      <c r="G185" s="1348" t="s">
        <v>842</v>
      </c>
      <c r="H185" s="1769">
        <v>20829.41</v>
      </c>
      <c r="I185" s="1772">
        <f t="shared" si="58"/>
        <v>0.9418492238906393</v>
      </c>
      <c r="J185" s="1308">
        <v>0</v>
      </c>
      <c r="K185" s="1308">
        <v>0</v>
      </c>
      <c r="L185" s="1308">
        <v>0</v>
      </c>
    </row>
    <row r="186" spans="1:12" ht="21" customHeight="1" x14ac:dyDescent="0.2">
      <c r="A186" s="1334" t="s">
        <v>843</v>
      </c>
      <c r="B186" s="1334"/>
      <c r="C186" s="1334"/>
      <c r="D186" s="1667" t="s">
        <v>86</v>
      </c>
      <c r="E186" s="1668">
        <f>E187</f>
        <v>0</v>
      </c>
      <c r="F186" s="1668">
        <f t="shared" ref="F186:L186" si="78">F187</f>
        <v>115749</v>
      </c>
      <c r="G186" s="1669">
        <f t="shared" si="78"/>
        <v>115749</v>
      </c>
      <c r="H186" s="1765">
        <f t="shared" si="78"/>
        <v>115749</v>
      </c>
      <c r="I186" s="1951">
        <f t="shared" si="58"/>
        <v>1</v>
      </c>
      <c r="J186" s="1766">
        <f t="shared" si="78"/>
        <v>0</v>
      </c>
      <c r="K186" s="1766">
        <f t="shared" si="78"/>
        <v>0</v>
      </c>
      <c r="L186" s="1766">
        <f t="shared" si="78"/>
        <v>0</v>
      </c>
    </row>
    <row r="187" spans="1:12" ht="22.5" x14ac:dyDescent="0.2">
      <c r="A187" s="1299"/>
      <c r="B187" s="1341" t="s">
        <v>844</v>
      </c>
      <c r="C187" s="1300"/>
      <c r="D187" s="1301" t="s">
        <v>87</v>
      </c>
      <c r="E187" s="1344">
        <f>E188+E189</f>
        <v>0</v>
      </c>
      <c r="F187" s="1344">
        <f t="shared" ref="F187:L187" si="79">F188+F189</f>
        <v>115749</v>
      </c>
      <c r="G187" s="1661">
        <f t="shared" si="79"/>
        <v>115749</v>
      </c>
      <c r="H187" s="1763">
        <f t="shared" si="79"/>
        <v>115749</v>
      </c>
      <c r="I187" s="1773">
        <f t="shared" si="58"/>
        <v>1</v>
      </c>
      <c r="J187" s="1764">
        <f t="shared" si="79"/>
        <v>0</v>
      </c>
      <c r="K187" s="1764">
        <f t="shared" si="79"/>
        <v>0</v>
      </c>
      <c r="L187" s="1764">
        <f t="shared" si="79"/>
        <v>0</v>
      </c>
    </row>
    <row r="188" spans="1:12" ht="45" x14ac:dyDescent="0.2">
      <c r="A188" s="1302"/>
      <c r="B188" s="1342"/>
      <c r="C188" s="1303" t="s">
        <v>766</v>
      </c>
      <c r="D188" s="1304" t="s">
        <v>767</v>
      </c>
      <c r="E188" s="1345">
        <v>0</v>
      </c>
      <c r="F188" s="1345">
        <f>G188-E188</f>
        <v>114414</v>
      </c>
      <c r="G188" s="1348" t="s">
        <v>845</v>
      </c>
      <c r="H188" s="1769">
        <v>114414</v>
      </c>
      <c r="I188" s="1772">
        <f t="shared" si="58"/>
        <v>1</v>
      </c>
      <c r="J188" s="1308">
        <v>0</v>
      </c>
      <c r="K188" s="1308">
        <v>0</v>
      </c>
      <c r="L188" s="1308">
        <v>0</v>
      </c>
    </row>
    <row r="189" spans="1:12" ht="67.5" x14ac:dyDescent="0.2">
      <c r="A189" s="1302"/>
      <c r="B189" s="1342"/>
      <c r="C189" s="1303" t="s">
        <v>846</v>
      </c>
      <c r="D189" s="1304" t="s">
        <v>847</v>
      </c>
      <c r="E189" s="1345">
        <v>0</v>
      </c>
      <c r="F189" s="1345">
        <f>G189-E189</f>
        <v>1335</v>
      </c>
      <c r="G189" s="1348" t="s">
        <v>848</v>
      </c>
      <c r="H189" s="1769">
        <v>1335</v>
      </c>
      <c r="I189" s="1772">
        <f t="shared" si="58"/>
        <v>1</v>
      </c>
      <c r="J189" s="1308">
        <v>0</v>
      </c>
      <c r="K189" s="1308">
        <v>0</v>
      </c>
      <c r="L189" s="1308">
        <v>0</v>
      </c>
    </row>
    <row r="190" spans="1:12" x14ac:dyDescent="0.2">
      <c r="A190" s="1334" t="s">
        <v>849</v>
      </c>
      <c r="B190" s="1334"/>
      <c r="C190" s="1334"/>
      <c r="D190" s="1667" t="s">
        <v>51</v>
      </c>
      <c r="E190" s="1668">
        <f>E191+E197+E204+E206</f>
        <v>21198608</v>
      </c>
      <c r="F190" s="1668">
        <f t="shared" ref="F190:L190" si="80">F191+F197+F204+F206</f>
        <v>1530477</v>
      </c>
      <c r="G190" s="1669">
        <f t="shared" si="80"/>
        <v>22729085</v>
      </c>
      <c r="H190" s="1765">
        <f t="shared" si="80"/>
        <v>22668893.949999999</v>
      </c>
      <c r="I190" s="1951">
        <f t="shared" si="58"/>
        <v>0.99735180496707188</v>
      </c>
      <c r="J190" s="1766">
        <f t="shared" si="80"/>
        <v>3219668.8099999996</v>
      </c>
      <c r="K190" s="1766">
        <f t="shared" si="80"/>
        <v>3194389.9299999997</v>
      </c>
      <c r="L190" s="1766">
        <f t="shared" si="80"/>
        <v>0</v>
      </c>
    </row>
    <row r="191" spans="1:12" ht="15" x14ac:dyDescent="0.2">
      <c r="A191" s="1299"/>
      <c r="B191" s="1341" t="s">
        <v>850</v>
      </c>
      <c r="C191" s="1300"/>
      <c r="D191" s="1301" t="s">
        <v>851</v>
      </c>
      <c r="E191" s="1344">
        <f>E192+E193+E194+E195+E196</f>
        <v>13523240</v>
      </c>
      <c r="F191" s="1344">
        <f t="shared" ref="F191:K191" si="81">F192+F193+F194+F195+F196</f>
        <v>557112</v>
      </c>
      <c r="G191" s="1661">
        <f t="shared" si="81"/>
        <v>14080352</v>
      </c>
      <c r="H191" s="1763">
        <f t="shared" si="81"/>
        <v>14025704.15</v>
      </c>
      <c r="I191" s="1773">
        <f t="shared" si="58"/>
        <v>0.99611885768196706</v>
      </c>
      <c r="J191" s="1764">
        <f t="shared" si="81"/>
        <v>8400</v>
      </c>
      <c r="K191" s="1764">
        <f t="shared" si="81"/>
        <v>500</v>
      </c>
      <c r="L191" s="1764">
        <f>L192+L193+L194+L195+L196</f>
        <v>0</v>
      </c>
    </row>
    <row r="192" spans="1:12" ht="67.5" x14ac:dyDescent="0.2">
      <c r="A192" s="1302"/>
      <c r="B192" s="1342"/>
      <c r="C192" s="1303" t="s">
        <v>852</v>
      </c>
      <c r="D192" s="1304" t="s">
        <v>853</v>
      </c>
      <c r="E192" s="1345">
        <v>1000</v>
      </c>
      <c r="F192" s="1345">
        <f>G192-E192</f>
        <v>-1000</v>
      </c>
      <c r="G192" s="1348" t="s">
        <v>636</v>
      </c>
      <c r="H192" s="1769">
        <v>0</v>
      </c>
      <c r="I192" s="1772">
        <v>0</v>
      </c>
      <c r="J192" s="1308">
        <v>0</v>
      </c>
      <c r="K192" s="1308">
        <v>0</v>
      </c>
      <c r="L192" s="1308">
        <v>0</v>
      </c>
    </row>
    <row r="193" spans="1:12" x14ac:dyDescent="0.2">
      <c r="A193" s="1302"/>
      <c r="B193" s="1342"/>
      <c r="C193" s="1303" t="s">
        <v>62</v>
      </c>
      <c r="D193" s="1304" t="s">
        <v>63</v>
      </c>
      <c r="E193" s="1345">
        <v>0</v>
      </c>
      <c r="F193" s="1345">
        <f t="shared" ref="F193:F196" si="82">G193-E193</f>
        <v>2000</v>
      </c>
      <c r="G193" s="1348" t="s">
        <v>668</v>
      </c>
      <c r="H193" s="1769">
        <v>1197.01</v>
      </c>
      <c r="I193" s="1772">
        <f t="shared" si="58"/>
        <v>0.59850499999999995</v>
      </c>
      <c r="J193" s="1308">
        <v>0</v>
      </c>
      <c r="K193" s="1308">
        <v>0</v>
      </c>
      <c r="L193" s="1308">
        <v>0</v>
      </c>
    </row>
    <row r="194" spans="1:12" ht="22.5" x14ac:dyDescent="0.2">
      <c r="A194" s="1302"/>
      <c r="B194" s="1342"/>
      <c r="C194" s="1303" t="s">
        <v>762</v>
      </c>
      <c r="D194" s="1304" t="s">
        <v>763</v>
      </c>
      <c r="E194" s="1345">
        <v>0</v>
      </c>
      <c r="F194" s="1345">
        <f t="shared" si="82"/>
        <v>40000</v>
      </c>
      <c r="G194" s="1348" t="s">
        <v>658</v>
      </c>
      <c r="H194" s="1769">
        <v>20800</v>
      </c>
      <c r="I194" s="1772">
        <f t="shared" si="58"/>
        <v>0.52</v>
      </c>
      <c r="J194" s="1308">
        <v>8400</v>
      </c>
      <c r="K194" s="1308">
        <v>500</v>
      </c>
      <c r="L194" s="1308">
        <v>0</v>
      </c>
    </row>
    <row r="195" spans="1:12" ht="101.25" x14ac:dyDescent="0.2">
      <c r="A195" s="1302"/>
      <c r="B195" s="1342"/>
      <c r="C195" s="1303" t="s">
        <v>854</v>
      </c>
      <c r="D195" s="1304" t="s">
        <v>855</v>
      </c>
      <c r="E195" s="1345">
        <v>13512240</v>
      </c>
      <c r="F195" s="1345">
        <f t="shared" si="82"/>
        <v>526112</v>
      </c>
      <c r="G195" s="1348" t="s">
        <v>856</v>
      </c>
      <c r="H195" s="1769">
        <v>14003707.140000001</v>
      </c>
      <c r="I195" s="1772">
        <f t="shared" si="58"/>
        <v>0.99753212770273891</v>
      </c>
      <c r="J195" s="1308">
        <v>0</v>
      </c>
      <c r="K195" s="1308">
        <v>0</v>
      </c>
      <c r="L195" s="1308">
        <v>0</v>
      </c>
    </row>
    <row r="196" spans="1:12" ht="67.5" x14ac:dyDescent="0.2">
      <c r="A196" s="1302"/>
      <c r="B196" s="1342"/>
      <c r="C196" s="1303" t="s">
        <v>821</v>
      </c>
      <c r="D196" s="1304" t="s">
        <v>822</v>
      </c>
      <c r="E196" s="1345">
        <v>10000</v>
      </c>
      <c r="F196" s="1345">
        <f t="shared" si="82"/>
        <v>-10000</v>
      </c>
      <c r="G196" s="1348" t="s">
        <v>636</v>
      </c>
      <c r="H196" s="1769">
        <v>0</v>
      </c>
      <c r="I196" s="1772">
        <v>0</v>
      </c>
      <c r="J196" s="1308">
        <v>0</v>
      </c>
      <c r="K196" s="1308">
        <v>0</v>
      </c>
      <c r="L196" s="1308">
        <v>0</v>
      </c>
    </row>
    <row r="197" spans="1:12" ht="56.25" x14ac:dyDescent="0.2">
      <c r="A197" s="1299"/>
      <c r="B197" s="1341" t="s">
        <v>857</v>
      </c>
      <c r="C197" s="1300"/>
      <c r="D197" s="1301" t="s">
        <v>858</v>
      </c>
      <c r="E197" s="1344">
        <f>E198+E199+E200+E201+E202+E203</f>
        <v>7675368</v>
      </c>
      <c r="F197" s="1344">
        <f t="shared" ref="F197:L197" si="83">F198+F199+F200+F201+F202+F203</f>
        <v>147000</v>
      </c>
      <c r="G197" s="1661">
        <f t="shared" si="83"/>
        <v>7822368</v>
      </c>
      <c r="H197" s="1763">
        <f t="shared" si="83"/>
        <v>7817874.7999999998</v>
      </c>
      <c r="I197" s="1773">
        <f t="shared" si="58"/>
        <v>0.99942559593207581</v>
      </c>
      <c r="J197" s="1764">
        <f t="shared" si="83"/>
        <v>3211268.8099999996</v>
      </c>
      <c r="K197" s="1764">
        <f t="shared" si="83"/>
        <v>3193889.9299999997</v>
      </c>
      <c r="L197" s="1764">
        <f t="shared" si="83"/>
        <v>0</v>
      </c>
    </row>
    <row r="198" spans="1:12" ht="67.5" x14ac:dyDescent="0.2">
      <c r="A198" s="1302"/>
      <c r="B198" s="1342"/>
      <c r="C198" s="1303" t="s">
        <v>852</v>
      </c>
      <c r="D198" s="1304" t="s">
        <v>853</v>
      </c>
      <c r="E198" s="1345">
        <v>5000</v>
      </c>
      <c r="F198" s="1345">
        <f>G198-E198</f>
        <v>-5000</v>
      </c>
      <c r="G198" s="1348" t="s">
        <v>636</v>
      </c>
      <c r="H198" s="1769">
        <v>0</v>
      </c>
      <c r="I198" s="1772">
        <v>0</v>
      </c>
      <c r="J198" s="1308">
        <v>0</v>
      </c>
      <c r="K198" s="1308">
        <v>0</v>
      </c>
      <c r="L198" s="1308">
        <v>0</v>
      </c>
    </row>
    <row r="199" spans="1:12" x14ac:dyDescent="0.2">
      <c r="A199" s="1302"/>
      <c r="B199" s="1342"/>
      <c r="C199" s="1303" t="s">
        <v>62</v>
      </c>
      <c r="D199" s="1304" t="s">
        <v>63</v>
      </c>
      <c r="E199" s="1345">
        <v>0</v>
      </c>
      <c r="F199" s="1345">
        <f t="shared" ref="F199:F203" si="84">G199-E199</f>
        <v>5000</v>
      </c>
      <c r="G199" s="1348" t="s">
        <v>859</v>
      </c>
      <c r="H199" s="1769">
        <v>3404.09</v>
      </c>
      <c r="I199" s="1772">
        <f t="shared" si="58"/>
        <v>0.68081800000000003</v>
      </c>
      <c r="J199" s="1308">
        <v>0</v>
      </c>
      <c r="K199" s="1308">
        <v>0</v>
      </c>
      <c r="L199" s="1308">
        <v>0</v>
      </c>
    </row>
    <row r="200" spans="1:12" ht="22.5" x14ac:dyDescent="0.2">
      <c r="A200" s="1302"/>
      <c r="B200" s="1342"/>
      <c r="C200" s="1303" t="s">
        <v>762</v>
      </c>
      <c r="D200" s="1304" t="s">
        <v>763</v>
      </c>
      <c r="E200" s="1345">
        <v>0</v>
      </c>
      <c r="F200" s="1345">
        <f t="shared" si="84"/>
        <v>52000</v>
      </c>
      <c r="G200" s="1348" t="s">
        <v>860</v>
      </c>
      <c r="H200" s="1769">
        <v>34850.71</v>
      </c>
      <c r="I200" s="1772">
        <f t="shared" si="58"/>
        <v>0.67020596153846157</v>
      </c>
      <c r="J200" s="1308">
        <v>19250.8</v>
      </c>
      <c r="K200" s="1308">
        <v>1871.92</v>
      </c>
      <c r="L200" s="1308">
        <v>0</v>
      </c>
    </row>
    <row r="201" spans="1:12" ht="67.5" x14ac:dyDescent="0.2">
      <c r="A201" s="1302"/>
      <c r="B201" s="1342"/>
      <c r="C201" s="1303" t="s">
        <v>640</v>
      </c>
      <c r="D201" s="1304" t="s">
        <v>641</v>
      </c>
      <c r="E201" s="1345">
        <v>7583368</v>
      </c>
      <c r="F201" s="1345">
        <f t="shared" si="84"/>
        <v>120000</v>
      </c>
      <c r="G201" s="1348" t="s">
        <v>861</v>
      </c>
      <c r="H201" s="1769">
        <v>7684947.2800000003</v>
      </c>
      <c r="I201" s="1772">
        <f t="shared" si="58"/>
        <v>0.99760874464260307</v>
      </c>
      <c r="J201" s="1308">
        <v>0</v>
      </c>
      <c r="K201" s="1308">
        <v>0</v>
      </c>
      <c r="L201" s="1308">
        <v>0</v>
      </c>
    </row>
    <row r="202" spans="1:12" ht="45" x14ac:dyDescent="0.2">
      <c r="A202" s="1302"/>
      <c r="B202" s="1342"/>
      <c r="C202" s="1303" t="s">
        <v>834</v>
      </c>
      <c r="D202" s="1304" t="s">
        <v>835</v>
      </c>
      <c r="E202" s="1345">
        <v>62000</v>
      </c>
      <c r="F202" s="1345">
        <f t="shared" si="84"/>
        <v>0</v>
      </c>
      <c r="G202" s="1348" t="s">
        <v>862</v>
      </c>
      <c r="H202" s="1769">
        <v>94672.72</v>
      </c>
      <c r="I202" s="1772">
        <f t="shared" si="58"/>
        <v>1.5269793548387096</v>
      </c>
      <c r="J202" s="1308">
        <v>3192018.01</v>
      </c>
      <c r="K202" s="1308">
        <v>3192018.01</v>
      </c>
      <c r="L202" s="1308">
        <v>0</v>
      </c>
    </row>
    <row r="203" spans="1:12" ht="67.5" x14ac:dyDescent="0.2">
      <c r="A203" s="1302"/>
      <c r="B203" s="1342"/>
      <c r="C203" s="1303" t="s">
        <v>821</v>
      </c>
      <c r="D203" s="1304" t="s">
        <v>822</v>
      </c>
      <c r="E203" s="1345">
        <v>25000</v>
      </c>
      <c r="F203" s="1345">
        <f t="shared" si="84"/>
        <v>-25000</v>
      </c>
      <c r="G203" s="1348" t="s">
        <v>636</v>
      </c>
      <c r="H203" s="1769">
        <v>0</v>
      </c>
      <c r="I203" s="1772">
        <v>0</v>
      </c>
      <c r="J203" s="1308">
        <v>0</v>
      </c>
      <c r="K203" s="1308">
        <v>0</v>
      </c>
      <c r="L203" s="1308">
        <v>0</v>
      </c>
    </row>
    <row r="204" spans="1:12" ht="15" x14ac:dyDescent="0.2">
      <c r="A204" s="1299"/>
      <c r="B204" s="1341" t="s">
        <v>863</v>
      </c>
      <c r="C204" s="1300"/>
      <c r="D204" s="1301" t="s">
        <v>57</v>
      </c>
      <c r="E204" s="1344">
        <f>E205</f>
        <v>0</v>
      </c>
      <c r="F204" s="1344">
        <f t="shared" ref="F204:L204" si="85">F205</f>
        <v>300</v>
      </c>
      <c r="G204" s="1661" t="str">
        <f t="shared" si="85"/>
        <v>300,00</v>
      </c>
      <c r="H204" s="1763">
        <f t="shared" si="85"/>
        <v>300</v>
      </c>
      <c r="I204" s="1773">
        <f t="shared" si="58"/>
        <v>1</v>
      </c>
      <c r="J204" s="1764">
        <f t="shared" si="85"/>
        <v>0</v>
      </c>
      <c r="K204" s="1764">
        <f t="shared" si="85"/>
        <v>0</v>
      </c>
      <c r="L204" s="1764">
        <f t="shared" si="85"/>
        <v>0</v>
      </c>
    </row>
    <row r="205" spans="1:12" ht="67.5" x14ac:dyDescent="0.2">
      <c r="A205" s="1302"/>
      <c r="B205" s="1342"/>
      <c r="C205" s="1303" t="s">
        <v>640</v>
      </c>
      <c r="D205" s="1304" t="s">
        <v>641</v>
      </c>
      <c r="E205" s="1345">
        <v>0</v>
      </c>
      <c r="F205" s="1345">
        <f>G205-E205</f>
        <v>300</v>
      </c>
      <c r="G205" s="1348" t="s">
        <v>864</v>
      </c>
      <c r="H205" s="1769">
        <v>300</v>
      </c>
      <c r="I205" s="1772">
        <f t="shared" si="58"/>
        <v>1</v>
      </c>
      <c r="J205" s="1308">
        <v>0</v>
      </c>
      <c r="K205" s="1308">
        <v>0</v>
      </c>
      <c r="L205" s="1308">
        <v>0</v>
      </c>
    </row>
    <row r="206" spans="1:12" ht="15" x14ac:dyDescent="0.2">
      <c r="A206" s="1299"/>
      <c r="B206" s="1341" t="s">
        <v>865</v>
      </c>
      <c r="C206" s="1300"/>
      <c r="D206" s="1301" t="s">
        <v>58</v>
      </c>
      <c r="E206" s="1344">
        <f>E207+E208+E209</f>
        <v>0</v>
      </c>
      <c r="F206" s="1344">
        <f t="shared" ref="F206:L206" si="86">F207+F208+F209</f>
        <v>826065</v>
      </c>
      <c r="G206" s="1661">
        <f t="shared" si="86"/>
        <v>826065</v>
      </c>
      <c r="H206" s="1763">
        <f t="shared" si="86"/>
        <v>825015</v>
      </c>
      <c r="I206" s="1773">
        <f t="shared" si="58"/>
        <v>0.99872891358428206</v>
      </c>
      <c r="J206" s="1764">
        <f t="shared" si="86"/>
        <v>0</v>
      </c>
      <c r="K206" s="1764">
        <f t="shared" si="86"/>
        <v>0</v>
      </c>
      <c r="L206" s="1764">
        <f t="shared" si="86"/>
        <v>0</v>
      </c>
    </row>
    <row r="207" spans="1:12" ht="67.5" x14ac:dyDescent="0.2">
      <c r="A207" s="1302"/>
      <c r="B207" s="1342"/>
      <c r="C207" s="1303" t="s">
        <v>640</v>
      </c>
      <c r="D207" s="1304" t="s">
        <v>641</v>
      </c>
      <c r="E207" s="1345">
        <v>0</v>
      </c>
      <c r="F207" s="1345">
        <f>G207-E207</f>
        <v>770000</v>
      </c>
      <c r="G207" s="1348" t="s">
        <v>866</v>
      </c>
      <c r="H207" s="1769">
        <v>768950</v>
      </c>
      <c r="I207" s="1772">
        <f t="shared" si="58"/>
        <v>0.99863636363636366</v>
      </c>
      <c r="J207" s="1308">
        <v>0</v>
      </c>
      <c r="K207" s="1308">
        <v>0</v>
      </c>
      <c r="L207" s="1308">
        <v>0</v>
      </c>
    </row>
    <row r="208" spans="1:12" ht="45" x14ac:dyDescent="0.2">
      <c r="A208" s="1302"/>
      <c r="B208" s="1342"/>
      <c r="C208" s="1303" t="s">
        <v>766</v>
      </c>
      <c r="D208" s="1304" t="s">
        <v>767</v>
      </c>
      <c r="E208" s="1345">
        <v>0</v>
      </c>
      <c r="F208" s="1345">
        <f t="shared" ref="F208:F209" si="87">G208-E208</f>
        <v>40240</v>
      </c>
      <c r="G208" s="1348" t="s">
        <v>867</v>
      </c>
      <c r="H208" s="1769">
        <v>40240</v>
      </c>
      <c r="I208" s="1772">
        <f t="shared" ref="I208:I237" si="88">H208/G208</f>
        <v>1</v>
      </c>
      <c r="J208" s="1308">
        <v>0</v>
      </c>
      <c r="K208" s="1308">
        <v>0</v>
      </c>
      <c r="L208" s="1308">
        <v>0</v>
      </c>
    </row>
    <row r="209" spans="1:12" ht="33.75" x14ac:dyDescent="0.2">
      <c r="A209" s="1302"/>
      <c r="B209" s="1342"/>
      <c r="C209" s="1303" t="s">
        <v>868</v>
      </c>
      <c r="D209" s="1304" t="s">
        <v>869</v>
      </c>
      <c r="E209" s="1345">
        <v>0</v>
      </c>
      <c r="F209" s="1345">
        <f t="shared" si="87"/>
        <v>15825</v>
      </c>
      <c r="G209" s="1348" t="s">
        <v>870</v>
      </c>
      <c r="H209" s="1769">
        <v>15825</v>
      </c>
      <c r="I209" s="1772">
        <f t="shared" si="88"/>
        <v>1</v>
      </c>
      <c r="J209" s="1308">
        <v>0</v>
      </c>
      <c r="K209" s="1308">
        <v>0</v>
      </c>
      <c r="L209" s="1308">
        <v>0</v>
      </c>
    </row>
    <row r="210" spans="1:12" ht="27.75" customHeight="1" x14ac:dyDescent="0.2">
      <c r="A210" s="1334" t="s">
        <v>246</v>
      </c>
      <c r="B210" s="1334"/>
      <c r="C210" s="1334"/>
      <c r="D210" s="1667" t="s">
        <v>311</v>
      </c>
      <c r="E210" s="1668">
        <f>E211+E219+E221+E216</f>
        <v>2557836.4900000002</v>
      </c>
      <c r="F210" s="1668">
        <f t="shared" ref="F210:H210" si="89">F211+F219+F221+F216</f>
        <v>0</v>
      </c>
      <c r="G210" s="1669">
        <f t="shared" si="89"/>
        <v>2557836.4900000002</v>
      </c>
      <c r="H210" s="1670">
        <f t="shared" si="89"/>
        <v>2241198.06</v>
      </c>
      <c r="I210" s="1951">
        <f t="shared" si="88"/>
        <v>0.87620849446869842</v>
      </c>
      <c r="J210" s="1766">
        <f>J211+J219+J221+J216</f>
        <v>347355.27</v>
      </c>
      <c r="K210" s="1766">
        <f t="shared" ref="K210:L210" si="90">K211+K219+K221+K216</f>
        <v>317034.53000000003</v>
      </c>
      <c r="L210" s="1766">
        <f t="shared" si="90"/>
        <v>14957.78</v>
      </c>
    </row>
    <row r="211" spans="1:12" ht="15" x14ac:dyDescent="0.2">
      <c r="A211" s="1299"/>
      <c r="B211" s="1341" t="s">
        <v>871</v>
      </c>
      <c r="C211" s="1300"/>
      <c r="D211" s="1301" t="s">
        <v>312</v>
      </c>
      <c r="E211" s="1344">
        <f>E212+E213+E214+E215</f>
        <v>2463836.4900000002</v>
      </c>
      <c r="F211" s="1344">
        <f t="shared" ref="F211:L211" si="91">F212+F213+F214+F215</f>
        <v>0</v>
      </c>
      <c r="G211" s="1661">
        <f t="shared" si="91"/>
        <v>2463836.4900000002</v>
      </c>
      <c r="H211" s="1807">
        <f t="shared" si="91"/>
        <v>2187754.9</v>
      </c>
      <c r="I211" s="1773">
        <f t="shared" si="88"/>
        <v>0.8879464643370063</v>
      </c>
      <c r="J211" s="1764">
        <f t="shared" si="91"/>
        <v>344034.53</v>
      </c>
      <c r="K211" s="1764">
        <f t="shared" si="91"/>
        <v>317034.53000000003</v>
      </c>
      <c r="L211" s="1764">
        <f t="shared" si="91"/>
        <v>14957.78</v>
      </c>
    </row>
    <row r="212" spans="1:12" ht="45" x14ac:dyDescent="0.2">
      <c r="A212" s="1302"/>
      <c r="B212" s="1342"/>
      <c r="C212" s="1303" t="s">
        <v>650</v>
      </c>
      <c r="D212" s="1304" t="s">
        <v>651</v>
      </c>
      <c r="E212" s="1345">
        <v>2459836.4900000002</v>
      </c>
      <c r="F212" s="1345">
        <f>G212-E212</f>
        <v>0</v>
      </c>
      <c r="G212" s="1348" t="s">
        <v>872</v>
      </c>
      <c r="H212" s="1769">
        <v>2160510.1</v>
      </c>
      <c r="I212" s="1772">
        <f t="shared" si="88"/>
        <v>0.87831451756372636</v>
      </c>
      <c r="J212" s="1308">
        <v>318242.53000000003</v>
      </c>
      <c r="K212" s="1308">
        <v>317034.53000000003</v>
      </c>
      <c r="L212" s="1308">
        <v>14857.78</v>
      </c>
    </row>
    <row r="213" spans="1:12" ht="33.75" x14ac:dyDescent="0.2">
      <c r="A213" s="1302"/>
      <c r="B213" s="1342"/>
      <c r="C213" s="1303" t="s">
        <v>114</v>
      </c>
      <c r="D213" s="1304" t="s">
        <v>735</v>
      </c>
      <c r="E213" s="1345">
        <v>4000</v>
      </c>
      <c r="F213" s="1345">
        <f t="shared" ref="F213:F215" si="92">G213-E213</f>
        <v>0</v>
      </c>
      <c r="G213" s="1348" t="s">
        <v>873</v>
      </c>
      <c r="H213" s="1769">
        <v>15767</v>
      </c>
      <c r="I213" s="1772">
        <f t="shared" si="88"/>
        <v>3.9417499999999999</v>
      </c>
      <c r="J213" s="1308">
        <v>0</v>
      </c>
      <c r="K213" s="1308">
        <v>0</v>
      </c>
      <c r="L213" s="1308">
        <v>0</v>
      </c>
    </row>
    <row r="214" spans="1:12" s="1340" customFormat="1" ht="78.75" x14ac:dyDescent="0.2">
      <c r="A214" s="1342"/>
      <c r="B214" s="1342"/>
      <c r="C214" s="1352" t="s">
        <v>637</v>
      </c>
      <c r="D214" s="1304" t="s">
        <v>638</v>
      </c>
      <c r="E214" s="1345">
        <v>0</v>
      </c>
      <c r="F214" s="1345">
        <f t="shared" si="92"/>
        <v>0</v>
      </c>
      <c r="G214" s="1348">
        <v>0</v>
      </c>
      <c r="H214" s="1769">
        <v>585.36</v>
      </c>
      <c r="I214" s="1772">
        <v>0</v>
      </c>
      <c r="J214" s="1308">
        <v>0</v>
      </c>
      <c r="K214" s="1308">
        <v>0</v>
      </c>
      <c r="L214" s="1308">
        <v>100</v>
      </c>
    </row>
    <row r="215" spans="1:12" s="1340" customFormat="1" ht="22.5" x14ac:dyDescent="0.2">
      <c r="A215" s="1342"/>
      <c r="B215" s="1342"/>
      <c r="C215" s="1784" t="s">
        <v>717</v>
      </c>
      <c r="D215" s="1804" t="s">
        <v>718</v>
      </c>
      <c r="E215" s="1790">
        <v>0</v>
      </c>
      <c r="F215" s="1790">
        <f t="shared" si="92"/>
        <v>0</v>
      </c>
      <c r="G215" s="1791">
        <v>0</v>
      </c>
      <c r="H215" s="1792">
        <v>10892.44</v>
      </c>
      <c r="I215" s="1793">
        <v>0</v>
      </c>
      <c r="J215" s="1794">
        <v>25792</v>
      </c>
      <c r="K215" s="1794">
        <v>0</v>
      </c>
      <c r="L215" s="1794">
        <v>0</v>
      </c>
    </row>
    <row r="216" spans="1:12" s="1340" customFormat="1" x14ac:dyDescent="0.2">
      <c r="A216" s="1783"/>
      <c r="B216" s="1786" t="s">
        <v>260</v>
      </c>
      <c r="C216" s="1787"/>
      <c r="D216" s="1806" t="s">
        <v>314</v>
      </c>
      <c r="E216" s="1798">
        <v>0</v>
      </c>
      <c r="F216" s="1798">
        <f>F217</f>
        <v>0</v>
      </c>
      <c r="G216" s="1940">
        <f>G217</f>
        <v>0</v>
      </c>
      <c r="H216" s="1941">
        <f>H217</f>
        <v>0</v>
      </c>
      <c r="I216" s="1773">
        <v>0</v>
      </c>
      <c r="J216" s="1799">
        <f>J217+J218</f>
        <v>3320.74</v>
      </c>
      <c r="K216" s="1799">
        <f t="shared" ref="K216:L216" si="93">K217+K218</f>
        <v>0</v>
      </c>
      <c r="L216" s="1799">
        <f t="shared" si="93"/>
        <v>0</v>
      </c>
    </row>
    <row r="217" spans="1:12" s="1340" customFormat="1" ht="77.25" customHeight="1" x14ac:dyDescent="0.2">
      <c r="A217" s="1342"/>
      <c r="B217" s="1342"/>
      <c r="C217" s="1356" t="s">
        <v>821</v>
      </c>
      <c r="D217" s="1304" t="s">
        <v>822</v>
      </c>
      <c r="E217" s="1795">
        <v>0</v>
      </c>
      <c r="F217" s="1795">
        <v>0</v>
      </c>
      <c r="G217" s="1796">
        <v>0</v>
      </c>
      <c r="H217" s="1775">
        <v>0</v>
      </c>
      <c r="I217" s="1793">
        <v>0</v>
      </c>
      <c r="J217" s="1794">
        <f>3320.74-2570.74</f>
        <v>750</v>
      </c>
      <c r="K217" s="1794">
        <v>0</v>
      </c>
      <c r="L217" s="1794">
        <v>0</v>
      </c>
    </row>
    <row r="218" spans="1:12" s="1340" customFormat="1" ht="33.75" x14ac:dyDescent="0.2">
      <c r="A218" s="1342"/>
      <c r="B218" s="1342"/>
      <c r="C218" s="1356" t="s">
        <v>1597</v>
      </c>
      <c r="D218" s="1353" t="s">
        <v>1598</v>
      </c>
      <c r="E218" s="1795">
        <v>0</v>
      </c>
      <c r="F218" s="1795">
        <v>0</v>
      </c>
      <c r="G218" s="1796">
        <v>0</v>
      </c>
      <c r="H218" s="1769">
        <v>0</v>
      </c>
      <c r="I218" s="1772">
        <v>0</v>
      </c>
      <c r="J218" s="1308">
        <v>2570.7399999999998</v>
      </c>
      <c r="K218" s="1308">
        <v>0</v>
      </c>
      <c r="L218" s="1308">
        <v>0</v>
      </c>
    </row>
    <row r="219" spans="1:12" ht="33.75" x14ac:dyDescent="0.2">
      <c r="A219" s="1299"/>
      <c r="B219" s="1341" t="s">
        <v>874</v>
      </c>
      <c r="C219" s="1300"/>
      <c r="D219" s="1301" t="s">
        <v>590</v>
      </c>
      <c r="E219" s="1344">
        <f>E220</f>
        <v>84000</v>
      </c>
      <c r="F219" s="1344">
        <f t="shared" ref="F219:L219" si="94">F220</f>
        <v>0</v>
      </c>
      <c r="G219" s="1661" t="str">
        <f t="shared" si="94"/>
        <v>84 000,00</v>
      </c>
      <c r="H219" s="1934">
        <f t="shared" si="94"/>
        <v>49869.120000000003</v>
      </c>
      <c r="I219" s="1805">
        <f t="shared" si="88"/>
        <v>0.59367999999999999</v>
      </c>
      <c r="J219" s="1777">
        <f t="shared" si="94"/>
        <v>0</v>
      </c>
      <c r="K219" s="1777">
        <f t="shared" si="94"/>
        <v>0</v>
      </c>
      <c r="L219" s="1777">
        <f t="shared" si="94"/>
        <v>0</v>
      </c>
    </row>
    <row r="220" spans="1:12" x14ac:dyDescent="0.2">
      <c r="A220" s="1302"/>
      <c r="B220" s="1342"/>
      <c r="C220" s="1303" t="s">
        <v>107</v>
      </c>
      <c r="D220" s="1304" t="s">
        <v>591</v>
      </c>
      <c r="E220" s="1345">
        <v>84000</v>
      </c>
      <c r="F220" s="1345">
        <f>G220-E220</f>
        <v>0</v>
      </c>
      <c r="G220" s="1348" t="s">
        <v>781</v>
      </c>
      <c r="H220" s="1769">
        <v>49869.120000000003</v>
      </c>
      <c r="I220" s="1772">
        <f t="shared" si="88"/>
        <v>0.59367999999999999</v>
      </c>
      <c r="J220" s="1308">
        <v>0</v>
      </c>
      <c r="K220" s="1308">
        <v>0</v>
      </c>
      <c r="L220" s="1308">
        <v>0</v>
      </c>
    </row>
    <row r="221" spans="1:12" ht="15" x14ac:dyDescent="0.2">
      <c r="A221" s="1299"/>
      <c r="B221" s="1341" t="s">
        <v>875</v>
      </c>
      <c r="C221" s="1300"/>
      <c r="D221" s="1301" t="s">
        <v>11</v>
      </c>
      <c r="E221" s="1344">
        <f>E222+E223</f>
        <v>10000</v>
      </c>
      <c r="F221" s="1344">
        <f t="shared" ref="F221:L221" si="95">F222+F223</f>
        <v>0</v>
      </c>
      <c r="G221" s="1661">
        <f t="shared" si="95"/>
        <v>10000</v>
      </c>
      <c r="H221" s="1763">
        <f t="shared" si="95"/>
        <v>3574.04</v>
      </c>
      <c r="I221" s="1773">
        <f t="shared" si="88"/>
        <v>0.357404</v>
      </c>
      <c r="J221" s="1764">
        <f t="shared" si="95"/>
        <v>0</v>
      </c>
      <c r="K221" s="1764">
        <f t="shared" si="95"/>
        <v>0</v>
      </c>
      <c r="L221" s="1764">
        <f t="shared" si="95"/>
        <v>0</v>
      </c>
    </row>
    <row r="222" spans="1:12" x14ac:dyDescent="0.2">
      <c r="A222" s="1302"/>
      <c r="B222" s="1342"/>
      <c r="C222" s="1303" t="s">
        <v>60</v>
      </c>
      <c r="D222" s="1304" t="s">
        <v>61</v>
      </c>
      <c r="E222" s="1345">
        <v>10000</v>
      </c>
      <c r="F222" s="1345">
        <f>G222-E222</f>
        <v>0</v>
      </c>
      <c r="G222" s="1348" t="s">
        <v>648</v>
      </c>
      <c r="H222" s="1769">
        <v>3548.81</v>
      </c>
      <c r="I222" s="1772">
        <f t="shared" si="88"/>
        <v>0.354881</v>
      </c>
      <c r="J222" s="1308">
        <v>0</v>
      </c>
      <c r="K222" s="1308">
        <v>0</v>
      </c>
      <c r="L222" s="1308">
        <v>0</v>
      </c>
    </row>
    <row r="223" spans="1:12" s="1340" customFormat="1" x14ac:dyDescent="0.2">
      <c r="A223" s="1342"/>
      <c r="B223" s="1342"/>
      <c r="C223" s="1352" t="s">
        <v>62</v>
      </c>
      <c r="D223" s="1304" t="s">
        <v>63</v>
      </c>
      <c r="E223" s="1345">
        <v>0</v>
      </c>
      <c r="F223" s="1345">
        <f>G223-E223</f>
        <v>0</v>
      </c>
      <c r="G223" s="1348">
        <v>0</v>
      </c>
      <c r="H223" s="1769">
        <v>25.23</v>
      </c>
      <c r="I223" s="1772">
        <v>0</v>
      </c>
      <c r="J223" s="1308">
        <v>0</v>
      </c>
      <c r="K223" s="1308">
        <v>0</v>
      </c>
      <c r="L223" s="1308">
        <v>0</v>
      </c>
    </row>
    <row r="224" spans="1:12" ht="28.5" customHeight="1" x14ac:dyDescent="0.2">
      <c r="A224" s="1334" t="s">
        <v>263</v>
      </c>
      <c r="B224" s="1334"/>
      <c r="C224" s="1334"/>
      <c r="D224" s="1667" t="s">
        <v>297</v>
      </c>
      <c r="E224" s="1668">
        <f>E225</f>
        <v>25000</v>
      </c>
      <c r="F224" s="1668">
        <f t="shared" ref="F224:L224" si="96">F225</f>
        <v>0</v>
      </c>
      <c r="G224" s="1669">
        <f t="shared" si="96"/>
        <v>25000</v>
      </c>
      <c r="H224" s="1765">
        <f t="shared" si="96"/>
        <v>27679.399999999998</v>
      </c>
      <c r="I224" s="1951">
        <f t="shared" si="88"/>
        <v>1.1071759999999999</v>
      </c>
      <c r="J224" s="1766">
        <f t="shared" si="96"/>
        <v>4497.1400000000003</v>
      </c>
      <c r="K224" s="1766">
        <f t="shared" si="96"/>
        <v>4497.1400000000003</v>
      </c>
      <c r="L224" s="1766">
        <f t="shared" si="96"/>
        <v>170.82</v>
      </c>
    </row>
    <row r="225" spans="1:12" ht="15" x14ac:dyDescent="0.2">
      <c r="A225" s="1299"/>
      <c r="B225" s="1341" t="s">
        <v>264</v>
      </c>
      <c r="C225" s="1300"/>
      <c r="D225" s="1301" t="s">
        <v>298</v>
      </c>
      <c r="E225" s="1344">
        <f>E227+E228+E226</f>
        <v>25000</v>
      </c>
      <c r="F225" s="1344">
        <f t="shared" ref="F225:H225" si="97">F227+F228+F226</f>
        <v>0</v>
      </c>
      <c r="G225" s="1344">
        <f t="shared" si="97"/>
        <v>25000</v>
      </c>
      <c r="H225" s="1344">
        <f t="shared" si="97"/>
        <v>27679.399999999998</v>
      </c>
      <c r="I225" s="1773">
        <f t="shared" si="88"/>
        <v>1.1071759999999999</v>
      </c>
      <c r="J225" s="1779">
        <f>J227+J228+J226</f>
        <v>4497.1400000000003</v>
      </c>
      <c r="K225" s="1779">
        <f t="shared" ref="K225:L225" si="98">K227+K228+K226</f>
        <v>4497.1400000000003</v>
      </c>
      <c r="L225" s="1779">
        <f t="shared" si="98"/>
        <v>170.82</v>
      </c>
    </row>
    <row r="226" spans="1:12" s="1654" customFormat="1" ht="33.75" x14ac:dyDescent="0.2">
      <c r="A226" s="1653"/>
      <c r="B226" s="1653"/>
      <c r="C226" s="1782" t="s">
        <v>678</v>
      </c>
      <c r="D226" s="1304" t="s">
        <v>679</v>
      </c>
      <c r="E226" s="1362">
        <v>0</v>
      </c>
      <c r="F226" s="1362">
        <v>0</v>
      </c>
      <c r="G226" s="1363">
        <v>0</v>
      </c>
      <c r="H226" s="1778">
        <v>0</v>
      </c>
      <c r="I226" s="1772">
        <v>0</v>
      </c>
      <c r="J226" s="1780">
        <v>497.04</v>
      </c>
      <c r="K226" s="1780">
        <v>497.04</v>
      </c>
      <c r="L226" s="1780">
        <v>0</v>
      </c>
    </row>
    <row r="227" spans="1:12" x14ac:dyDescent="0.2">
      <c r="A227" s="1302"/>
      <c r="B227" s="1342"/>
      <c r="C227" s="1303" t="s">
        <v>60</v>
      </c>
      <c r="D227" s="1304" t="s">
        <v>61</v>
      </c>
      <c r="E227" s="1345">
        <v>25000</v>
      </c>
      <c r="F227" s="1345">
        <f>G227-E227</f>
        <v>0</v>
      </c>
      <c r="G227" s="1348" t="s">
        <v>645</v>
      </c>
      <c r="H227" s="1769">
        <v>27675.96</v>
      </c>
      <c r="I227" s="1772">
        <f t="shared" si="88"/>
        <v>1.1070384</v>
      </c>
      <c r="J227" s="1308">
        <v>3346.05</v>
      </c>
      <c r="K227" s="1308">
        <v>3346.05</v>
      </c>
      <c r="L227" s="1308">
        <v>170.82</v>
      </c>
    </row>
    <row r="228" spans="1:12" s="1340" customFormat="1" x14ac:dyDescent="0.2">
      <c r="A228" s="1342"/>
      <c r="B228" s="1342"/>
      <c r="C228" s="1352" t="s">
        <v>62</v>
      </c>
      <c r="D228" s="1304" t="s">
        <v>63</v>
      </c>
      <c r="E228" s="1345">
        <v>0</v>
      </c>
      <c r="F228" s="1345">
        <f>G228-E228</f>
        <v>0</v>
      </c>
      <c r="G228" s="1348">
        <v>0</v>
      </c>
      <c r="H228" s="1769">
        <v>3.44</v>
      </c>
      <c r="I228" s="1772">
        <v>0</v>
      </c>
      <c r="J228" s="1308">
        <v>654.04999999999995</v>
      </c>
      <c r="K228" s="1308">
        <v>654.04999999999995</v>
      </c>
      <c r="L228" s="1308">
        <v>0</v>
      </c>
    </row>
    <row r="229" spans="1:12" ht="21.75" customHeight="1" x14ac:dyDescent="0.2">
      <c r="A229" s="1334" t="s">
        <v>273</v>
      </c>
      <c r="B229" s="1334"/>
      <c r="C229" s="1334"/>
      <c r="D229" s="1667" t="s">
        <v>384</v>
      </c>
      <c r="E229" s="1668">
        <f>E230+E234</f>
        <v>171793</v>
      </c>
      <c r="F229" s="1668">
        <f t="shared" ref="F229:L229" si="99">F230+F234</f>
        <v>61900</v>
      </c>
      <c r="G229" s="1669">
        <f t="shared" si="99"/>
        <v>233693</v>
      </c>
      <c r="H229" s="1765">
        <f t="shared" si="99"/>
        <v>136497.39000000001</v>
      </c>
      <c r="I229" s="1951">
        <f t="shared" si="88"/>
        <v>0.58408848360883725</v>
      </c>
      <c r="J229" s="1766">
        <f t="shared" si="99"/>
        <v>1760.33</v>
      </c>
      <c r="K229" s="1766">
        <f t="shared" si="99"/>
        <v>0</v>
      </c>
      <c r="L229" s="1766">
        <f t="shared" si="99"/>
        <v>0</v>
      </c>
    </row>
    <row r="230" spans="1:12" ht="15" x14ac:dyDescent="0.2">
      <c r="A230" s="1299"/>
      <c r="B230" s="1341" t="s">
        <v>274</v>
      </c>
      <c r="C230" s="1300"/>
      <c r="D230" s="1301" t="s">
        <v>385</v>
      </c>
      <c r="E230" s="1344">
        <f>E231+E232+E233</f>
        <v>171793</v>
      </c>
      <c r="F230" s="1344">
        <f t="shared" ref="F230:L230" si="100">F231+F232+F233</f>
        <v>49900</v>
      </c>
      <c r="G230" s="1661">
        <f t="shared" si="100"/>
        <v>221693</v>
      </c>
      <c r="H230" s="1763">
        <f t="shared" si="100"/>
        <v>115362.2</v>
      </c>
      <c r="I230" s="1773">
        <f t="shared" si="88"/>
        <v>0.52036915915252169</v>
      </c>
      <c r="J230" s="1764">
        <f t="shared" si="100"/>
        <v>0</v>
      </c>
      <c r="K230" s="1764">
        <f t="shared" si="100"/>
        <v>0</v>
      </c>
      <c r="L230" s="1764">
        <f t="shared" si="100"/>
        <v>0</v>
      </c>
    </row>
    <row r="231" spans="1:12" ht="56.25" x14ac:dyDescent="0.2">
      <c r="A231" s="1302"/>
      <c r="B231" s="1342"/>
      <c r="C231" s="1303" t="s">
        <v>633</v>
      </c>
      <c r="D231" s="1304" t="s">
        <v>634</v>
      </c>
      <c r="E231" s="1345">
        <v>0</v>
      </c>
      <c r="F231" s="1345">
        <f>G231-E231</f>
        <v>49900</v>
      </c>
      <c r="G231" s="1348" t="s">
        <v>876</v>
      </c>
      <c r="H231" s="1769">
        <v>43805</v>
      </c>
      <c r="I231" s="1772">
        <f t="shared" si="88"/>
        <v>0.87785571142284569</v>
      </c>
      <c r="J231" s="1308">
        <v>0</v>
      </c>
      <c r="K231" s="1308">
        <v>0</v>
      </c>
      <c r="L231" s="1308">
        <v>0</v>
      </c>
    </row>
    <row r="232" spans="1:12" ht="90" x14ac:dyDescent="0.2">
      <c r="A232" s="1302"/>
      <c r="B232" s="1342"/>
      <c r="C232" s="1303" t="s">
        <v>877</v>
      </c>
      <c r="D232" s="1304" t="s">
        <v>878</v>
      </c>
      <c r="E232" s="1345">
        <v>171793</v>
      </c>
      <c r="F232" s="1345">
        <f t="shared" ref="F232:F233" si="101">G232-E232</f>
        <v>0</v>
      </c>
      <c r="G232" s="1348" t="s">
        <v>879</v>
      </c>
      <c r="H232" s="1769">
        <v>71557.2</v>
      </c>
      <c r="I232" s="1772">
        <f t="shared" si="88"/>
        <v>0.4165315234031654</v>
      </c>
      <c r="J232" s="1308">
        <v>0</v>
      </c>
      <c r="K232" s="1308">
        <v>0</v>
      </c>
      <c r="L232" s="1308">
        <v>0</v>
      </c>
    </row>
    <row r="233" spans="1:12" ht="56.25" x14ac:dyDescent="0.2">
      <c r="A233" s="1302"/>
      <c r="B233" s="1342"/>
      <c r="C233" s="1303" t="s">
        <v>880</v>
      </c>
      <c r="D233" s="1304" t="s">
        <v>881</v>
      </c>
      <c r="E233" s="1345">
        <v>0</v>
      </c>
      <c r="F233" s="1345">
        <f t="shared" si="101"/>
        <v>0</v>
      </c>
      <c r="G233" s="1348" t="s">
        <v>636</v>
      </c>
      <c r="H233" s="1769"/>
      <c r="I233" s="1772">
        <v>0</v>
      </c>
      <c r="J233" s="1308">
        <v>0</v>
      </c>
      <c r="K233" s="1308">
        <v>0</v>
      </c>
      <c r="L233" s="1308">
        <v>0</v>
      </c>
    </row>
    <row r="234" spans="1:12" ht="15" x14ac:dyDescent="0.2">
      <c r="A234" s="1299"/>
      <c r="B234" s="1341" t="s">
        <v>494</v>
      </c>
      <c r="C234" s="1300"/>
      <c r="D234" s="1301" t="s">
        <v>11</v>
      </c>
      <c r="E234" s="1344">
        <f>E235+E236</f>
        <v>0</v>
      </c>
      <c r="F234" s="1344">
        <f t="shared" ref="F234:L234" si="102">F235+F236</f>
        <v>12000</v>
      </c>
      <c r="G234" s="1661">
        <f t="shared" si="102"/>
        <v>12000</v>
      </c>
      <c r="H234" s="1763">
        <f t="shared" si="102"/>
        <v>21135.190000000002</v>
      </c>
      <c r="I234" s="1773">
        <f t="shared" si="88"/>
        <v>1.7612658333333335</v>
      </c>
      <c r="J234" s="1764">
        <f t="shared" si="102"/>
        <v>1760.33</v>
      </c>
      <c r="K234" s="1764">
        <f t="shared" si="102"/>
        <v>0</v>
      </c>
      <c r="L234" s="1764">
        <f t="shared" si="102"/>
        <v>0</v>
      </c>
    </row>
    <row r="235" spans="1:12" x14ac:dyDescent="0.2">
      <c r="A235" s="1302"/>
      <c r="B235" s="1342"/>
      <c r="C235" s="1303" t="s">
        <v>64</v>
      </c>
      <c r="D235" s="1304" t="s">
        <v>65</v>
      </c>
      <c r="E235" s="1345">
        <v>0</v>
      </c>
      <c r="F235" s="1345">
        <f>G235-E235</f>
        <v>12000</v>
      </c>
      <c r="G235" s="1348" t="s">
        <v>882</v>
      </c>
      <c r="H235" s="1769">
        <v>20975.61</v>
      </c>
      <c r="I235" s="1772">
        <f t="shared" si="88"/>
        <v>1.7479675000000001</v>
      </c>
      <c r="J235" s="1308"/>
      <c r="K235" s="1308"/>
      <c r="L235" s="1308"/>
    </row>
    <row r="236" spans="1:12" s="1340" customFormat="1" ht="67.5" x14ac:dyDescent="0.2">
      <c r="A236" s="1342"/>
      <c r="B236" s="1342"/>
      <c r="C236" s="1356" t="s">
        <v>821</v>
      </c>
      <c r="D236" s="1304" t="s">
        <v>822</v>
      </c>
      <c r="E236" s="1656">
        <v>0</v>
      </c>
      <c r="F236" s="1345">
        <f>G236-E236</f>
        <v>0</v>
      </c>
      <c r="G236" s="1657">
        <v>0</v>
      </c>
      <c r="H236" s="1769">
        <v>159.58000000000001</v>
      </c>
      <c r="I236" s="1772">
        <v>0</v>
      </c>
      <c r="J236" s="1308">
        <v>1760.33</v>
      </c>
      <c r="K236" s="1308">
        <v>0</v>
      </c>
      <c r="L236" s="1308">
        <v>0</v>
      </c>
    </row>
    <row r="237" spans="1:12" ht="17.100000000000001" customHeight="1" x14ac:dyDescent="0.2">
      <c r="A237" s="1967" t="s">
        <v>507</v>
      </c>
      <c r="B237" s="1967"/>
      <c r="C237" s="1967"/>
      <c r="D237" s="1967"/>
      <c r="E237" s="1665">
        <f>E229+E224+E210+E190+E186+E182+E155+E152+E119+E100+E67+E63+E58+E44+E31+E22+E19+E16+E8</f>
        <v>72928592.609999999</v>
      </c>
      <c r="F237" s="1665">
        <f>F229+F224+F210+F190+F186+F182+F155+F152+F119+F100+F67+F63+F58+F44+F31+F22+F19+F16+F8</f>
        <v>6402070.2800000003</v>
      </c>
      <c r="G237" s="1666">
        <f>G229+G224+G210+G190+G186+G182+G155+G152+G119+G100+G67+G63+G58+G44+G31+G22+G19+G16+G8</f>
        <v>79330662.890000001</v>
      </c>
      <c r="H237" s="1767">
        <f>H229+H224+H210+H190+H186+H182+H155+H152+H119+H100+H67+H63+H58+H44+H31+H22+H19+H16+H8</f>
        <v>79302757.100000024</v>
      </c>
      <c r="I237" s="1896">
        <f t="shared" si="88"/>
        <v>0.99964823450374196</v>
      </c>
      <c r="J237" s="1768">
        <f>J229+J224+J210+J190+J186+J182+J155+J152+J119+J100+J67+J63+J58+J44+J31+J22+J19+J16+J8</f>
        <v>6864995.3099999996</v>
      </c>
      <c r="K237" s="1768">
        <f>K229+K224+K210+K190+K186+K182+K155+K152+K119+K100+K67+K63+K58+K44+K31+K22+K19+K16+K8</f>
        <v>5868716.6999999993</v>
      </c>
      <c r="L237" s="1768">
        <f>L229+L224+L210+L190+L186+L182+L155+L152+L119+L100+L67+L63+L58+L44+L31+L22+L19+L16+L8</f>
        <v>43151.329999999994</v>
      </c>
    </row>
    <row r="238" spans="1:12" x14ac:dyDescent="0.2">
      <c r="I238" s="1660"/>
    </row>
    <row r="239" spans="1:12" x14ac:dyDescent="0.2">
      <c r="C239" s="1679"/>
      <c r="D239" s="1680" t="s">
        <v>508</v>
      </c>
      <c r="E239" s="1808"/>
      <c r="F239" s="1808"/>
      <c r="G239" s="1808"/>
      <c r="H239" s="1808"/>
      <c r="I239" s="1808"/>
      <c r="J239" s="1808"/>
      <c r="K239" s="1808"/>
      <c r="L239" s="1808"/>
    </row>
    <row r="240" spans="1:12" ht="28.5" customHeight="1" x14ac:dyDescent="0.2">
      <c r="C240" s="1691" t="s">
        <v>120</v>
      </c>
      <c r="D240" s="1691" t="s">
        <v>1555</v>
      </c>
      <c r="E240" s="1697">
        <f>E237-E250</f>
        <v>71754799.609999999</v>
      </c>
      <c r="F240" s="1697">
        <f t="shared" ref="F240:L240" si="103">F237-F250</f>
        <v>4237417.46</v>
      </c>
      <c r="G240" s="1898">
        <f t="shared" si="103"/>
        <v>75992217.069999993</v>
      </c>
      <c r="H240" s="1900">
        <f t="shared" si="103"/>
        <v>77088162.100000024</v>
      </c>
      <c r="I240" s="1899">
        <f>H240/G240</f>
        <v>1.0144218062356374</v>
      </c>
      <c r="J240" s="1697">
        <f t="shared" si="103"/>
        <v>6848473.2199999997</v>
      </c>
      <c r="K240" s="1697">
        <f t="shared" si="103"/>
        <v>5854765.3499999996</v>
      </c>
      <c r="L240" s="1697">
        <f t="shared" si="103"/>
        <v>43151.329999999994</v>
      </c>
    </row>
    <row r="241" spans="3:12" x14ac:dyDescent="0.2">
      <c r="C241" s="1953"/>
      <c r="D241" s="1954" t="s">
        <v>108</v>
      </c>
      <c r="E241" s="1706"/>
      <c r="F241" s="1706"/>
      <c r="G241" s="1706"/>
      <c r="H241" s="1706"/>
      <c r="I241" s="1897"/>
      <c r="J241" s="1706"/>
      <c r="K241" s="1706"/>
      <c r="L241" s="1706"/>
    </row>
    <row r="242" spans="3:12" ht="22.5" x14ac:dyDescent="0.2">
      <c r="C242" s="1702" t="s">
        <v>1543</v>
      </c>
      <c r="D242" s="1703" t="s">
        <v>1556</v>
      </c>
      <c r="E242" s="1696">
        <f t="shared" ref="E242:H243" si="104">E98</f>
        <v>11387283</v>
      </c>
      <c r="F242" s="1696">
        <f t="shared" si="104"/>
        <v>0</v>
      </c>
      <c r="G242" s="1901" t="str">
        <f t="shared" si="104"/>
        <v>11 387 283,00</v>
      </c>
      <c r="H242" s="1904">
        <f t="shared" si="104"/>
        <v>12110930</v>
      </c>
      <c r="I242" s="1903">
        <f>H242/G242</f>
        <v>1.0635486972616734</v>
      </c>
      <c r="J242" s="1696">
        <f t="shared" ref="J242:L243" si="105">J98</f>
        <v>0</v>
      </c>
      <c r="K242" s="1696">
        <f t="shared" si="105"/>
        <v>0</v>
      </c>
      <c r="L242" s="1696">
        <f t="shared" si="105"/>
        <v>1825</v>
      </c>
    </row>
    <row r="243" spans="3:12" ht="22.5" x14ac:dyDescent="0.2">
      <c r="C243" s="1702" t="s">
        <v>1545</v>
      </c>
      <c r="D243" s="1703" t="s">
        <v>1557</v>
      </c>
      <c r="E243" s="1696">
        <f t="shared" si="104"/>
        <v>1500000</v>
      </c>
      <c r="F243" s="1696">
        <f t="shared" si="104"/>
        <v>0</v>
      </c>
      <c r="G243" s="1901" t="str">
        <f t="shared" si="104"/>
        <v>1 500 000,00</v>
      </c>
      <c r="H243" s="1904">
        <f t="shared" si="104"/>
        <v>1202868.82</v>
      </c>
      <c r="I243" s="1903">
        <f t="shared" ref="I243:I246" si="106">H243/G243</f>
        <v>0.80191254666666667</v>
      </c>
      <c r="J243" s="1696">
        <f t="shared" si="105"/>
        <v>0</v>
      </c>
      <c r="K243" s="1696">
        <f t="shared" si="105"/>
        <v>0</v>
      </c>
      <c r="L243" s="1696">
        <f t="shared" si="105"/>
        <v>0</v>
      </c>
    </row>
    <row r="244" spans="3:12" x14ac:dyDescent="0.2">
      <c r="C244" s="1702" t="s">
        <v>1547</v>
      </c>
      <c r="D244" s="1703" t="s">
        <v>1558</v>
      </c>
      <c r="E244" s="1701">
        <f>E220+E213+E212+E131+E130+E107+E95+E93+E92+E88+E87+E86+E85+E84+E83+E82+E81+E77+E76+E75+E74+E73+E72+E69+E50+E35+E34+E33+E28+E26+E21+E94</f>
        <v>14826008.49</v>
      </c>
      <c r="F244" s="1701">
        <f t="shared" ref="F244:L244" si="107">F220+F213+F212+F131+F130+F107+F95+F93+F92+F88+F87+F86+F85+F84+F83+F82+F81+F77+F76+F75+F74+F73+F72+F69+F50+F35+F34+F33+F28+F26+F21+F94</f>
        <v>-226628</v>
      </c>
      <c r="G244" s="1902">
        <f t="shared" si="107"/>
        <v>14599380.49</v>
      </c>
      <c r="H244" s="1905">
        <f t="shared" si="107"/>
        <v>14969458.659999998</v>
      </c>
      <c r="I244" s="1903">
        <f t="shared" si="106"/>
        <v>1.0253488954722076</v>
      </c>
      <c r="J244" s="1701">
        <f t="shared" si="107"/>
        <v>2828530.34</v>
      </c>
      <c r="K244" s="1701">
        <f t="shared" si="107"/>
        <v>2614342.86</v>
      </c>
      <c r="L244" s="1701">
        <f t="shared" si="107"/>
        <v>40946.06</v>
      </c>
    </row>
    <row r="245" spans="3:12" x14ac:dyDescent="0.2">
      <c r="C245" s="1702" t="s">
        <v>1549</v>
      </c>
      <c r="D245" s="1703" t="s">
        <v>1559</v>
      </c>
      <c r="E245" s="1701">
        <f>E118+E104+E102</f>
        <v>19095527</v>
      </c>
      <c r="F245" s="1701">
        <f>F118+F104+F102</f>
        <v>-122006</v>
      </c>
      <c r="G245" s="1902">
        <f>G118+G104+G102</f>
        <v>18973521</v>
      </c>
      <c r="H245" s="1905">
        <f>H118+H104+H102</f>
        <v>18973521</v>
      </c>
      <c r="I245" s="1903">
        <f t="shared" si="106"/>
        <v>1</v>
      </c>
      <c r="J245" s="1701">
        <f>J118+J104+J102</f>
        <v>0</v>
      </c>
      <c r="K245" s="1701">
        <f>K118+K104+K102</f>
        <v>0</v>
      </c>
      <c r="L245" s="1701">
        <f>L118+L104+L102</f>
        <v>0</v>
      </c>
    </row>
    <row r="246" spans="3:12" x14ac:dyDescent="0.2">
      <c r="C246" s="1702" t="s">
        <v>1551</v>
      </c>
      <c r="D246" s="1703" t="s">
        <v>1560</v>
      </c>
      <c r="E246" s="1701">
        <f>E231+E208+E207+E205+E201+E195+E189+E188+E185+E184+E181+E178+E177+E174+E171+E168+E166+E163+E162+E157+E150+E149+E148+E147+E144+E134+E128+E125+E113+E112+E66+E62+E55+E46+E24+E15+E10+E142+E135+E60+E30+E209</f>
        <v>23687622.509999998</v>
      </c>
      <c r="F246" s="1701">
        <f>F231+F208+F207+F205+F201+F195+F189+F188+F185+F184+F181+F178+F177+F174+F171+F168+F166+F163+F162+F157+F150+F149+F148+F147+F144+F134+F128+F125+F113+F112+F66+F62+F55+F46+F24+F15+F10+F142+F135+F60+F30+F209</f>
        <v>4053489.26</v>
      </c>
      <c r="G246" s="1902">
        <f>G231+G208+G207+G205+G201+G195+G189+G188+G185+G184+G181+G178+G177+G174+G171+G168+G166+G163+G162+G157+G150+G149+G148+G147+G144+G134+G128+G125+G113+G112+G66+G62+G55+G46+G24+G15+G10+G142+G135+G60+G30+G209</f>
        <v>27741111.77</v>
      </c>
      <c r="H246" s="1905">
        <f>H231+H208+H207+H205+H201+H195+H189+H188+H185+H184+H181+H178+H177+H174+H171+H168+H166+H163+H162+H157+H150+H149+H148+H147+H144+H134+H128+H125+H113+H112+H66+H62+H55+H46+H24+H15+H10+H142+H135+H60+H30+H209</f>
        <v>27955960.920000002</v>
      </c>
      <c r="I246" s="1903">
        <f t="shared" si="106"/>
        <v>1.0077447923421854</v>
      </c>
      <c r="J246" s="1701">
        <f>J231+J208+J207+J205+J201+J195+J189+J188+J185+J184+J181+J178+J177+J174+J171+J168+J166+J163+J162+J157+J150+J149+J148+J147+J144+J134+J128+J125+J113+J112+J66+J62+J55+J46+J24+J15+J10+J142+J135+J60+J30+J209</f>
        <v>0</v>
      </c>
      <c r="K246" s="1701">
        <f>K231+K208+K207+K205+K201+K195+K189+K188+K185+K184+K181+K178+K177+K174+K171+K168+K166+K163+K162+K157+K150+K149+K148+K147+K144+K134+K128+K125+K113+K112+K66+K62+K55+K46+K24+K15+K10+K142+K135+K60+K30+K209</f>
        <v>0</v>
      </c>
      <c r="L246" s="1701">
        <f>L231+L208+L207+L205+L201+L195+L189+L188+L185+L184+L181+L178+L177+L174+L171+L168+L166+L163+L162+L157+L150+L149+L148+L147+L144+L134+L128+L125+L113+L112+L66+L62+L55+L46+L24+L15+L10+L142+L135+L60+L30+L209</f>
        <v>0</v>
      </c>
    </row>
    <row r="247" spans="3:12" x14ac:dyDescent="0.2">
      <c r="C247" s="1959"/>
      <c r="D247" s="1956" t="s">
        <v>108</v>
      </c>
      <c r="E247" s="1699"/>
      <c r="F247" s="1699"/>
      <c r="G247" s="1699"/>
      <c r="H247" s="1699"/>
      <c r="I247" s="1700"/>
      <c r="J247" s="1699"/>
      <c r="K247" s="1699"/>
      <c r="L247" s="1699"/>
    </row>
    <row r="248" spans="3:12" ht="52.5" x14ac:dyDescent="0.2">
      <c r="C248" s="1682"/>
      <c r="D248" s="1707" t="s">
        <v>1561</v>
      </c>
      <c r="E248" s="1708">
        <f>E185+E184+E150+E149+E148+E147</f>
        <v>1016680.51</v>
      </c>
      <c r="F248" s="1708">
        <f t="shared" ref="F248:L248" si="108">F185+F184+F150+F149+F148+F147</f>
        <v>-145804.85999999999</v>
      </c>
      <c r="G248" s="1906">
        <f t="shared" si="108"/>
        <v>870875.64999999991</v>
      </c>
      <c r="H248" s="1910">
        <f t="shared" si="108"/>
        <v>1235281.3500000001</v>
      </c>
      <c r="I248" s="1908">
        <f>H248/G248</f>
        <v>1.4184359730347269</v>
      </c>
      <c r="J248" s="1708">
        <f t="shared" si="108"/>
        <v>0</v>
      </c>
      <c r="K248" s="1708">
        <f t="shared" si="108"/>
        <v>0</v>
      </c>
      <c r="L248" s="1708">
        <f t="shared" si="108"/>
        <v>0</v>
      </c>
    </row>
    <row r="249" spans="3:12" x14ac:dyDescent="0.2">
      <c r="C249" s="1702" t="s">
        <v>1562</v>
      </c>
      <c r="D249" s="1704" t="s">
        <v>1563</v>
      </c>
      <c r="E249" s="1698">
        <f>E236+E235+E227+E228+E223+E222+E215+E214+E203+E202+E200+E199+E198+E196+E194+E193+E192+E179+E176+E172+E170+E164+E161+E158+E154+E146+E141+E139+E133+E132+E127+E124+E123+E122+E114+E111+E110+E109+E108+E106+E90+E89+E79+E78+E70+E65+E54+E52+E47+E42+E41+E40+E36+E37+E29+E27+E14+E13+E49+E226+E137+E217+E121+E96</f>
        <v>1258358.6099999999</v>
      </c>
      <c r="F249" s="1698">
        <f t="shared" ref="F249:L249" si="109">F236+F235+F227+F228+F223+F222+F215+F214+F203+F202+F200+F199+F198+F196+F194+F193+F192+F179+F176+F172+F170+F164+F161+F158+F154+F146+F141+F139+F133+F132+F127+F124+F123+F122+F114+F111+F110+F109+F108+F106+F90+F89+F79+F78+F70+F65+F54+F52+F47+F42+F41+F40+F36+F37+F29+F27+F14+F13+F49+F226+F137+F217+F121+F96</f>
        <v>532562.19999999995</v>
      </c>
      <c r="G249" s="1907">
        <f t="shared" si="109"/>
        <v>1790920.8099999998</v>
      </c>
      <c r="H249" s="1911">
        <f t="shared" si="109"/>
        <v>1875422.7000000002</v>
      </c>
      <c r="I249" s="1909">
        <f>H249/G249</f>
        <v>1.0471834876942439</v>
      </c>
      <c r="J249" s="1698">
        <f t="shared" si="109"/>
        <v>4019942.879999999</v>
      </c>
      <c r="K249" s="1698">
        <f t="shared" si="109"/>
        <v>3240422.4899999998</v>
      </c>
      <c r="L249" s="1698">
        <f t="shared" si="109"/>
        <v>380.27</v>
      </c>
    </row>
    <row r="250" spans="3:12" ht="21" customHeight="1" x14ac:dyDescent="0.2">
      <c r="C250" s="1692" t="s">
        <v>122</v>
      </c>
      <c r="D250" s="1693" t="s">
        <v>1570</v>
      </c>
      <c r="E250" s="1697">
        <f>E252+E253+E254+E255</f>
        <v>1173793</v>
      </c>
      <c r="F250" s="1697">
        <f>F252+F253+F254+F255</f>
        <v>2164652.8200000003</v>
      </c>
      <c r="G250" s="1898">
        <f>G252+G253+G254+G255</f>
        <v>3338445.8200000003</v>
      </c>
      <c r="H250" s="1900">
        <f>H252+H253+H254+H255</f>
        <v>2214595</v>
      </c>
      <c r="I250" s="1899">
        <f>H250/G250</f>
        <v>0.66336107260833121</v>
      </c>
      <c r="J250" s="1697">
        <f>J252+J253+J254+J255+J258</f>
        <v>16522.089999999997</v>
      </c>
      <c r="K250" s="1697">
        <f t="shared" ref="K250:L250" si="110">K252+K253+K254+K255+K258</f>
        <v>13951.349999999999</v>
      </c>
      <c r="L250" s="1697">
        <f t="shared" si="110"/>
        <v>0</v>
      </c>
    </row>
    <row r="251" spans="3:12" x14ac:dyDescent="0.2">
      <c r="C251" s="1955"/>
      <c r="D251" s="1956" t="s">
        <v>108</v>
      </c>
      <c r="E251" s="1689"/>
      <c r="F251" s="1689"/>
      <c r="G251" s="1689"/>
      <c r="H251" s="1689"/>
      <c r="I251" s="1690"/>
      <c r="J251" s="1689"/>
      <c r="K251" s="1689"/>
      <c r="L251" s="1689"/>
    </row>
    <row r="252" spans="3:12" ht="20.25" customHeight="1" x14ac:dyDescent="0.2">
      <c r="C252" s="1702" t="s">
        <v>1543</v>
      </c>
      <c r="D252" s="1703" t="s">
        <v>1564</v>
      </c>
      <c r="E252" s="1696">
        <f>E39+E57+E51+E18</f>
        <v>1000000</v>
      </c>
      <c r="F252" s="1696">
        <f>F39+F57+F51+F18</f>
        <v>0</v>
      </c>
      <c r="G252" s="1901">
        <f>G39+G57+G51+G18</f>
        <v>1000000</v>
      </c>
      <c r="H252" s="1904">
        <f>H39+H57+H51+H18</f>
        <v>1042402.91</v>
      </c>
      <c r="I252" s="1903">
        <f>H252/G252</f>
        <v>1.0424029100000001</v>
      </c>
      <c r="J252" s="1705">
        <f>J39+J57+J51+J18</f>
        <v>13740.22</v>
      </c>
      <c r="K252" s="1705">
        <f>K39+K57+K51+K18</f>
        <v>13740.22</v>
      </c>
      <c r="L252" s="1705">
        <f>L39+L57+L51+L18</f>
        <v>0</v>
      </c>
    </row>
    <row r="253" spans="3:12" ht="50.25" customHeight="1" x14ac:dyDescent="0.2">
      <c r="C253" s="1702" t="s">
        <v>1545</v>
      </c>
      <c r="D253" s="1703" t="s">
        <v>1565</v>
      </c>
      <c r="E253" s="1696">
        <f>E38</f>
        <v>2000</v>
      </c>
      <c r="F253" s="1696">
        <f>F38</f>
        <v>0</v>
      </c>
      <c r="G253" s="1901" t="str">
        <f>G38</f>
        <v>2 000,00</v>
      </c>
      <c r="H253" s="1904">
        <f>H38</f>
        <v>12009.7</v>
      </c>
      <c r="I253" s="1903">
        <f t="shared" ref="I253:I255" si="111">H253/G253</f>
        <v>6.0048500000000002</v>
      </c>
      <c r="J253" s="1696">
        <f>J38</f>
        <v>211.13</v>
      </c>
      <c r="K253" s="1696">
        <f>K38</f>
        <v>211.13</v>
      </c>
      <c r="L253" s="1696">
        <f>L38</f>
        <v>0</v>
      </c>
    </row>
    <row r="254" spans="3:12" ht="49.5" customHeight="1" x14ac:dyDescent="0.2">
      <c r="C254" s="1702" t="s">
        <v>1547</v>
      </c>
      <c r="D254" s="1703" t="s">
        <v>770</v>
      </c>
      <c r="E254" s="1696">
        <f>E116</f>
        <v>0</v>
      </c>
      <c r="F254" s="1696">
        <f>F116</f>
        <v>77788.75</v>
      </c>
      <c r="G254" s="1901" t="str">
        <f>G116</f>
        <v>77 788,75</v>
      </c>
      <c r="H254" s="1904">
        <f>H116</f>
        <v>77788.75</v>
      </c>
      <c r="I254" s="1903">
        <f t="shared" si="111"/>
        <v>1</v>
      </c>
      <c r="J254" s="1696">
        <f>J116</f>
        <v>0</v>
      </c>
      <c r="K254" s="1696">
        <f>K116</f>
        <v>0</v>
      </c>
      <c r="L254" s="1696">
        <f>L116</f>
        <v>0</v>
      </c>
    </row>
    <row r="255" spans="3:12" ht="20.25" customHeight="1" x14ac:dyDescent="0.2">
      <c r="C255" s="1702" t="s">
        <v>1549</v>
      </c>
      <c r="D255" s="1703" t="s">
        <v>1566</v>
      </c>
      <c r="E255" s="1696">
        <f>E233+E232+E159+E151+E115+E43+E11</f>
        <v>171793</v>
      </c>
      <c r="F255" s="1696">
        <f>F233+F232+F159+F151+F115+F43+F11</f>
        <v>2086864.07</v>
      </c>
      <c r="G255" s="1901">
        <f>G233+G232+G159+G151+G115+G43+G11</f>
        <v>2258657.0700000003</v>
      </c>
      <c r="H255" s="1904">
        <f>H233+H232+H159+H151+H115+H43+H11</f>
        <v>1082393.6399999999</v>
      </c>
      <c r="I255" s="1903">
        <f t="shared" si="111"/>
        <v>0.47921999951944888</v>
      </c>
      <c r="J255" s="1696">
        <f>J233+J232+J159+J151+J115+J43+J11</f>
        <v>0</v>
      </c>
      <c r="K255" s="1696">
        <f t="shared" ref="K255:L255" si="112">K233+K232+K159+K151+K115+K43+K11</f>
        <v>0</v>
      </c>
      <c r="L255" s="1696">
        <f t="shared" si="112"/>
        <v>0</v>
      </c>
    </row>
    <row r="256" spans="3:12" x14ac:dyDescent="0.2">
      <c r="C256" s="1957"/>
      <c r="D256" s="1958" t="s">
        <v>108</v>
      </c>
      <c r="E256" s="1694"/>
      <c r="F256" s="1694"/>
      <c r="G256" s="1694"/>
      <c r="H256" s="1694"/>
      <c r="I256" s="1695"/>
      <c r="J256" s="1694"/>
      <c r="K256" s="1694"/>
      <c r="L256" s="1694"/>
    </row>
    <row r="257" spans="3:12" ht="52.5" x14ac:dyDescent="0.2">
      <c r="C257" s="1681"/>
      <c r="D257" s="1709" t="s">
        <v>1567</v>
      </c>
      <c r="E257" s="1710">
        <f>E232</f>
        <v>171793</v>
      </c>
      <c r="F257" s="1710">
        <f t="shared" ref="F257:L257" si="113">F232</f>
        <v>0</v>
      </c>
      <c r="G257" s="1912" t="str">
        <f t="shared" si="113"/>
        <v>171 793,00</v>
      </c>
      <c r="H257" s="1914">
        <f t="shared" si="113"/>
        <v>71557.2</v>
      </c>
      <c r="I257" s="1913">
        <f>H257/G257</f>
        <v>0.4165315234031654</v>
      </c>
      <c r="J257" s="1710">
        <f t="shared" si="113"/>
        <v>0</v>
      </c>
      <c r="K257" s="1710">
        <f t="shared" si="113"/>
        <v>0</v>
      </c>
      <c r="L257" s="1710">
        <f t="shared" si="113"/>
        <v>0</v>
      </c>
    </row>
    <row r="258" spans="3:12" ht="33.75" x14ac:dyDescent="0.2">
      <c r="C258" s="1942" t="s">
        <v>1551</v>
      </c>
      <c r="D258" s="1353" t="s">
        <v>1598</v>
      </c>
      <c r="E258" s="1696">
        <f>E218</f>
        <v>0</v>
      </c>
      <c r="F258" s="1696">
        <f t="shared" ref="F258:L258" si="114">F218</f>
        <v>0</v>
      </c>
      <c r="G258" s="1901">
        <f t="shared" si="114"/>
        <v>0</v>
      </c>
      <c r="H258" s="1904">
        <f t="shared" si="114"/>
        <v>0</v>
      </c>
      <c r="I258" s="1943">
        <v>0</v>
      </c>
      <c r="J258" s="1696">
        <f t="shared" si="114"/>
        <v>2570.7399999999998</v>
      </c>
      <c r="K258" s="1696">
        <f t="shared" si="114"/>
        <v>0</v>
      </c>
      <c r="L258" s="1696">
        <f t="shared" si="114"/>
        <v>0</v>
      </c>
    </row>
    <row r="259" spans="3:12" x14ac:dyDescent="0.2">
      <c r="I259" s="1660"/>
    </row>
    <row r="260" spans="3:12" x14ac:dyDescent="0.2">
      <c r="I260" s="1660"/>
    </row>
    <row r="261" spans="3:12" x14ac:dyDescent="0.2">
      <c r="I261" s="1660"/>
    </row>
  </sheetData>
  <mergeCells count="13">
    <mergeCell ref="J6:L6"/>
    <mergeCell ref="A237:D237"/>
    <mergeCell ref="A3:J3"/>
    <mergeCell ref="A4:J4"/>
    <mergeCell ref="E6:E7"/>
    <mergeCell ref="F6:F7"/>
    <mergeCell ref="G6:G7"/>
    <mergeCell ref="D6:D7"/>
    <mergeCell ref="C6:C7"/>
    <mergeCell ref="B6:B7"/>
    <mergeCell ref="A6:A7"/>
    <mergeCell ref="H6:H7"/>
    <mergeCell ref="I6:I7"/>
  </mergeCells>
  <pageMargins left="0" right="0" top="0.78740157480314965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K7" sqref="K7"/>
    </sheetView>
  </sheetViews>
  <sheetFormatPr defaultRowHeight="12.75" x14ac:dyDescent="0.2"/>
  <cols>
    <col min="1" max="1" width="4.140625" style="459" customWidth="1"/>
    <col min="2" max="2" width="44.85546875" style="459" customWidth="1"/>
    <col min="3" max="3" width="20.7109375" style="459" customWidth="1"/>
    <col min="4" max="5" width="17.140625" style="459" customWidth="1"/>
    <col min="6" max="6" width="18.140625" style="459" customWidth="1"/>
    <col min="7" max="7" width="23" style="459" customWidth="1"/>
    <col min="8" max="16384" width="9.140625" style="459"/>
  </cols>
  <sheetData>
    <row r="1" spans="1:7" x14ac:dyDescent="0.2">
      <c r="F1" s="2213" t="s">
        <v>1605</v>
      </c>
      <c r="G1" s="2213"/>
    </row>
    <row r="2" spans="1:7" x14ac:dyDescent="0.2">
      <c r="F2" s="1809"/>
      <c r="G2" s="1809"/>
    </row>
    <row r="4" spans="1:7" ht="15.75" x14ac:dyDescent="0.2">
      <c r="A4" s="2214" t="s">
        <v>605</v>
      </c>
      <c r="B4" s="2214"/>
      <c r="C4" s="2214"/>
      <c r="D4" s="2214"/>
      <c r="E4" s="2214"/>
      <c r="F4" s="2214"/>
      <c r="G4" s="2214"/>
    </row>
    <row r="5" spans="1:7" ht="15.75" x14ac:dyDescent="0.2">
      <c r="A5" s="1810"/>
      <c r="B5" s="1810"/>
      <c r="C5" s="1810"/>
      <c r="D5" s="1810"/>
      <c r="E5" s="1810"/>
      <c r="F5" s="1810"/>
      <c r="G5" s="1810"/>
    </row>
    <row r="6" spans="1:7" s="460" customFormat="1" ht="13.5" customHeight="1" x14ac:dyDescent="0.25">
      <c r="A6" s="2215" t="s">
        <v>118</v>
      </c>
      <c r="B6" s="2212" t="s">
        <v>350</v>
      </c>
      <c r="C6" s="2216" t="s">
        <v>351</v>
      </c>
      <c r="D6" s="2216" t="s">
        <v>352</v>
      </c>
      <c r="E6" s="2217" t="s">
        <v>108</v>
      </c>
      <c r="F6" s="2217"/>
      <c r="G6" s="2217"/>
    </row>
    <row r="7" spans="1:7" s="460" customFormat="1" ht="13.5" customHeight="1" x14ac:dyDescent="0.25">
      <c r="A7" s="2215"/>
      <c r="B7" s="2212"/>
      <c r="C7" s="2216"/>
      <c r="D7" s="2216"/>
      <c r="E7" s="2212" t="s">
        <v>353</v>
      </c>
      <c r="F7" s="2212"/>
      <c r="G7" s="2212" t="s">
        <v>354</v>
      </c>
    </row>
    <row r="8" spans="1:7" s="460" customFormat="1" ht="45" x14ac:dyDescent="0.25">
      <c r="A8" s="2215"/>
      <c r="B8" s="2212"/>
      <c r="C8" s="2216"/>
      <c r="D8" s="2216"/>
      <c r="E8" s="461" t="s">
        <v>355</v>
      </c>
      <c r="F8" s="462" t="s">
        <v>356</v>
      </c>
      <c r="G8" s="2212"/>
    </row>
    <row r="9" spans="1:7" s="460" customFormat="1" x14ac:dyDescent="0.25">
      <c r="A9" s="463">
        <v>1</v>
      </c>
      <c r="B9" s="463">
        <v>2</v>
      </c>
      <c r="C9" s="464">
        <v>4</v>
      </c>
      <c r="D9" s="464">
        <v>6</v>
      </c>
      <c r="E9" s="463">
        <v>7</v>
      </c>
      <c r="F9" s="463">
        <v>8</v>
      </c>
      <c r="G9" s="463">
        <v>9</v>
      </c>
    </row>
    <row r="10" spans="1:7" s="460" customFormat="1" ht="27" customHeight="1" x14ac:dyDescent="0.25">
      <c r="A10" s="465" t="s">
        <v>120</v>
      </c>
      <c r="B10" s="466" t="s">
        <v>357</v>
      </c>
      <c r="C10" s="467">
        <f>1703000+C13+C14+C15</f>
        <v>2142855.35</v>
      </c>
      <c r="D10" s="467">
        <f>1705000+C13+C14+C15</f>
        <v>2144855.35</v>
      </c>
      <c r="E10" s="468">
        <f>D10-G10</f>
        <v>2131755.35</v>
      </c>
      <c r="F10" s="468">
        <v>411800</v>
      </c>
      <c r="G10" s="469">
        <f>12000+1100</f>
        <v>13100</v>
      </c>
    </row>
    <row r="11" spans="1:7" s="460" customFormat="1" ht="12" customHeight="1" x14ac:dyDescent="0.25">
      <c r="A11" s="470"/>
      <c r="B11" s="471" t="s">
        <v>108</v>
      </c>
      <c r="C11" s="467"/>
      <c r="D11" s="467"/>
      <c r="E11" s="468"/>
      <c r="F11" s="468"/>
      <c r="G11" s="469"/>
    </row>
    <row r="12" spans="1:7" s="460" customFormat="1" ht="14.25" customHeight="1" x14ac:dyDescent="0.25">
      <c r="A12" s="470"/>
      <c r="B12" s="471" t="s">
        <v>358</v>
      </c>
      <c r="C12" s="472">
        <f>C13+C14+C15</f>
        <v>439855.35</v>
      </c>
      <c r="D12" s="467"/>
      <c r="E12" s="468"/>
      <c r="F12" s="468"/>
      <c r="G12" s="469"/>
    </row>
    <row r="13" spans="1:7" s="460" customFormat="1" ht="39.75" customHeight="1" x14ac:dyDescent="0.25">
      <c r="A13" s="470"/>
      <c r="B13" s="473" t="s">
        <v>359</v>
      </c>
      <c r="C13" s="472">
        <v>351925.63</v>
      </c>
      <c r="D13" s="467"/>
      <c r="E13" s="468"/>
      <c r="F13" s="468"/>
      <c r="G13" s="469"/>
    </row>
    <row r="14" spans="1:7" s="460" customFormat="1" ht="32.25" customHeight="1" x14ac:dyDescent="0.25">
      <c r="A14" s="470"/>
      <c r="B14" s="474" t="s">
        <v>360</v>
      </c>
      <c r="C14" s="472">
        <v>14709.29</v>
      </c>
      <c r="D14" s="467"/>
      <c r="E14" s="467"/>
      <c r="F14" s="467"/>
      <c r="G14" s="475"/>
    </row>
    <row r="15" spans="1:7" s="460" customFormat="1" ht="31.5" customHeight="1" x14ac:dyDescent="0.25">
      <c r="A15" s="470"/>
      <c r="B15" s="476" t="s">
        <v>361</v>
      </c>
      <c r="C15" s="472">
        <v>73220.429999999993</v>
      </c>
      <c r="D15" s="467"/>
      <c r="E15" s="467"/>
      <c r="F15" s="467"/>
      <c r="G15" s="475"/>
    </row>
    <row r="16" spans="1:7" s="460" customFormat="1" ht="19.5" customHeight="1" x14ac:dyDescent="0.25">
      <c r="A16" s="478"/>
      <c r="B16" s="1882" t="s">
        <v>1583</v>
      </c>
      <c r="C16" s="1883">
        <f>C10</f>
        <v>2142855.35</v>
      </c>
      <c r="D16" s="1883">
        <f>D10</f>
        <v>2144855.35</v>
      </c>
      <c r="E16" s="1883">
        <f>E10</f>
        <v>2131755.35</v>
      </c>
      <c r="F16" s="1883">
        <f>F10</f>
        <v>411800</v>
      </c>
      <c r="G16" s="1883">
        <f>G10</f>
        <v>13100</v>
      </c>
    </row>
    <row r="17" spans="1:7" s="460" customFormat="1" ht="27" customHeight="1" x14ac:dyDescent="0.25">
      <c r="A17" s="470"/>
      <c r="B17" s="466" t="s">
        <v>357</v>
      </c>
      <c r="C17" s="467">
        <v>1986695.54</v>
      </c>
      <c r="D17" s="467">
        <v>2023643.97</v>
      </c>
      <c r="E17" s="468">
        <f>D17-G17</f>
        <v>2010585.96</v>
      </c>
      <c r="F17" s="468">
        <f>261385.31+19443.48+53944.84+3454.14+31562</f>
        <v>369789.77</v>
      </c>
      <c r="G17" s="469">
        <v>13058.01</v>
      </c>
    </row>
    <row r="18" spans="1:7" s="460" customFormat="1" ht="12" customHeight="1" x14ac:dyDescent="0.25">
      <c r="A18" s="470"/>
      <c r="B18" s="471" t="s">
        <v>108</v>
      </c>
      <c r="C18" s="467"/>
      <c r="D18" s="467"/>
      <c r="E18" s="468"/>
      <c r="F18" s="468"/>
      <c r="G18" s="469"/>
    </row>
    <row r="19" spans="1:7" s="460" customFormat="1" ht="14.25" customHeight="1" x14ac:dyDescent="0.25">
      <c r="A19" s="470"/>
      <c r="B19" s="471" t="s">
        <v>358</v>
      </c>
      <c r="C19" s="472">
        <f>C20+C21+C22</f>
        <v>432037.87999999995</v>
      </c>
      <c r="D19" s="467"/>
      <c r="E19" s="468"/>
      <c r="F19" s="468"/>
      <c r="G19" s="469"/>
    </row>
    <row r="20" spans="1:7" s="460" customFormat="1" ht="39.75" customHeight="1" x14ac:dyDescent="0.25">
      <c r="A20" s="470"/>
      <c r="B20" s="473" t="s">
        <v>359</v>
      </c>
      <c r="C20" s="472">
        <v>344108.16</v>
      </c>
      <c r="D20" s="467"/>
      <c r="E20" s="468"/>
      <c r="F20" s="468"/>
      <c r="G20" s="469"/>
    </row>
    <row r="21" spans="1:7" s="460" customFormat="1" ht="32.25" customHeight="1" x14ac:dyDescent="0.25">
      <c r="A21" s="470"/>
      <c r="B21" s="474" t="s">
        <v>360</v>
      </c>
      <c r="C21" s="472">
        <v>14709.29</v>
      </c>
      <c r="D21" s="467"/>
      <c r="E21" s="467"/>
      <c r="F21" s="467"/>
      <c r="G21" s="475"/>
    </row>
    <row r="22" spans="1:7" s="460" customFormat="1" ht="31.5" customHeight="1" x14ac:dyDescent="0.25">
      <c r="A22" s="470"/>
      <c r="B22" s="476" t="s">
        <v>361</v>
      </c>
      <c r="C22" s="472">
        <v>73220.429999999993</v>
      </c>
      <c r="D22" s="467"/>
      <c r="E22" s="467"/>
      <c r="F22" s="467"/>
      <c r="G22" s="475"/>
    </row>
    <row r="23" spans="1:7" s="460" customFormat="1" ht="33" customHeight="1" x14ac:dyDescent="0.25">
      <c r="A23" s="478"/>
      <c r="B23" s="1885" t="s">
        <v>1584</v>
      </c>
      <c r="C23" s="1883">
        <f>C17</f>
        <v>1986695.54</v>
      </c>
      <c r="D23" s="1883">
        <f>D17</f>
        <v>2023643.97</v>
      </c>
      <c r="E23" s="1883">
        <f>E17</f>
        <v>2010585.96</v>
      </c>
      <c r="F23" s="1883">
        <f>F17</f>
        <v>369789.77</v>
      </c>
      <c r="G23" s="1883">
        <f>G17</f>
        <v>13058.01</v>
      </c>
    </row>
    <row r="24" spans="1:7" s="460" customFormat="1" ht="19.5" customHeight="1" x14ac:dyDescent="0.25">
      <c r="A24" s="478"/>
      <c r="B24" s="1884" t="s">
        <v>91</v>
      </c>
      <c r="C24" s="1892">
        <f>C23/C16</f>
        <v>0.92712536102821874</v>
      </c>
      <c r="D24" s="1892">
        <f t="shared" ref="D24:G24" si="0">D23/D16</f>
        <v>0.94348738715643454</v>
      </c>
      <c r="E24" s="1892">
        <f t="shared" si="0"/>
        <v>0.94315980489975071</v>
      </c>
      <c r="F24" s="1892">
        <f t="shared" si="0"/>
        <v>0.8979838999514328</v>
      </c>
      <c r="G24" s="1892">
        <f t="shared" si="0"/>
        <v>0.99679465648854959</v>
      </c>
    </row>
    <row r="25" spans="1:7" s="460" customFormat="1" ht="39" customHeight="1" x14ac:dyDescent="0.25">
      <c r="A25" s="477" t="s">
        <v>122</v>
      </c>
      <c r="B25" s="466" t="s">
        <v>362</v>
      </c>
      <c r="C25" s="467">
        <f>1360000+50000+1008045.25</f>
        <v>2418045.25</v>
      </c>
      <c r="D25" s="467">
        <f>1360000+50000+1008045.25</f>
        <v>2418045.25</v>
      </c>
      <c r="E25" s="468">
        <f>D25-G25</f>
        <v>2373045.25</v>
      </c>
      <c r="F25" s="468">
        <v>475000</v>
      </c>
      <c r="G25" s="469">
        <f>30000+15000</f>
        <v>45000</v>
      </c>
    </row>
    <row r="26" spans="1:7" s="460" customFormat="1" ht="18.75" customHeight="1" x14ac:dyDescent="0.25">
      <c r="A26" s="478"/>
      <c r="B26" s="471" t="s">
        <v>108</v>
      </c>
      <c r="C26" s="479"/>
      <c r="D26" s="467"/>
      <c r="E26" s="468"/>
      <c r="F26" s="468"/>
      <c r="G26" s="469"/>
    </row>
    <row r="27" spans="1:7" s="460" customFormat="1" ht="22.5" customHeight="1" x14ac:dyDescent="0.25">
      <c r="A27" s="478"/>
      <c r="B27" s="480" t="s">
        <v>358</v>
      </c>
      <c r="C27" s="481">
        <f>C28</f>
        <v>150000</v>
      </c>
      <c r="D27" s="482"/>
      <c r="E27" s="483"/>
      <c r="F27" s="483"/>
      <c r="G27" s="484"/>
    </row>
    <row r="28" spans="1:7" s="460" customFormat="1" ht="30" customHeight="1" x14ac:dyDescent="0.25">
      <c r="A28" s="478"/>
      <c r="B28" s="485" t="s">
        <v>363</v>
      </c>
      <c r="C28" s="486">
        <v>150000</v>
      </c>
      <c r="D28" s="487"/>
      <c r="E28" s="488"/>
      <c r="F28" s="488"/>
      <c r="G28" s="489"/>
    </row>
    <row r="29" spans="1:7" s="460" customFormat="1" ht="22.5" customHeight="1" x14ac:dyDescent="0.25">
      <c r="A29" s="478"/>
      <c r="B29" s="1887" t="s">
        <v>1585</v>
      </c>
      <c r="C29" s="1888">
        <f>C25</f>
        <v>2418045.25</v>
      </c>
      <c r="D29" s="1888">
        <f>D25</f>
        <v>2418045.25</v>
      </c>
      <c r="E29" s="1889">
        <f>E25</f>
        <v>2373045.25</v>
      </c>
      <c r="F29" s="1889">
        <f>F25</f>
        <v>475000</v>
      </c>
      <c r="G29" s="1890">
        <f>G25</f>
        <v>45000</v>
      </c>
    </row>
    <row r="30" spans="1:7" s="460" customFormat="1" ht="39" customHeight="1" x14ac:dyDescent="0.25">
      <c r="A30" s="470"/>
      <c r="B30" s="466" t="s">
        <v>362</v>
      </c>
      <c r="C30" s="467">
        <v>2220764.86</v>
      </c>
      <c r="D30" s="467">
        <v>2369078.58</v>
      </c>
      <c r="E30" s="468">
        <f>D30-G30</f>
        <v>2326229.58</v>
      </c>
      <c r="F30" s="468">
        <f>349977.14+17373.69+65686.99+4528.57+5928.6</f>
        <v>443494.99</v>
      </c>
      <c r="G30" s="469">
        <v>42849</v>
      </c>
    </row>
    <row r="31" spans="1:7" s="460" customFormat="1" ht="18.75" customHeight="1" x14ac:dyDescent="0.25">
      <c r="A31" s="478"/>
      <c r="B31" s="471" t="s">
        <v>108</v>
      </c>
      <c r="C31" s="479"/>
      <c r="D31" s="467"/>
      <c r="E31" s="468"/>
      <c r="F31" s="468"/>
      <c r="G31" s="469"/>
    </row>
    <row r="32" spans="1:7" s="460" customFormat="1" ht="22.5" customHeight="1" x14ac:dyDescent="0.25">
      <c r="A32" s="478"/>
      <c r="B32" s="480" t="s">
        <v>358</v>
      </c>
      <c r="C32" s="481">
        <f>C33</f>
        <v>150000</v>
      </c>
      <c r="D32" s="482"/>
      <c r="E32" s="483"/>
      <c r="F32" s="483"/>
      <c r="G32" s="484"/>
    </row>
    <row r="33" spans="1:7" s="460" customFormat="1" ht="30" customHeight="1" x14ac:dyDescent="0.25">
      <c r="A33" s="478"/>
      <c r="B33" s="485" t="s">
        <v>363</v>
      </c>
      <c r="C33" s="486">
        <v>150000</v>
      </c>
      <c r="D33" s="487"/>
      <c r="E33" s="488"/>
      <c r="F33" s="488"/>
      <c r="G33" s="489"/>
    </row>
    <row r="34" spans="1:7" s="460" customFormat="1" ht="45.75" customHeight="1" x14ac:dyDescent="0.25">
      <c r="A34" s="478"/>
      <c r="B34" s="1887" t="s">
        <v>1586</v>
      </c>
      <c r="C34" s="1888">
        <f>C30</f>
        <v>2220764.86</v>
      </c>
      <c r="D34" s="1888">
        <f>D30</f>
        <v>2369078.58</v>
      </c>
      <c r="E34" s="1889">
        <f>E30</f>
        <v>2326229.58</v>
      </c>
      <c r="F34" s="1889">
        <f>F30</f>
        <v>443494.99</v>
      </c>
      <c r="G34" s="1890">
        <f>G30</f>
        <v>42849</v>
      </c>
    </row>
    <row r="35" spans="1:7" s="460" customFormat="1" ht="45.75" customHeight="1" x14ac:dyDescent="0.25">
      <c r="A35" s="1886"/>
      <c r="B35" s="1884" t="s">
        <v>91</v>
      </c>
      <c r="C35" s="1893">
        <f>C34/C29</f>
        <v>0.918413276178351</v>
      </c>
      <c r="D35" s="1893">
        <f t="shared" ref="D35:G35" si="1">D34/D29</f>
        <v>0.97974948152851982</v>
      </c>
      <c r="E35" s="1893">
        <f t="shared" si="1"/>
        <v>0.98027190168413358</v>
      </c>
      <c r="F35" s="1893">
        <f t="shared" si="1"/>
        <v>0.93367366315789468</v>
      </c>
      <c r="G35" s="1893">
        <f t="shared" si="1"/>
        <v>0.95220000000000005</v>
      </c>
    </row>
    <row r="36" spans="1:7" s="460" customFormat="1" ht="24.75" customHeight="1" x14ac:dyDescent="0.25">
      <c r="A36" s="2208" t="s">
        <v>1587</v>
      </c>
      <c r="B36" s="2209"/>
      <c r="C36" s="1891">
        <f>C16+C29</f>
        <v>4560900.5999999996</v>
      </c>
      <c r="D36" s="1891">
        <f t="shared" ref="D36:G36" si="2">D16+D29</f>
        <v>4562900.5999999996</v>
      </c>
      <c r="E36" s="1891">
        <f t="shared" si="2"/>
        <v>4504800.5999999996</v>
      </c>
      <c r="F36" s="1891">
        <f t="shared" si="2"/>
        <v>886800</v>
      </c>
      <c r="G36" s="1891">
        <f t="shared" si="2"/>
        <v>58100</v>
      </c>
    </row>
    <row r="37" spans="1:7" ht="26.25" customHeight="1" x14ac:dyDescent="0.25">
      <c r="A37" s="2210" t="s">
        <v>1588</v>
      </c>
      <c r="B37" s="2211"/>
      <c r="C37" s="1894">
        <f>C34+C23</f>
        <v>4207460.4000000004</v>
      </c>
      <c r="D37" s="1894">
        <f t="shared" ref="D37:G37" si="3">D34+D23</f>
        <v>4392722.55</v>
      </c>
      <c r="E37" s="1894">
        <f t="shared" si="3"/>
        <v>4336815.54</v>
      </c>
      <c r="F37" s="1894">
        <f t="shared" si="3"/>
        <v>813284.76</v>
      </c>
      <c r="G37" s="1894">
        <f t="shared" si="3"/>
        <v>55907.01</v>
      </c>
    </row>
    <row r="38" spans="1:7" ht="24.75" customHeight="1" x14ac:dyDescent="0.25">
      <c r="A38" s="2210" t="s">
        <v>1589</v>
      </c>
      <c r="B38" s="2211"/>
      <c r="C38" s="1895">
        <f>C37/C36</f>
        <v>0.92250648917891365</v>
      </c>
      <c r="D38" s="1895">
        <f t="shared" ref="D38:G38" si="4">D37/D36</f>
        <v>0.96270397606294567</v>
      </c>
      <c r="E38" s="1895">
        <f t="shared" si="4"/>
        <v>0.96270976788628571</v>
      </c>
      <c r="F38" s="1895">
        <f t="shared" si="4"/>
        <v>0.91710054127198914</v>
      </c>
      <c r="G38" s="1895">
        <f t="shared" si="4"/>
        <v>0.9622549053356283</v>
      </c>
    </row>
  </sheetData>
  <sheetProtection selectLockedCells="1" selectUnlockedCells="1"/>
  <mergeCells count="12">
    <mergeCell ref="A36:B36"/>
    <mergeCell ref="A37:B37"/>
    <mergeCell ref="A38:B38"/>
    <mergeCell ref="G7:G8"/>
    <mergeCell ref="F1:G1"/>
    <mergeCell ref="A4:G4"/>
    <mergeCell ref="A6:A8"/>
    <mergeCell ref="B6:B8"/>
    <mergeCell ref="C6:C8"/>
    <mergeCell ref="D6:D8"/>
    <mergeCell ref="E6:G6"/>
    <mergeCell ref="E7:F7"/>
  </mergeCells>
  <pageMargins left="0.47244094488188981" right="0.31496062992125984" top="0.78740157480314965" bottom="0.39370078740157483" header="0.31496062992125984" footer="0.11811023622047245"/>
  <pageSetup paperSize="9" scale="93" firstPageNumber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E33" sqref="E33"/>
    </sheetView>
  </sheetViews>
  <sheetFormatPr defaultRowHeight="12.75" x14ac:dyDescent="0.2"/>
  <cols>
    <col min="1" max="1" width="4.7109375" style="757" customWidth="1"/>
    <col min="2" max="2" width="7.5703125" style="757" customWidth="1"/>
    <col min="3" max="3" width="7.7109375" style="757" customWidth="1"/>
    <col min="4" max="4" width="33.28515625" style="757" customWidth="1"/>
    <col min="5" max="5" width="11.85546875" style="757" customWidth="1"/>
    <col min="6" max="6" width="13.5703125" style="757" customWidth="1"/>
    <col min="7" max="7" width="11.7109375" style="757" customWidth="1"/>
    <col min="8" max="16384" width="9.140625" style="757"/>
  </cols>
  <sheetData>
    <row r="1" spans="1:7" x14ac:dyDescent="0.2">
      <c r="D1" s="758" t="s">
        <v>589</v>
      </c>
      <c r="E1" s="1147" t="s">
        <v>603</v>
      </c>
    </row>
    <row r="3" spans="1:7" ht="30.75" customHeight="1" x14ac:dyDescent="0.2">
      <c r="A3" s="2222" t="s">
        <v>604</v>
      </c>
      <c r="B3" s="2222"/>
      <c r="C3" s="2222"/>
      <c r="D3" s="2222"/>
      <c r="E3" s="2222"/>
      <c r="F3" s="2222"/>
      <c r="G3" s="2222"/>
    </row>
    <row r="4" spans="1:7" ht="38.25" customHeight="1" x14ac:dyDescent="0.2">
      <c r="A4" s="2218" t="s">
        <v>367</v>
      </c>
      <c r="B4" s="2218"/>
      <c r="C4" s="2218"/>
      <c r="D4" s="2218"/>
      <c r="E4" s="759"/>
    </row>
    <row r="5" spans="1:7" ht="28.5" customHeight="1" x14ac:dyDescent="0.2">
      <c r="A5" s="760" t="s">
        <v>0</v>
      </c>
      <c r="B5" s="760" t="s">
        <v>1</v>
      </c>
      <c r="C5" s="760" t="s">
        <v>131</v>
      </c>
      <c r="D5" s="761" t="s">
        <v>291</v>
      </c>
      <c r="E5" s="762" t="s">
        <v>292</v>
      </c>
      <c r="F5" s="763" t="s">
        <v>514</v>
      </c>
      <c r="G5" s="763" t="s">
        <v>91</v>
      </c>
    </row>
    <row r="6" spans="1:7" ht="24" x14ac:dyDescent="0.2">
      <c r="A6" s="764">
        <v>900</v>
      </c>
      <c r="B6" s="765"/>
      <c r="C6" s="766"/>
      <c r="D6" s="767" t="s">
        <v>311</v>
      </c>
      <c r="E6" s="768">
        <f>E7</f>
        <v>84000</v>
      </c>
      <c r="F6" s="768">
        <f t="shared" ref="F6:F7" si="0">F7</f>
        <v>49869.120000000003</v>
      </c>
      <c r="G6" s="1392">
        <f>F6/E6</f>
        <v>0.59367999999999999</v>
      </c>
    </row>
    <row r="7" spans="1:7" ht="36" x14ac:dyDescent="0.2">
      <c r="A7" s="769"/>
      <c r="B7" s="770">
        <v>90019</v>
      </c>
      <c r="C7" s="770"/>
      <c r="D7" s="771" t="s">
        <v>590</v>
      </c>
      <c r="E7" s="772">
        <f>E8</f>
        <v>84000</v>
      </c>
      <c r="F7" s="772">
        <f t="shared" si="0"/>
        <v>49869.120000000003</v>
      </c>
      <c r="G7" s="1393">
        <f>F7/E7</f>
        <v>0.59367999999999999</v>
      </c>
    </row>
    <row r="8" spans="1:7" x14ac:dyDescent="0.2">
      <c r="A8" s="773"/>
      <c r="B8" s="774"/>
      <c r="C8" s="775" t="s">
        <v>107</v>
      </c>
      <c r="D8" s="776" t="s">
        <v>591</v>
      </c>
      <c r="E8" s="777">
        <v>84000</v>
      </c>
      <c r="F8" s="779">
        <v>49869.120000000003</v>
      </c>
      <c r="G8" s="1394">
        <f>F8/E8</f>
        <v>0.59367999999999999</v>
      </c>
    </row>
    <row r="9" spans="1:7" ht="27" customHeight="1" x14ac:dyDescent="0.25">
      <c r="A9" s="773"/>
      <c r="B9" s="780"/>
      <c r="C9" s="781"/>
      <c r="D9" s="782" t="s">
        <v>288</v>
      </c>
      <c r="E9" s="783">
        <f>E6</f>
        <v>84000</v>
      </c>
      <c r="F9" s="783">
        <f t="shared" ref="F9" si="1">F6</f>
        <v>49869.120000000003</v>
      </c>
      <c r="G9" s="1395">
        <f>F9/E9</f>
        <v>0.59367999999999999</v>
      </c>
    </row>
    <row r="10" spans="1:7" ht="39.75" customHeight="1" x14ac:dyDescent="0.2">
      <c r="A10" s="2219" t="s">
        <v>592</v>
      </c>
      <c r="B10" s="2219"/>
      <c r="C10" s="2219"/>
      <c r="D10" s="2219"/>
      <c r="E10" s="784"/>
    </row>
    <row r="11" spans="1:7" ht="27" customHeight="1" x14ac:dyDescent="0.2">
      <c r="A11" s="785" t="s">
        <v>0</v>
      </c>
      <c r="B11" s="760" t="s">
        <v>1</v>
      </c>
      <c r="C11" s="760" t="s">
        <v>131</v>
      </c>
      <c r="D11" s="761" t="s">
        <v>291</v>
      </c>
      <c r="E11" s="762" t="s">
        <v>593</v>
      </c>
      <c r="F11" s="763" t="s">
        <v>514</v>
      </c>
      <c r="G11" s="763" t="s">
        <v>91</v>
      </c>
    </row>
    <row r="12" spans="1:7" ht="25.5" x14ac:dyDescent="0.2">
      <c r="A12" s="764">
        <v>900</v>
      </c>
      <c r="B12" s="765"/>
      <c r="C12" s="766"/>
      <c r="D12" s="786" t="s">
        <v>311</v>
      </c>
      <c r="E12" s="787">
        <f>E13+E16+E20+E23+E25</f>
        <v>84000</v>
      </c>
      <c r="F12" s="787">
        <f t="shared" ref="F12" si="2">F13+F16+F20+F23+F25</f>
        <v>51899.32</v>
      </c>
      <c r="G12" s="1396">
        <f>F12/E12</f>
        <v>0.61784904761904758</v>
      </c>
    </row>
    <row r="13" spans="1:7" ht="24" hidden="1" x14ac:dyDescent="0.2">
      <c r="A13" s="788"/>
      <c r="B13" s="770">
        <v>90001</v>
      </c>
      <c r="C13" s="770"/>
      <c r="D13" s="789" t="s">
        <v>594</v>
      </c>
      <c r="E13" s="790">
        <f>E14+E15</f>
        <v>0</v>
      </c>
      <c r="F13" s="790">
        <f t="shared" ref="F13" si="3">F14+F15</f>
        <v>0</v>
      </c>
      <c r="G13" s="1397"/>
    </row>
    <row r="14" spans="1:7" hidden="1" x14ac:dyDescent="0.2">
      <c r="A14" s="791"/>
      <c r="B14" s="2220"/>
      <c r="C14" s="792">
        <v>4210</v>
      </c>
      <c r="D14" s="793" t="s">
        <v>17</v>
      </c>
      <c r="E14" s="794"/>
      <c r="F14" s="778"/>
      <c r="G14" s="1394"/>
    </row>
    <row r="15" spans="1:7" hidden="1" x14ac:dyDescent="0.2">
      <c r="A15" s="791"/>
      <c r="B15" s="2221"/>
      <c r="C15" s="795">
        <v>4300</v>
      </c>
      <c r="D15" s="793" t="s">
        <v>18</v>
      </c>
      <c r="E15" s="794"/>
      <c r="F15" s="778"/>
      <c r="G15" s="1394"/>
    </row>
    <row r="16" spans="1:7" x14ac:dyDescent="0.2">
      <c r="A16" s="791"/>
      <c r="B16" s="770">
        <v>90002</v>
      </c>
      <c r="C16" s="770"/>
      <c r="D16" s="771" t="s">
        <v>312</v>
      </c>
      <c r="E16" s="790">
        <f>SUM(E17:E19)</f>
        <v>36000</v>
      </c>
      <c r="F16" s="790">
        <f t="shared" ref="F16" si="4">SUM(F17:F19)</f>
        <v>7953.7000000000007</v>
      </c>
      <c r="G16" s="1397">
        <f>F16/E16</f>
        <v>0.22093611111111114</v>
      </c>
    </row>
    <row r="17" spans="1:7" ht="48" x14ac:dyDescent="0.2">
      <c r="A17" s="791"/>
      <c r="B17" s="796"/>
      <c r="C17" s="796">
        <v>2320</v>
      </c>
      <c r="D17" s="345" t="s">
        <v>313</v>
      </c>
      <c r="E17" s="797">
        <v>30000</v>
      </c>
      <c r="F17" s="798">
        <v>3115.4</v>
      </c>
      <c r="G17" s="1398">
        <f>F17/E17</f>
        <v>0.10384666666666667</v>
      </c>
    </row>
    <row r="18" spans="1:7" x14ac:dyDescent="0.2">
      <c r="A18" s="791"/>
      <c r="B18" s="799"/>
      <c r="C18" s="792">
        <v>4210</v>
      </c>
      <c r="D18" s="793" t="s">
        <v>17</v>
      </c>
      <c r="E18" s="800">
        <v>1000</v>
      </c>
      <c r="F18" s="798">
        <v>0</v>
      </c>
      <c r="G18" s="1398">
        <f t="shared" ref="G18:G19" si="5">F18/E18</f>
        <v>0</v>
      </c>
    </row>
    <row r="19" spans="1:7" x14ac:dyDescent="0.2">
      <c r="A19" s="791"/>
      <c r="B19" s="801"/>
      <c r="C19" s="792">
        <v>4300</v>
      </c>
      <c r="D19" s="793" t="s">
        <v>18</v>
      </c>
      <c r="E19" s="800">
        <v>5000</v>
      </c>
      <c r="F19" s="798">
        <v>4838.3</v>
      </c>
      <c r="G19" s="1398">
        <f t="shared" si="5"/>
        <v>0.96766000000000008</v>
      </c>
    </row>
    <row r="20" spans="1:7" ht="24" x14ac:dyDescent="0.2">
      <c r="A20" s="791"/>
      <c r="B20" s="770">
        <v>90004</v>
      </c>
      <c r="C20" s="802"/>
      <c r="D20" s="771" t="s">
        <v>433</v>
      </c>
      <c r="E20" s="790">
        <f>SUM(E21:E22)</f>
        <v>36000</v>
      </c>
      <c r="F20" s="790">
        <f t="shared" ref="F20" si="6">SUM(F21:F22)</f>
        <v>32587.72</v>
      </c>
      <c r="G20" s="1397">
        <f t="shared" ref="G20:G27" si="7">F20/E20</f>
        <v>0.90521444444444443</v>
      </c>
    </row>
    <row r="21" spans="1:7" x14ac:dyDescent="0.2">
      <c r="A21" s="791"/>
      <c r="B21" s="803"/>
      <c r="C21" s="804">
        <v>4210</v>
      </c>
      <c r="D21" s="776" t="s">
        <v>17</v>
      </c>
      <c r="E21" s="805">
        <v>12000</v>
      </c>
      <c r="F21" s="798">
        <f>980.03+7607.69</f>
        <v>8587.7199999999993</v>
      </c>
      <c r="G21" s="1398">
        <f t="shared" si="7"/>
        <v>0.7156433333333333</v>
      </c>
    </row>
    <row r="22" spans="1:7" x14ac:dyDescent="0.2">
      <c r="A22" s="791"/>
      <c r="B22" s="780"/>
      <c r="C22" s="804">
        <v>4300</v>
      </c>
      <c r="D22" s="776" t="s">
        <v>18</v>
      </c>
      <c r="E22" s="805">
        <v>24000</v>
      </c>
      <c r="F22" s="798">
        <v>24000</v>
      </c>
      <c r="G22" s="1398">
        <f t="shared" si="7"/>
        <v>1</v>
      </c>
    </row>
    <row r="23" spans="1:7" ht="36" x14ac:dyDescent="0.2">
      <c r="A23" s="791"/>
      <c r="B23" s="806">
        <v>90019</v>
      </c>
      <c r="C23" s="770"/>
      <c r="D23" s="771" t="s">
        <v>590</v>
      </c>
      <c r="E23" s="790">
        <f>E24</f>
        <v>10000</v>
      </c>
      <c r="F23" s="790">
        <f t="shared" ref="F23" si="8">F24</f>
        <v>9869</v>
      </c>
      <c r="G23" s="1397">
        <f t="shared" si="7"/>
        <v>0.9869</v>
      </c>
    </row>
    <row r="24" spans="1:7" x14ac:dyDescent="0.2">
      <c r="A24" s="791"/>
      <c r="B24" s="803"/>
      <c r="C24" s="792">
        <v>4430</v>
      </c>
      <c r="D24" s="793" t="s">
        <v>19</v>
      </c>
      <c r="E24" s="800">
        <v>10000</v>
      </c>
      <c r="F24" s="798">
        <v>9869</v>
      </c>
      <c r="G24" s="1398">
        <f t="shared" si="7"/>
        <v>0.9869</v>
      </c>
    </row>
    <row r="25" spans="1:7" x14ac:dyDescent="0.2">
      <c r="A25" s="791"/>
      <c r="B25" s="770">
        <v>90095</v>
      </c>
      <c r="C25" s="802"/>
      <c r="D25" s="771" t="s">
        <v>11</v>
      </c>
      <c r="E25" s="790">
        <f>SUM(E26:E26)</f>
        <v>2000</v>
      </c>
      <c r="F25" s="790">
        <f t="shared" ref="F25" si="9">SUM(F26:F26)</f>
        <v>1488.9</v>
      </c>
      <c r="G25" s="1397">
        <f t="shared" si="7"/>
        <v>0.74445000000000006</v>
      </c>
    </row>
    <row r="26" spans="1:7" x14ac:dyDescent="0.2">
      <c r="A26" s="773"/>
      <c r="B26" s="807"/>
      <c r="C26" s="804">
        <v>4210</v>
      </c>
      <c r="D26" s="776" t="s">
        <v>17</v>
      </c>
      <c r="E26" s="805">
        <v>2000</v>
      </c>
      <c r="F26" s="798">
        <v>1488.9</v>
      </c>
      <c r="G26" s="1398">
        <f t="shared" si="7"/>
        <v>0.74445000000000006</v>
      </c>
    </row>
    <row r="27" spans="1:7" ht="33" customHeight="1" x14ac:dyDescent="0.25">
      <c r="A27" s="773"/>
      <c r="B27" s="780"/>
      <c r="C27" s="780"/>
      <c r="D27" s="782" t="s">
        <v>288</v>
      </c>
      <c r="E27" s="808">
        <f>E12</f>
        <v>84000</v>
      </c>
      <c r="F27" s="808">
        <f t="shared" ref="F27" si="10">F12</f>
        <v>51899.32</v>
      </c>
      <c r="G27" s="1399">
        <f t="shared" si="7"/>
        <v>0.61784904761904758</v>
      </c>
    </row>
    <row r="28" spans="1:7" x14ac:dyDescent="0.2">
      <c r="A28" s="809"/>
      <c r="B28" s="810"/>
      <c r="C28" s="810"/>
      <c r="D28" s="810"/>
      <c r="E28" s="810"/>
    </row>
    <row r="29" spans="1:7" x14ac:dyDescent="0.2">
      <c r="A29" s="1405" t="s">
        <v>1481</v>
      </c>
      <c r="B29" s="1403"/>
      <c r="C29" s="1403"/>
      <c r="D29" s="1403"/>
      <c r="E29" s="1404">
        <v>314933.53000000003</v>
      </c>
    </row>
    <row r="30" spans="1:7" x14ac:dyDescent="0.2">
      <c r="A30" s="1405" t="s">
        <v>1482</v>
      </c>
      <c r="B30" s="1403"/>
      <c r="C30" s="1403"/>
      <c r="D30" s="1403"/>
      <c r="E30" s="1404">
        <f>F9-F27</f>
        <v>-2030.1999999999971</v>
      </c>
    </row>
    <row r="31" spans="1:7" x14ac:dyDescent="0.2">
      <c r="A31" s="2223" t="s">
        <v>1483</v>
      </c>
      <c r="B31" s="2223"/>
      <c r="C31" s="2223"/>
      <c r="D31" s="2223"/>
      <c r="E31" s="1406">
        <f>E29+E30</f>
        <v>312903.33</v>
      </c>
    </row>
    <row r="32" spans="1:7" x14ac:dyDescent="0.2">
      <c r="A32" s="809"/>
      <c r="B32" s="810"/>
      <c r="C32" s="810"/>
      <c r="D32" s="810"/>
      <c r="E32" s="810"/>
    </row>
    <row r="33" spans="1:5" x14ac:dyDescent="0.2">
      <c r="A33" s="809"/>
      <c r="B33" s="810"/>
      <c r="C33" s="810"/>
      <c r="D33" s="810"/>
      <c r="E33" s="810"/>
    </row>
    <row r="34" spans="1:5" x14ac:dyDescent="0.2">
      <c r="A34" s="809"/>
      <c r="B34" s="810"/>
      <c r="C34" s="810"/>
      <c r="D34" s="810"/>
      <c r="E34" s="810"/>
    </row>
    <row r="35" spans="1:5" x14ac:dyDescent="0.2">
      <c r="A35" s="809"/>
      <c r="B35" s="810"/>
      <c r="C35" s="810"/>
      <c r="D35" s="810"/>
      <c r="E35" s="810"/>
    </row>
    <row r="36" spans="1:5" x14ac:dyDescent="0.2">
      <c r="A36" s="809"/>
      <c r="B36" s="810"/>
      <c r="C36" s="810"/>
      <c r="D36" s="810"/>
      <c r="E36" s="810"/>
    </row>
    <row r="37" spans="1:5" x14ac:dyDescent="0.2">
      <c r="A37" s="809"/>
      <c r="B37" s="810"/>
      <c r="C37" s="810"/>
      <c r="D37" s="810"/>
      <c r="E37" s="810"/>
    </row>
    <row r="38" spans="1:5" x14ac:dyDescent="0.2">
      <c r="A38" s="809"/>
      <c r="B38" s="810"/>
      <c r="C38" s="810"/>
      <c r="D38" s="810"/>
      <c r="E38" s="810"/>
    </row>
    <row r="39" spans="1:5" x14ac:dyDescent="0.2">
      <c r="A39" s="809"/>
      <c r="B39" s="809"/>
      <c r="C39" s="809"/>
      <c r="D39" s="809"/>
      <c r="E39" s="809"/>
    </row>
    <row r="40" spans="1:5" x14ac:dyDescent="0.2">
      <c r="A40" s="809"/>
      <c r="B40" s="809"/>
      <c r="C40" s="809"/>
      <c r="D40" s="809"/>
      <c r="E40" s="809"/>
    </row>
    <row r="41" spans="1:5" x14ac:dyDescent="0.2">
      <c r="A41" s="809"/>
      <c r="B41" s="809"/>
      <c r="C41" s="809"/>
      <c r="D41" s="809"/>
      <c r="E41" s="809"/>
    </row>
    <row r="42" spans="1:5" x14ac:dyDescent="0.2">
      <c r="A42" s="809"/>
      <c r="B42" s="809"/>
      <c r="C42" s="809"/>
      <c r="D42" s="809"/>
      <c r="E42" s="809"/>
    </row>
    <row r="43" spans="1:5" x14ac:dyDescent="0.2">
      <c r="A43" s="809"/>
      <c r="B43" s="809"/>
      <c r="C43" s="809"/>
      <c r="D43" s="809"/>
      <c r="E43" s="809"/>
    </row>
    <row r="44" spans="1:5" x14ac:dyDescent="0.2">
      <c r="A44" s="809"/>
      <c r="B44" s="809"/>
      <c r="C44" s="809"/>
      <c r="D44" s="809"/>
      <c r="E44" s="809"/>
    </row>
  </sheetData>
  <mergeCells count="5">
    <mergeCell ref="A4:D4"/>
    <mergeCell ref="A10:D10"/>
    <mergeCell ref="B14:B15"/>
    <mergeCell ref="A3:G3"/>
    <mergeCell ref="A31:D31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16" workbookViewId="0">
      <selection activeCell="H17" sqref="H17"/>
    </sheetView>
  </sheetViews>
  <sheetFormatPr defaultRowHeight="12.75" x14ac:dyDescent="0.2"/>
  <cols>
    <col min="1" max="1" width="5.5703125" style="491" customWidth="1"/>
    <col min="2" max="2" width="7.85546875" style="491" customWidth="1"/>
    <col min="3" max="3" width="8.42578125" style="491" customWidth="1"/>
    <col min="4" max="4" width="36.140625" style="491" customWidth="1"/>
    <col min="5" max="5" width="11.28515625" style="491" customWidth="1"/>
    <col min="6" max="6" width="13.28515625" style="491" customWidth="1"/>
    <col min="7" max="7" width="9.85546875" style="491" customWidth="1"/>
    <col min="8" max="8" width="9.7109375" style="491" bestFit="1" customWidth="1"/>
    <col min="9" max="16384" width="9.140625" style="491"/>
  </cols>
  <sheetData>
    <row r="1" spans="1:7" ht="15" customHeight="1" x14ac:dyDescent="0.2">
      <c r="A1" s="490"/>
      <c r="B1" s="490"/>
      <c r="C1" s="490"/>
      <c r="D1" s="2226" t="s">
        <v>606</v>
      </c>
      <c r="E1" s="2226"/>
      <c r="F1" s="2226"/>
      <c r="G1" s="2226"/>
    </row>
    <row r="2" spans="1:7" x14ac:dyDescent="0.2">
      <c r="A2" s="490"/>
      <c r="B2" s="490"/>
      <c r="C2" s="490"/>
      <c r="D2" s="492"/>
      <c r="E2" s="493"/>
    </row>
    <row r="3" spans="1:7" x14ac:dyDescent="0.2">
      <c r="A3" s="490"/>
      <c r="B3" s="490"/>
      <c r="C3" s="490"/>
      <c r="D3" s="492"/>
      <c r="E3" s="494"/>
    </row>
    <row r="4" spans="1:7" x14ac:dyDescent="0.2">
      <c r="A4" s="490"/>
      <c r="B4" s="490"/>
      <c r="C4" s="490"/>
      <c r="D4" s="495"/>
    </row>
    <row r="5" spans="1:7" ht="15" x14ac:dyDescent="0.2">
      <c r="A5" s="2227" t="s">
        <v>607</v>
      </c>
      <c r="B5" s="2227"/>
      <c r="C5" s="2227"/>
      <c r="D5" s="2227"/>
      <c r="E5" s="2227"/>
      <c r="F5" s="2227"/>
      <c r="G5" s="2227"/>
    </row>
    <row r="6" spans="1:7" ht="15" x14ac:dyDescent="0.2">
      <c r="A6" s="2227" t="s">
        <v>364</v>
      </c>
      <c r="B6" s="2227"/>
      <c r="C6" s="2227"/>
      <c r="D6" s="2227"/>
      <c r="E6" s="2227"/>
      <c r="F6" s="2227"/>
      <c r="G6" s="2227"/>
    </row>
    <row r="7" spans="1:7" ht="15" x14ac:dyDescent="0.2">
      <c r="A7" s="2227" t="s">
        <v>365</v>
      </c>
      <c r="B7" s="2227"/>
      <c r="C7" s="2227"/>
      <c r="D7" s="2227"/>
      <c r="E7" s="2227"/>
      <c r="F7" s="2227"/>
      <c r="G7" s="2227"/>
    </row>
    <row r="8" spans="1:7" ht="15" x14ac:dyDescent="0.2">
      <c r="A8" s="2227" t="s">
        <v>366</v>
      </c>
      <c r="B8" s="2227"/>
      <c r="C8" s="2227"/>
      <c r="D8" s="2227"/>
      <c r="E8" s="2227"/>
      <c r="F8" s="2227"/>
      <c r="G8" s="2227"/>
    </row>
    <row r="9" spans="1:7" ht="15" x14ac:dyDescent="0.2">
      <c r="A9" s="2227" t="s">
        <v>608</v>
      </c>
      <c r="B9" s="2227"/>
      <c r="C9" s="2227"/>
      <c r="D9" s="2227"/>
      <c r="E9" s="2227"/>
      <c r="F9" s="2227"/>
      <c r="G9" s="2227"/>
    </row>
    <row r="10" spans="1:7" x14ac:dyDescent="0.2">
      <c r="A10" s="496"/>
      <c r="B10" s="497"/>
      <c r="C10" s="497"/>
      <c r="D10" s="497"/>
    </row>
    <row r="11" spans="1:7" ht="15.75" x14ac:dyDescent="0.25">
      <c r="A11" s="498"/>
      <c r="B11" s="499"/>
      <c r="C11" s="499"/>
      <c r="D11" s="500" t="s">
        <v>367</v>
      </c>
    </row>
    <row r="12" spans="1:7" x14ac:dyDescent="0.2">
      <c r="A12" s="490"/>
      <c r="B12" s="490"/>
      <c r="C12" s="490"/>
      <c r="D12" s="490"/>
    </row>
    <row r="13" spans="1:7" ht="24" customHeight="1" x14ac:dyDescent="0.2">
      <c r="A13" s="501" t="s">
        <v>0</v>
      </c>
      <c r="B13" s="502" t="s">
        <v>1</v>
      </c>
      <c r="C13" s="503" t="s">
        <v>131</v>
      </c>
      <c r="D13" s="504" t="s">
        <v>291</v>
      </c>
      <c r="E13" s="505" t="s">
        <v>368</v>
      </c>
      <c r="F13" s="506" t="s">
        <v>514</v>
      </c>
      <c r="G13" s="1148" t="s">
        <v>91</v>
      </c>
    </row>
    <row r="14" spans="1:7" s="512" customFormat="1" ht="48" x14ac:dyDescent="0.25">
      <c r="A14" s="507">
        <v>756</v>
      </c>
      <c r="B14" s="508"/>
      <c r="C14" s="509"/>
      <c r="D14" s="510" t="s">
        <v>369</v>
      </c>
      <c r="E14" s="511">
        <f>SUM(E15)</f>
        <v>343000</v>
      </c>
      <c r="F14" s="511">
        <f t="shared" ref="F14:F15" si="0">SUM(F15)</f>
        <v>348445.3</v>
      </c>
      <c r="G14" s="1149">
        <f>F14/E14</f>
        <v>1.0158755102040815</v>
      </c>
    </row>
    <row r="15" spans="1:7" s="512" customFormat="1" ht="36" x14ac:dyDescent="0.25">
      <c r="A15" s="2224"/>
      <c r="B15" s="513">
        <v>75618</v>
      </c>
      <c r="C15" s="514"/>
      <c r="D15" s="515" t="s">
        <v>370</v>
      </c>
      <c r="E15" s="516">
        <f>SUM(E16)</f>
        <v>343000</v>
      </c>
      <c r="F15" s="516">
        <f t="shared" si="0"/>
        <v>348445.3</v>
      </c>
      <c r="G15" s="1150">
        <f>F15/E15</f>
        <v>1.0158755102040815</v>
      </c>
    </row>
    <row r="16" spans="1:7" s="512" customFormat="1" ht="24" x14ac:dyDescent="0.25">
      <c r="A16" s="2225"/>
      <c r="B16" s="517"/>
      <c r="C16" s="518">
        <v>480</v>
      </c>
      <c r="D16" s="519" t="s">
        <v>371</v>
      </c>
      <c r="E16" s="520">
        <v>343000</v>
      </c>
      <c r="F16" s="811">
        <v>348445.3</v>
      </c>
      <c r="G16" s="1151">
        <f>F16/E16</f>
        <v>1.0158755102040815</v>
      </c>
    </row>
    <row r="17" spans="1:8" s="526" customFormat="1" ht="24" customHeight="1" x14ac:dyDescent="0.25">
      <c r="A17" s="522"/>
      <c r="B17" s="522"/>
      <c r="C17" s="523"/>
      <c r="D17" s="524" t="s">
        <v>372</v>
      </c>
      <c r="E17" s="525">
        <f>SUM(E14)</f>
        <v>343000</v>
      </c>
      <c r="F17" s="525">
        <f t="shared" ref="F17" si="1">SUM(F14)</f>
        <v>348445.3</v>
      </c>
      <c r="G17" s="1152">
        <f>F17/E17</f>
        <v>1.0158755102040815</v>
      </c>
      <c r="H17" s="1944"/>
    </row>
    <row r="18" spans="1:8" x14ac:dyDescent="0.2">
      <c r="A18" s="527"/>
      <c r="B18" s="528"/>
      <c r="C18" s="490"/>
      <c r="D18" s="490"/>
      <c r="E18" s="529"/>
    </row>
    <row r="19" spans="1:8" ht="15.75" x14ac:dyDescent="0.25">
      <c r="A19" s="490"/>
      <c r="B19" s="490"/>
      <c r="C19" s="490"/>
      <c r="D19" s="500" t="s">
        <v>373</v>
      </c>
      <c r="E19" s="529"/>
    </row>
    <row r="20" spans="1:8" x14ac:dyDescent="0.2">
      <c r="A20" s="490"/>
      <c r="B20" s="490"/>
      <c r="C20" s="490"/>
      <c r="D20" s="490"/>
      <c r="E20" s="529"/>
    </row>
    <row r="21" spans="1:8" ht="39.75" customHeight="1" x14ac:dyDescent="0.2">
      <c r="A21" s="501" t="s">
        <v>0</v>
      </c>
      <c r="B21" s="501" t="s">
        <v>1</v>
      </c>
      <c r="C21" s="503" t="s">
        <v>131</v>
      </c>
      <c r="D21" s="504" t="s">
        <v>291</v>
      </c>
      <c r="E21" s="530" t="s">
        <v>368</v>
      </c>
      <c r="F21" s="506" t="s">
        <v>514</v>
      </c>
      <c r="G21" s="1148" t="s">
        <v>91</v>
      </c>
    </row>
    <row r="22" spans="1:8" s="512" customFormat="1" ht="12" x14ac:dyDescent="0.25">
      <c r="A22" s="531">
        <v>851</v>
      </c>
      <c r="B22" s="532"/>
      <c r="C22" s="533"/>
      <c r="D22" s="534" t="s">
        <v>309</v>
      </c>
      <c r="E22" s="511">
        <f>E23+E27</f>
        <v>393075</v>
      </c>
      <c r="F22" s="511">
        <f t="shared" ref="F22" si="2">F23+F27</f>
        <v>328771.62999999995</v>
      </c>
      <c r="G22" s="1153">
        <f>F22/E22</f>
        <v>0.83640941296190285</v>
      </c>
    </row>
    <row r="23" spans="1:8" s="512" customFormat="1" ht="12" x14ac:dyDescent="0.25">
      <c r="A23" s="535"/>
      <c r="B23" s="536">
        <v>85153</v>
      </c>
      <c r="C23" s="514"/>
      <c r="D23" s="537" t="s">
        <v>374</v>
      </c>
      <c r="E23" s="516">
        <f>SUM(E24:E26)</f>
        <v>7800</v>
      </c>
      <c r="F23" s="516">
        <f t="shared" ref="F23" si="3">SUM(F24:F26)</f>
        <v>1820</v>
      </c>
      <c r="G23" s="1154">
        <f>F23/E23</f>
        <v>0.23333333333333334</v>
      </c>
    </row>
    <row r="24" spans="1:8" s="512" customFormat="1" ht="12" x14ac:dyDescent="0.25">
      <c r="A24" s="535"/>
      <c r="B24" s="535"/>
      <c r="C24" s="538">
        <v>4170</v>
      </c>
      <c r="D24" s="539" t="s">
        <v>31</v>
      </c>
      <c r="E24" s="520">
        <v>2240</v>
      </c>
      <c r="F24" s="521">
        <v>1120</v>
      </c>
      <c r="G24" s="1151">
        <f>F24/E24</f>
        <v>0.5</v>
      </c>
    </row>
    <row r="25" spans="1:8" s="512" customFormat="1" ht="12" x14ac:dyDescent="0.25">
      <c r="A25" s="535"/>
      <c r="B25" s="535"/>
      <c r="C25" s="538">
        <v>4210</v>
      </c>
      <c r="D25" s="539" t="s">
        <v>17</v>
      </c>
      <c r="E25" s="520">
        <v>1000</v>
      </c>
      <c r="F25" s="521">
        <v>0</v>
      </c>
      <c r="G25" s="1151">
        <f t="shared" ref="G25:G26" si="4">F25/E25</f>
        <v>0</v>
      </c>
    </row>
    <row r="26" spans="1:8" s="512" customFormat="1" ht="12" x14ac:dyDescent="0.25">
      <c r="A26" s="535"/>
      <c r="B26" s="535"/>
      <c r="C26" s="538">
        <v>4300</v>
      </c>
      <c r="D26" s="539" t="s">
        <v>18</v>
      </c>
      <c r="E26" s="520">
        <v>4560</v>
      </c>
      <c r="F26" s="521">
        <v>700</v>
      </c>
      <c r="G26" s="1151">
        <f t="shared" si="4"/>
        <v>0.15350877192982457</v>
      </c>
    </row>
    <row r="27" spans="1:8" s="512" customFormat="1" ht="12" x14ac:dyDescent="0.25">
      <c r="A27" s="535"/>
      <c r="B27" s="536">
        <v>85154</v>
      </c>
      <c r="C27" s="514"/>
      <c r="D27" s="537" t="s">
        <v>310</v>
      </c>
      <c r="E27" s="516">
        <f>SUM(E28:E39)</f>
        <v>385275</v>
      </c>
      <c r="F27" s="516">
        <f t="shared" ref="F27" si="5">SUM(F28:F39)</f>
        <v>326951.62999999995</v>
      </c>
      <c r="G27" s="1154">
        <f>F27/E27</f>
        <v>0.84861885666082659</v>
      </c>
    </row>
    <row r="28" spans="1:8" s="512" customFormat="1" ht="72" x14ac:dyDescent="0.25">
      <c r="A28" s="535"/>
      <c r="B28" s="535"/>
      <c r="C28" s="540">
        <v>2360</v>
      </c>
      <c r="D28" s="252" t="s">
        <v>331</v>
      </c>
      <c r="E28" s="541">
        <v>48000</v>
      </c>
      <c r="F28" s="521">
        <v>42312</v>
      </c>
      <c r="G28" s="1151">
        <f>F28/E28</f>
        <v>0.88149999999999995</v>
      </c>
    </row>
    <row r="29" spans="1:8" s="512" customFormat="1" ht="48" x14ac:dyDescent="0.25">
      <c r="A29" s="535"/>
      <c r="B29" s="535"/>
      <c r="C29" s="540">
        <v>2710</v>
      </c>
      <c r="D29" s="252" t="s">
        <v>375</v>
      </c>
      <c r="E29" s="541">
        <v>24030</v>
      </c>
      <c r="F29" s="521">
        <v>24030</v>
      </c>
      <c r="G29" s="1151">
        <f t="shared" ref="G29:G39" si="6">F29/E29</f>
        <v>1</v>
      </c>
    </row>
    <row r="30" spans="1:8" s="512" customFormat="1" ht="12" x14ac:dyDescent="0.25">
      <c r="A30" s="535"/>
      <c r="B30" s="535"/>
      <c r="C30" s="538">
        <v>4110</v>
      </c>
      <c r="D30" s="539" t="s">
        <v>14</v>
      </c>
      <c r="E30" s="520">
        <v>4432.6099999999997</v>
      </c>
      <c r="F30" s="521">
        <v>3374.25</v>
      </c>
      <c r="G30" s="1151">
        <f t="shared" si="6"/>
        <v>0.76123322376658453</v>
      </c>
    </row>
    <row r="31" spans="1:8" s="512" customFormat="1" ht="12" x14ac:dyDescent="0.25">
      <c r="A31" s="535"/>
      <c r="B31" s="535"/>
      <c r="C31" s="538">
        <v>4120</v>
      </c>
      <c r="D31" s="539" t="s">
        <v>15</v>
      </c>
      <c r="E31" s="520">
        <v>481.39</v>
      </c>
      <c r="F31" s="521">
        <v>291.02999999999997</v>
      </c>
      <c r="G31" s="1151">
        <f t="shared" si="6"/>
        <v>0.60456178981698827</v>
      </c>
    </row>
    <row r="32" spans="1:8" s="512" customFormat="1" ht="12" x14ac:dyDescent="0.25">
      <c r="A32" s="535"/>
      <c r="B32" s="535"/>
      <c r="C32" s="538">
        <v>4170</v>
      </c>
      <c r="D32" s="539" t="s">
        <v>31</v>
      </c>
      <c r="E32" s="520">
        <v>146939</v>
      </c>
      <c r="F32" s="521">
        <v>136823.5</v>
      </c>
      <c r="G32" s="1151">
        <f t="shared" si="6"/>
        <v>0.9311585079522795</v>
      </c>
    </row>
    <row r="33" spans="1:8" s="512" customFormat="1" ht="12" x14ac:dyDescent="0.25">
      <c r="A33" s="535"/>
      <c r="B33" s="535"/>
      <c r="C33" s="538">
        <v>4210</v>
      </c>
      <c r="D33" s="539" t="s">
        <v>17</v>
      </c>
      <c r="E33" s="520">
        <v>25905</v>
      </c>
      <c r="F33" s="521">
        <v>18994.7</v>
      </c>
      <c r="G33" s="1151">
        <f t="shared" si="6"/>
        <v>0.73324454738467482</v>
      </c>
    </row>
    <row r="34" spans="1:8" s="512" customFormat="1" ht="12" x14ac:dyDescent="0.25">
      <c r="A34" s="535"/>
      <c r="B34" s="535"/>
      <c r="C34" s="538">
        <v>4260</v>
      </c>
      <c r="D34" s="539" t="s">
        <v>41</v>
      </c>
      <c r="E34" s="520">
        <v>12000</v>
      </c>
      <c r="F34" s="521">
        <v>9653.4599999999991</v>
      </c>
      <c r="G34" s="1151">
        <f t="shared" si="6"/>
        <v>0.80445499999999992</v>
      </c>
    </row>
    <row r="35" spans="1:8" s="512" customFormat="1" ht="12" x14ac:dyDescent="0.25">
      <c r="A35" s="535"/>
      <c r="B35" s="535"/>
      <c r="C35" s="538">
        <v>4270</v>
      </c>
      <c r="D35" s="539" t="s">
        <v>78</v>
      </c>
      <c r="E35" s="520">
        <v>6000</v>
      </c>
      <c r="F35" s="521">
        <v>0</v>
      </c>
      <c r="G35" s="1151">
        <f t="shared" si="6"/>
        <v>0</v>
      </c>
    </row>
    <row r="36" spans="1:8" s="512" customFormat="1" ht="12" x14ac:dyDescent="0.25">
      <c r="A36" s="535"/>
      <c r="B36" s="535"/>
      <c r="C36" s="538">
        <v>4300</v>
      </c>
      <c r="D36" s="539" t="s">
        <v>18</v>
      </c>
      <c r="E36" s="520">
        <v>113037</v>
      </c>
      <c r="F36" s="521">
        <v>88210.11</v>
      </c>
      <c r="G36" s="1151">
        <f t="shared" si="6"/>
        <v>0.78036492475914965</v>
      </c>
    </row>
    <row r="37" spans="1:8" s="512" customFormat="1" ht="24" x14ac:dyDescent="0.25">
      <c r="A37" s="535"/>
      <c r="B37" s="535"/>
      <c r="C37" s="538">
        <v>4360</v>
      </c>
      <c r="D37" s="519" t="s">
        <v>56</v>
      </c>
      <c r="E37" s="520">
        <v>2000</v>
      </c>
      <c r="F37" s="521">
        <v>1980.36</v>
      </c>
      <c r="G37" s="1151">
        <f t="shared" si="6"/>
        <v>0.99017999999999995</v>
      </c>
    </row>
    <row r="38" spans="1:8" s="512" customFormat="1" ht="12" x14ac:dyDescent="0.25">
      <c r="A38" s="535"/>
      <c r="B38" s="535"/>
      <c r="C38" s="538">
        <v>4410</v>
      </c>
      <c r="D38" s="539" t="s">
        <v>24</v>
      </c>
      <c r="E38" s="520">
        <v>450</v>
      </c>
      <c r="F38" s="521">
        <v>0</v>
      </c>
      <c r="G38" s="1151">
        <f t="shared" si="6"/>
        <v>0</v>
      </c>
    </row>
    <row r="39" spans="1:8" s="512" customFormat="1" thickBot="1" x14ac:dyDescent="0.3">
      <c r="A39" s="542"/>
      <c r="B39" s="542"/>
      <c r="C39" s="543">
        <v>4430</v>
      </c>
      <c r="D39" s="544" t="s">
        <v>19</v>
      </c>
      <c r="E39" s="545">
        <v>2000</v>
      </c>
      <c r="F39" s="521">
        <v>1282.22</v>
      </c>
      <c r="G39" s="1151">
        <f t="shared" si="6"/>
        <v>0.64111000000000007</v>
      </c>
    </row>
    <row r="40" spans="1:8" s="526" customFormat="1" ht="24" customHeight="1" x14ac:dyDescent="0.25">
      <c r="A40" s="546"/>
      <c r="B40" s="546"/>
      <c r="C40" s="547"/>
      <c r="D40" s="548" t="s">
        <v>372</v>
      </c>
      <c r="E40" s="549">
        <f>E22</f>
        <v>393075</v>
      </c>
      <c r="F40" s="549">
        <f t="shared" ref="F40" si="7">F22</f>
        <v>328771.62999999995</v>
      </c>
      <c r="G40" s="1155">
        <f>F40/E40</f>
        <v>0.83640941296190285</v>
      </c>
      <c r="H40" s="1944"/>
    </row>
    <row r="41" spans="1:8" x14ac:dyDescent="0.2">
      <c r="E41" s="1156"/>
      <c r="F41" s="1156"/>
      <c r="G41" s="1156"/>
    </row>
    <row r="42" spans="1:8" x14ac:dyDescent="0.2">
      <c r="F42" s="1156"/>
      <c r="H42" s="1156"/>
    </row>
  </sheetData>
  <sheetProtection selectLockedCells="1" selectUnlockedCells="1"/>
  <mergeCells count="7">
    <mergeCell ref="A15:A16"/>
    <mergeCell ref="D1:G1"/>
    <mergeCell ref="A5:G5"/>
    <mergeCell ref="A6:G6"/>
    <mergeCell ref="A7:G7"/>
    <mergeCell ref="A8:G8"/>
    <mergeCell ref="A9:G9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topLeftCell="A13" zoomScaleNormal="100" workbookViewId="0">
      <selection activeCell="A5" sqref="A5:XFD5"/>
    </sheetView>
  </sheetViews>
  <sheetFormatPr defaultColWidth="11.42578125" defaultRowHeight="12.75" x14ac:dyDescent="0.2"/>
  <cols>
    <col min="1" max="1" width="5.7109375" style="590" customWidth="1"/>
    <col min="2" max="2" width="7" style="590" customWidth="1"/>
    <col min="3" max="3" width="7.42578125" style="590" customWidth="1"/>
    <col min="4" max="4" width="11.42578125" style="590" customWidth="1"/>
    <col min="5" max="5" width="30" style="590" customWidth="1"/>
    <col min="6" max="6" width="13.5703125" style="727" customWidth="1"/>
    <col min="7" max="7" width="13.140625" style="592" customWidth="1"/>
    <col min="8" max="8" width="10.7109375" style="592" customWidth="1"/>
    <col min="9" max="144" width="11.5703125" style="592" customWidth="1"/>
    <col min="145" max="149" width="11.42578125" style="592"/>
    <col min="150" max="150" width="5.7109375" style="592" customWidth="1"/>
    <col min="151" max="151" width="7" style="592" customWidth="1"/>
    <col min="152" max="152" width="7.42578125" style="592" customWidth="1"/>
    <col min="153" max="153" width="13" style="592" customWidth="1"/>
    <col min="154" max="154" width="48.5703125" style="592" customWidth="1"/>
    <col min="155" max="155" width="13.5703125" style="592" customWidth="1"/>
    <col min="156" max="400" width="11.5703125" style="592" customWidth="1"/>
    <col min="401" max="405" width="11.42578125" style="592"/>
    <col min="406" max="406" width="5.7109375" style="592" customWidth="1"/>
    <col min="407" max="407" width="7" style="592" customWidth="1"/>
    <col min="408" max="408" width="7.42578125" style="592" customWidth="1"/>
    <col min="409" max="409" width="13" style="592" customWidth="1"/>
    <col min="410" max="410" width="48.5703125" style="592" customWidth="1"/>
    <col min="411" max="411" width="13.5703125" style="592" customWidth="1"/>
    <col min="412" max="656" width="11.5703125" style="592" customWidth="1"/>
    <col min="657" max="661" width="11.42578125" style="592"/>
    <col min="662" max="662" width="5.7109375" style="592" customWidth="1"/>
    <col min="663" max="663" width="7" style="592" customWidth="1"/>
    <col min="664" max="664" width="7.42578125" style="592" customWidth="1"/>
    <col min="665" max="665" width="13" style="592" customWidth="1"/>
    <col min="666" max="666" width="48.5703125" style="592" customWidth="1"/>
    <col min="667" max="667" width="13.5703125" style="592" customWidth="1"/>
    <col min="668" max="912" width="11.5703125" style="592" customWidth="1"/>
    <col min="913" max="917" width="11.42578125" style="592"/>
    <col min="918" max="918" width="5.7109375" style="592" customWidth="1"/>
    <col min="919" max="919" width="7" style="592" customWidth="1"/>
    <col min="920" max="920" width="7.42578125" style="592" customWidth="1"/>
    <col min="921" max="921" width="13" style="592" customWidth="1"/>
    <col min="922" max="922" width="48.5703125" style="592" customWidth="1"/>
    <col min="923" max="923" width="13.5703125" style="592" customWidth="1"/>
    <col min="924" max="1168" width="11.5703125" style="592" customWidth="1"/>
    <col min="1169" max="1173" width="11.42578125" style="592"/>
    <col min="1174" max="1174" width="5.7109375" style="592" customWidth="1"/>
    <col min="1175" max="1175" width="7" style="592" customWidth="1"/>
    <col min="1176" max="1176" width="7.42578125" style="592" customWidth="1"/>
    <col min="1177" max="1177" width="13" style="592" customWidth="1"/>
    <col min="1178" max="1178" width="48.5703125" style="592" customWidth="1"/>
    <col min="1179" max="1179" width="13.5703125" style="592" customWidth="1"/>
    <col min="1180" max="1424" width="11.5703125" style="592" customWidth="1"/>
    <col min="1425" max="1429" width="11.42578125" style="592"/>
    <col min="1430" max="1430" width="5.7109375" style="592" customWidth="1"/>
    <col min="1431" max="1431" width="7" style="592" customWidth="1"/>
    <col min="1432" max="1432" width="7.42578125" style="592" customWidth="1"/>
    <col min="1433" max="1433" width="13" style="592" customWidth="1"/>
    <col min="1434" max="1434" width="48.5703125" style="592" customWidth="1"/>
    <col min="1435" max="1435" width="13.5703125" style="592" customWidth="1"/>
    <col min="1436" max="1680" width="11.5703125" style="592" customWidth="1"/>
    <col min="1681" max="1685" width="11.42578125" style="592"/>
    <col min="1686" max="1686" width="5.7109375" style="592" customWidth="1"/>
    <col min="1687" max="1687" width="7" style="592" customWidth="1"/>
    <col min="1688" max="1688" width="7.42578125" style="592" customWidth="1"/>
    <col min="1689" max="1689" width="13" style="592" customWidth="1"/>
    <col min="1690" max="1690" width="48.5703125" style="592" customWidth="1"/>
    <col min="1691" max="1691" width="13.5703125" style="592" customWidth="1"/>
    <col min="1692" max="1936" width="11.5703125" style="592" customWidth="1"/>
    <col min="1937" max="1941" width="11.42578125" style="592"/>
    <col min="1942" max="1942" width="5.7109375" style="592" customWidth="1"/>
    <col min="1943" max="1943" width="7" style="592" customWidth="1"/>
    <col min="1944" max="1944" width="7.42578125" style="592" customWidth="1"/>
    <col min="1945" max="1945" width="13" style="592" customWidth="1"/>
    <col min="1946" max="1946" width="48.5703125" style="592" customWidth="1"/>
    <col min="1947" max="1947" width="13.5703125" style="592" customWidth="1"/>
    <col min="1948" max="2192" width="11.5703125" style="592" customWidth="1"/>
    <col min="2193" max="2197" width="11.42578125" style="592"/>
    <col min="2198" max="2198" width="5.7109375" style="592" customWidth="1"/>
    <col min="2199" max="2199" width="7" style="592" customWidth="1"/>
    <col min="2200" max="2200" width="7.42578125" style="592" customWidth="1"/>
    <col min="2201" max="2201" width="13" style="592" customWidth="1"/>
    <col min="2202" max="2202" width="48.5703125" style="592" customWidth="1"/>
    <col min="2203" max="2203" width="13.5703125" style="592" customWidth="1"/>
    <col min="2204" max="2448" width="11.5703125" style="592" customWidth="1"/>
    <col min="2449" max="2453" width="11.42578125" style="592"/>
    <col min="2454" max="2454" width="5.7109375" style="592" customWidth="1"/>
    <col min="2455" max="2455" width="7" style="592" customWidth="1"/>
    <col min="2456" max="2456" width="7.42578125" style="592" customWidth="1"/>
    <col min="2457" max="2457" width="13" style="592" customWidth="1"/>
    <col min="2458" max="2458" width="48.5703125" style="592" customWidth="1"/>
    <col min="2459" max="2459" width="13.5703125" style="592" customWidth="1"/>
    <col min="2460" max="2704" width="11.5703125" style="592" customWidth="1"/>
    <col min="2705" max="2709" width="11.42578125" style="592"/>
    <col min="2710" max="2710" width="5.7109375" style="592" customWidth="1"/>
    <col min="2711" max="2711" width="7" style="592" customWidth="1"/>
    <col min="2712" max="2712" width="7.42578125" style="592" customWidth="1"/>
    <col min="2713" max="2713" width="13" style="592" customWidth="1"/>
    <col min="2714" max="2714" width="48.5703125" style="592" customWidth="1"/>
    <col min="2715" max="2715" width="13.5703125" style="592" customWidth="1"/>
    <col min="2716" max="2960" width="11.5703125" style="592" customWidth="1"/>
    <col min="2961" max="2965" width="11.42578125" style="592"/>
    <col min="2966" max="2966" width="5.7109375" style="592" customWidth="1"/>
    <col min="2967" max="2967" width="7" style="592" customWidth="1"/>
    <col min="2968" max="2968" width="7.42578125" style="592" customWidth="1"/>
    <col min="2969" max="2969" width="13" style="592" customWidth="1"/>
    <col min="2970" max="2970" width="48.5703125" style="592" customWidth="1"/>
    <col min="2971" max="2971" width="13.5703125" style="592" customWidth="1"/>
    <col min="2972" max="3216" width="11.5703125" style="592" customWidth="1"/>
    <col min="3217" max="3221" width="11.42578125" style="592"/>
    <col min="3222" max="3222" width="5.7109375" style="592" customWidth="1"/>
    <col min="3223" max="3223" width="7" style="592" customWidth="1"/>
    <col min="3224" max="3224" width="7.42578125" style="592" customWidth="1"/>
    <col min="3225" max="3225" width="13" style="592" customWidth="1"/>
    <col min="3226" max="3226" width="48.5703125" style="592" customWidth="1"/>
    <col min="3227" max="3227" width="13.5703125" style="592" customWidth="1"/>
    <col min="3228" max="3472" width="11.5703125" style="592" customWidth="1"/>
    <col min="3473" max="3477" width="11.42578125" style="592"/>
    <col min="3478" max="3478" width="5.7109375" style="592" customWidth="1"/>
    <col min="3479" max="3479" width="7" style="592" customWidth="1"/>
    <col min="3480" max="3480" width="7.42578125" style="592" customWidth="1"/>
    <col min="3481" max="3481" width="13" style="592" customWidth="1"/>
    <col min="3482" max="3482" width="48.5703125" style="592" customWidth="1"/>
    <col min="3483" max="3483" width="13.5703125" style="592" customWidth="1"/>
    <col min="3484" max="3728" width="11.5703125" style="592" customWidth="1"/>
    <col min="3729" max="3733" width="11.42578125" style="592"/>
    <col min="3734" max="3734" width="5.7109375" style="592" customWidth="1"/>
    <col min="3735" max="3735" width="7" style="592" customWidth="1"/>
    <col min="3736" max="3736" width="7.42578125" style="592" customWidth="1"/>
    <col min="3737" max="3737" width="13" style="592" customWidth="1"/>
    <col min="3738" max="3738" width="48.5703125" style="592" customWidth="1"/>
    <col min="3739" max="3739" width="13.5703125" style="592" customWidth="1"/>
    <col min="3740" max="3984" width="11.5703125" style="592" customWidth="1"/>
    <col min="3985" max="3989" width="11.42578125" style="592"/>
    <col min="3990" max="3990" width="5.7109375" style="592" customWidth="1"/>
    <col min="3991" max="3991" width="7" style="592" customWidth="1"/>
    <col min="3992" max="3992" width="7.42578125" style="592" customWidth="1"/>
    <col min="3993" max="3993" width="13" style="592" customWidth="1"/>
    <col min="3994" max="3994" width="48.5703125" style="592" customWidth="1"/>
    <col min="3995" max="3995" width="13.5703125" style="592" customWidth="1"/>
    <col min="3996" max="4240" width="11.5703125" style="592" customWidth="1"/>
    <col min="4241" max="4245" width="11.42578125" style="592"/>
    <col min="4246" max="4246" width="5.7109375" style="592" customWidth="1"/>
    <col min="4247" max="4247" width="7" style="592" customWidth="1"/>
    <col min="4248" max="4248" width="7.42578125" style="592" customWidth="1"/>
    <col min="4249" max="4249" width="13" style="592" customWidth="1"/>
    <col min="4250" max="4250" width="48.5703125" style="592" customWidth="1"/>
    <col min="4251" max="4251" width="13.5703125" style="592" customWidth="1"/>
    <col min="4252" max="4496" width="11.5703125" style="592" customWidth="1"/>
    <col min="4497" max="4501" width="11.42578125" style="592"/>
    <col min="4502" max="4502" width="5.7109375" style="592" customWidth="1"/>
    <col min="4503" max="4503" width="7" style="592" customWidth="1"/>
    <col min="4504" max="4504" width="7.42578125" style="592" customWidth="1"/>
    <col min="4505" max="4505" width="13" style="592" customWidth="1"/>
    <col min="4506" max="4506" width="48.5703125" style="592" customWidth="1"/>
    <col min="4507" max="4507" width="13.5703125" style="592" customWidth="1"/>
    <col min="4508" max="4752" width="11.5703125" style="592" customWidth="1"/>
    <col min="4753" max="4757" width="11.42578125" style="592"/>
    <col min="4758" max="4758" width="5.7109375" style="592" customWidth="1"/>
    <col min="4759" max="4759" width="7" style="592" customWidth="1"/>
    <col min="4760" max="4760" width="7.42578125" style="592" customWidth="1"/>
    <col min="4761" max="4761" width="13" style="592" customWidth="1"/>
    <col min="4762" max="4762" width="48.5703125" style="592" customWidth="1"/>
    <col min="4763" max="4763" width="13.5703125" style="592" customWidth="1"/>
    <col min="4764" max="5008" width="11.5703125" style="592" customWidth="1"/>
    <col min="5009" max="5013" width="11.42578125" style="592"/>
    <col min="5014" max="5014" width="5.7109375" style="592" customWidth="1"/>
    <col min="5015" max="5015" width="7" style="592" customWidth="1"/>
    <col min="5016" max="5016" width="7.42578125" style="592" customWidth="1"/>
    <col min="5017" max="5017" width="13" style="592" customWidth="1"/>
    <col min="5018" max="5018" width="48.5703125" style="592" customWidth="1"/>
    <col min="5019" max="5019" width="13.5703125" style="592" customWidth="1"/>
    <col min="5020" max="5264" width="11.5703125" style="592" customWidth="1"/>
    <col min="5265" max="5269" width="11.42578125" style="592"/>
    <col min="5270" max="5270" width="5.7109375" style="592" customWidth="1"/>
    <col min="5271" max="5271" width="7" style="592" customWidth="1"/>
    <col min="5272" max="5272" width="7.42578125" style="592" customWidth="1"/>
    <col min="5273" max="5273" width="13" style="592" customWidth="1"/>
    <col min="5274" max="5274" width="48.5703125" style="592" customWidth="1"/>
    <col min="5275" max="5275" width="13.5703125" style="592" customWidth="1"/>
    <col min="5276" max="5520" width="11.5703125" style="592" customWidth="1"/>
    <col min="5521" max="5525" width="11.42578125" style="592"/>
    <col min="5526" max="5526" width="5.7109375" style="592" customWidth="1"/>
    <col min="5527" max="5527" width="7" style="592" customWidth="1"/>
    <col min="5528" max="5528" width="7.42578125" style="592" customWidth="1"/>
    <col min="5529" max="5529" width="13" style="592" customWidth="1"/>
    <col min="5530" max="5530" width="48.5703125" style="592" customWidth="1"/>
    <col min="5531" max="5531" width="13.5703125" style="592" customWidth="1"/>
    <col min="5532" max="5776" width="11.5703125" style="592" customWidth="1"/>
    <col min="5777" max="5781" width="11.42578125" style="592"/>
    <col min="5782" max="5782" width="5.7109375" style="592" customWidth="1"/>
    <col min="5783" max="5783" width="7" style="592" customWidth="1"/>
    <col min="5784" max="5784" width="7.42578125" style="592" customWidth="1"/>
    <col min="5785" max="5785" width="13" style="592" customWidth="1"/>
    <col min="5786" max="5786" width="48.5703125" style="592" customWidth="1"/>
    <col min="5787" max="5787" width="13.5703125" style="592" customWidth="1"/>
    <col min="5788" max="6032" width="11.5703125" style="592" customWidth="1"/>
    <col min="6033" max="6037" width="11.42578125" style="592"/>
    <col min="6038" max="6038" width="5.7109375" style="592" customWidth="1"/>
    <col min="6039" max="6039" width="7" style="592" customWidth="1"/>
    <col min="6040" max="6040" width="7.42578125" style="592" customWidth="1"/>
    <col min="6041" max="6041" width="13" style="592" customWidth="1"/>
    <col min="6042" max="6042" width="48.5703125" style="592" customWidth="1"/>
    <col min="6043" max="6043" width="13.5703125" style="592" customWidth="1"/>
    <col min="6044" max="6288" width="11.5703125" style="592" customWidth="1"/>
    <col min="6289" max="6293" width="11.42578125" style="592"/>
    <col min="6294" max="6294" width="5.7109375" style="592" customWidth="1"/>
    <col min="6295" max="6295" width="7" style="592" customWidth="1"/>
    <col min="6296" max="6296" width="7.42578125" style="592" customWidth="1"/>
    <col min="6297" max="6297" width="13" style="592" customWidth="1"/>
    <col min="6298" max="6298" width="48.5703125" style="592" customWidth="1"/>
    <col min="6299" max="6299" width="13.5703125" style="592" customWidth="1"/>
    <col min="6300" max="6544" width="11.5703125" style="592" customWidth="1"/>
    <col min="6545" max="6549" width="11.42578125" style="592"/>
    <col min="6550" max="6550" width="5.7109375" style="592" customWidth="1"/>
    <col min="6551" max="6551" width="7" style="592" customWidth="1"/>
    <col min="6552" max="6552" width="7.42578125" style="592" customWidth="1"/>
    <col min="6553" max="6553" width="13" style="592" customWidth="1"/>
    <col min="6554" max="6554" width="48.5703125" style="592" customWidth="1"/>
    <col min="6555" max="6555" width="13.5703125" style="592" customWidth="1"/>
    <col min="6556" max="6800" width="11.5703125" style="592" customWidth="1"/>
    <col min="6801" max="6805" width="11.42578125" style="592"/>
    <col min="6806" max="6806" width="5.7109375" style="592" customWidth="1"/>
    <col min="6807" max="6807" width="7" style="592" customWidth="1"/>
    <col min="6808" max="6808" width="7.42578125" style="592" customWidth="1"/>
    <col min="6809" max="6809" width="13" style="592" customWidth="1"/>
    <col min="6810" max="6810" width="48.5703125" style="592" customWidth="1"/>
    <col min="6811" max="6811" width="13.5703125" style="592" customWidth="1"/>
    <col min="6812" max="7056" width="11.5703125" style="592" customWidth="1"/>
    <col min="7057" max="7061" width="11.42578125" style="592"/>
    <col min="7062" max="7062" width="5.7109375" style="592" customWidth="1"/>
    <col min="7063" max="7063" width="7" style="592" customWidth="1"/>
    <col min="7064" max="7064" width="7.42578125" style="592" customWidth="1"/>
    <col min="7065" max="7065" width="13" style="592" customWidth="1"/>
    <col min="7066" max="7066" width="48.5703125" style="592" customWidth="1"/>
    <col min="7067" max="7067" width="13.5703125" style="592" customWidth="1"/>
    <col min="7068" max="7312" width="11.5703125" style="592" customWidth="1"/>
    <col min="7313" max="7317" width="11.42578125" style="592"/>
    <col min="7318" max="7318" width="5.7109375" style="592" customWidth="1"/>
    <col min="7319" max="7319" width="7" style="592" customWidth="1"/>
    <col min="7320" max="7320" width="7.42578125" style="592" customWidth="1"/>
    <col min="7321" max="7321" width="13" style="592" customWidth="1"/>
    <col min="7322" max="7322" width="48.5703125" style="592" customWidth="1"/>
    <col min="7323" max="7323" width="13.5703125" style="592" customWidth="1"/>
    <col min="7324" max="7568" width="11.5703125" style="592" customWidth="1"/>
    <col min="7569" max="7573" width="11.42578125" style="592"/>
    <col min="7574" max="7574" width="5.7109375" style="592" customWidth="1"/>
    <col min="7575" max="7575" width="7" style="592" customWidth="1"/>
    <col min="7576" max="7576" width="7.42578125" style="592" customWidth="1"/>
    <col min="7577" max="7577" width="13" style="592" customWidth="1"/>
    <col min="7578" max="7578" width="48.5703125" style="592" customWidth="1"/>
    <col min="7579" max="7579" width="13.5703125" style="592" customWidth="1"/>
    <col min="7580" max="7824" width="11.5703125" style="592" customWidth="1"/>
    <col min="7825" max="7829" width="11.42578125" style="592"/>
    <col min="7830" max="7830" width="5.7109375" style="592" customWidth="1"/>
    <col min="7831" max="7831" width="7" style="592" customWidth="1"/>
    <col min="7832" max="7832" width="7.42578125" style="592" customWidth="1"/>
    <col min="7833" max="7833" width="13" style="592" customWidth="1"/>
    <col min="7834" max="7834" width="48.5703125" style="592" customWidth="1"/>
    <col min="7835" max="7835" width="13.5703125" style="592" customWidth="1"/>
    <col min="7836" max="8080" width="11.5703125" style="592" customWidth="1"/>
    <col min="8081" max="8085" width="11.42578125" style="592"/>
    <col min="8086" max="8086" width="5.7109375" style="592" customWidth="1"/>
    <col min="8087" max="8087" width="7" style="592" customWidth="1"/>
    <col min="8088" max="8088" width="7.42578125" style="592" customWidth="1"/>
    <col min="8089" max="8089" width="13" style="592" customWidth="1"/>
    <col min="8090" max="8090" width="48.5703125" style="592" customWidth="1"/>
    <col min="8091" max="8091" width="13.5703125" style="592" customWidth="1"/>
    <col min="8092" max="8336" width="11.5703125" style="592" customWidth="1"/>
    <col min="8337" max="8341" width="11.42578125" style="592"/>
    <col min="8342" max="8342" width="5.7109375" style="592" customWidth="1"/>
    <col min="8343" max="8343" width="7" style="592" customWidth="1"/>
    <col min="8344" max="8344" width="7.42578125" style="592" customWidth="1"/>
    <col min="8345" max="8345" width="13" style="592" customWidth="1"/>
    <col min="8346" max="8346" width="48.5703125" style="592" customWidth="1"/>
    <col min="8347" max="8347" width="13.5703125" style="592" customWidth="1"/>
    <col min="8348" max="8592" width="11.5703125" style="592" customWidth="1"/>
    <col min="8593" max="8597" width="11.42578125" style="592"/>
    <col min="8598" max="8598" width="5.7109375" style="592" customWidth="1"/>
    <col min="8599" max="8599" width="7" style="592" customWidth="1"/>
    <col min="8600" max="8600" width="7.42578125" style="592" customWidth="1"/>
    <col min="8601" max="8601" width="13" style="592" customWidth="1"/>
    <col min="8602" max="8602" width="48.5703125" style="592" customWidth="1"/>
    <col min="8603" max="8603" width="13.5703125" style="592" customWidth="1"/>
    <col min="8604" max="8848" width="11.5703125" style="592" customWidth="1"/>
    <col min="8849" max="8853" width="11.42578125" style="592"/>
    <col min="8854" max="8854" width="5.7109375" style="592" customWidth="1"/>
    <col min="8855" max="8855" width="7" style="592" customWidth="1"/>
    <col min="8856" max="8856" width="7.42578125" style="592" customWidth="1"/>
    <col min="8857" max="8857" width="13" style="592" customWidth="1"/>
    <col min="8858" max="8858" width="48.5703125" style="592" customWidth="1"/>
    <col min="8859" max="8859" width="13.5703125" style="592" customWidth="1"/>
    <col min="8860" max="9104" width="11.5703125" style="592" customWidth="1"/>
    <col min="9105" max="9109" width="11.42578125" style="592"/>
    <col min="9110" max="9110" width="5.7109375" style="592" customWidth="1"/>
    <col min="9111" max="9111" width="7" style="592" customWidth="1"/>
    <col min="9112" max="9112" width="7.42578125" style="592" customWidth="1"/>
    <col min="9113" max="9113" width="13" style="592" customWidth="1"/>
    <col min="9114" max="9114" width="48.5703125" style="592" customWidth="1"/>
    <col min="9115" max="9115" width="13.5703125" style="592" customWidth="1"/>
    <col min="9116" max="9360" width="11.5703125" style="592" customWidth="1"/>
    <col min="9361" max="9365" width="11.42578125" style="592"/>
    <col min="9366" max="9366" width="5.7109375" style="592" customWidth="1"/>
    <col min="9367" max="9367" width="7" style="592" customWidth="1"/>
    <col min="9368" max="9368" width="7.42578125" style="592" customWidth="1"/>
    <col min="9369" max="9369" width="13" style="592" customWidth="1"/>
    <col min="9370" max="9370" width="48.5703125" style="592" customWidth="1"/>
    <col min="9371" max="9371" width="13.5703125" style="592" customWidth="1"/>
    <col min="9372" max="9616" width="11.5703125" style="592" customWidth="1"/>
    <col min="9617" max="9621" width="11.42578125" style="592"/>
    <col min="9622" max="9622" width="5.7109375" style="592" customWidth="1"/>
    <col min="9623" max="9623" width="7" style="592" customWidth="1"/>
    <col min="9624" max="9624" width="7.42578125" style="592" customWidth="1"/>
    <col min="9625" max="9625" width="13" style="592" customWidth="1"/>
    <col min="9626" max="9626" width="48.5703125" style="592" customWidth="1"/>
    <col min="9627" max="9627" width="13.5703125" style="592" customWidth="1"/>
    <col min="9628" max="9872" width="11.5703125" style="592" customWidth="1"/>
    <col min="9873" max="9877" width="11.42578125" style="592"/>
    <col min="9878" max="9878" width="5.7109375" style="592" customWidth="1"/>
    <col min="9879" max="9879" width="7" style="592" customWidth="1"/>
    <col min="9880" max="9880" width="7.42578125" style="592" customWidth="1"/>
    <col min="9881" max="9881" width="13" style="592" customWidth="1"/>
    <col min="9882" max="9882" width="48.5703125" style="592" customWidth="1"/>
    <col min="9883" max="9883" width="13.5703125" style="592" customWidth="1"/>
    <col min="9884" max="10128" width="11.5703125" style="592" customWidth="1"/>
    <col min="10129" max="10133" width="11.42578125" style="592"/>
    <col min="10134" max="10134" width="5.7109375" style="592" customWidth="1"/>
    <col min="10135" max="10135" width="7" style="592" customWidth="1"/>
    <col min="10136" max="10136" width="7.42578125" style="592" customWidth="1"/>
    <col min="10137" max="10137" width="13" style="592" customWidth="1"/>
    <col min="10138" max="10138" width="48.5703125" style="592" customWidth="1"/>
    <col min="10139" max="10139" width="13.5703125" style="592" customWidth="1"/>
    <col min="10140" max="10384" width="11.5703125" style="592" customWidth="1"/>
    <col min="10385" max="10389" width="11.42578125" style="592"/>
    <col min="10390" max="10390" width="5.7109375" style="592" customWidth="1"/>
    <col min="10391" max="10391" width="7" style="592" customWidth="1"/>
    <col min="10392" max="10392" width="7.42578125" style="592" customWidth="1"/>
    <col min="10393" max="10393" width="13" style="592" customWidth="1"/>
    <col min="10394" max="10394" width="48.5703125" style="592" customWidth="1"/>
    <col min="10395" max="10395" width="13.5703125" style="592" customWidth="1"/>
    <col min="10396" max="10640" width="11.5703125" style="592" customWidth="1"/>
    <col min="10641" max="10645" width="11.42578125" style="592"/>
    <col min="10646" max="10646" width="5.7109375" style="592" customWidth="1"/>
    <col min="10647" max="10647" width="7" style="592" customWidth="1"/>
    <col min="10648" max="10648" width="7.42578125" style="592" customWidth="1"/>
    <col min="10649" max="10649" width="13" style="592" customWidth="1"/>
    <col min="10650" max="10650" width="48.5703125" style="592" customWidth="1"/>
    <col min="10651" max="10651" width="13.5703125" style="592" customWidth="1"/>
    <col min="10652" max="10896" width="11.5703125" style="592" customWidth="1"/>
    <col min="10897" max="10901" width="11.42578125" style="592"/>
    <col min="10902" max="10902" width="5.7109375" style="592" customWidth="1"/>
    <col min="10903" max="10903" width="7" style="592" customWidth="1"/>
    <col min="10904" max="10904" width="7.42578125" style="592" customWidth="1"/>
    <col min="10905" max="10905" width="13" style="592" customWidth="1"/>
    <col min="10906" max="10906" width="48.5703125" style="592" customWidth="1"/>
    <col min="10907" max="10907" width="13.5703125" style="592" customWidth="1"/>
    <col min="10908" max="11152" width="11.5703125" style="592" customWidth="1"/>
    <col min="11153" max="11157" width="11.42578125" style="592"/>
    <col min="11158" max="11158" width="5.7109375" style="592" customWidth="1"/>
    <col min="11159" max="11159" width="7" style="592" customWidth="1"/>
    <col min="11160" max="11160" width="7.42578125" style="592" customWidth="1"/>
    <col min="11161" max="11161" width="13" style="592" customWidth="1"/>
    <col min="11162" max="11162" width="48.5703125" style="592" customWidth="1"/>
    <col min="11163" max="11163" width="13.5703125" style="592" customWidth="1"/>
    <col min="11164" max="11408" width="11.5703125" style="592" customWidth="1"/>
    <col min="11409" max="11413" width="11.42578125" style="592"/>
    <col min="11414" max="11414" width="5.7109375" style="592" customWidth="1"/>
    <col min="11415" max="11415" width="7" style="592" customWidth="1"/>
    <col min="11416" max="11416" width="7.42578125" style="592" customWidth="1"/>
    <col min="11417" max="11417" width="13" style="592" customWidth="1"/>
    <col min="11418" max="11418" width="48.5703125" style="592" customWidth="1"/>
    <col min="11419" max="11419" width="13.5703125" style="592" customWidth="1"/>
    <col min="11420" max="11664" width="11.5703125" style="592" customWidth="1"/>
    <col min="11665" max="11669" width="11.42578125" style="592"/>
    <col min="11670" max="11670" width="5.7109375" style="592" customWidth="1"/>
    <col min="11671" max="11671" width="7" style="592" customWidth="1"/>
    <col min="11672" max="11672" width="7.42578125" style="592" customWidth="1"/>
    <col min="11673" max="11673" width="13" style="592" customWidth="1"/>
    <col min="11674" max="11674" width="48.5703125" style="592" customWidth="1"/>
    <col min="11675" max="11675" width="13.5703125" style="592" customWidth="1"/>
    <col min="11676" max="11920" width="11.5703125" style="592" customWidth="1"/>
    <col min="11921" max="11925" width="11.42578125" style="592"/>
    <col min="11926" max="11926" width="5.7109375" style="592" customWidth="1"/>
    <col min="11927" max="11927" width="7" style="592" customWidth="1"/>
    <col min="11928" max="11928" width="7.42578125" style="592" customWidth="1"/>
    <col min="11929" max="11929" width="13" style="592" customWidth="1"/>
    <col min="11930" max="11930" width="48.5703125" style="592" customWidth="1"/>
    <col min="11931" max="11931" width="13.5703125" style="592" customWidth="1"/>
    <col min="11932" max="12176" width="11.5703125" style="592" customWidth="1"/>
    <col min="12177" max="12181" width="11.42578125" style="592"/>
    <col min="12182" max="12182" width="5.7109375" style="592" customWidth="1"/>
    <col min="12183" max="12183" width="7" style="592" customWidth="1"/>
    <col min="12184" max="12184" width="7.42578125" style="592" customWidth="1"/>
    <col min="12185" max="12185" width="13" style="592" customWidth="1"/>
    <col min="12186" max="12186" width="48.5703125" style="592" customWidth="1"/>
    <col min="12187" max="12187" width="13.5703125" style="592" customWidth="1"/>
    <col min="12188" max="12432" width="11.5703125" style="592" customWidth="1"/>
    <col min="12433" max="12437" width="11.42578125" style="592"/>
    <col min="12438" max="12438" width="5.7109375" style="592" customWidth="1"/>
    <col min="12439" max="12439" width="7" style="592" customWidth="1"/>
    <col min="12440" max="12440" width="7.42578125" style="592" customWidth="1"/>
    <col min="12441" max="12441" width="13" style="592" customWidth="1"/>
    <col min="12442" max="12442" width="48.5703125" style="592" customWidth="1"/>
    <col min="12443" max="12443" width="13.5703125" style="592" customWidth="1"/>
    <col min="12444" max="12688" width="11.5703125" style="592" customWidth="1"/>
    <col min="12689" max="12693" width="11.42578125" style="592"/>
    <col min="12694" max="12694" width="5.7109375" style="592" customWidth="1"/>
    <col min="12695" max="12695" width="7" style="592" customWidth="1"/>
    <col min="12696" max="12696" width="7.42578125" style="592" customWidth="1"/>
    <col min="12697" max="12697" width="13" style="592" customWidth="1"/>
    <col min="12698" max="12698" width="48.5703125" style="592" customWidth="1"/>
    <col min="12699" max="12699" width="13.5703125" style="592" customWidth="1"/>
    <col min="12700" max="12944" width="11.5703125" style="592" customWidth="1"/>
    <col min="12945" max="12949" width="11.42578125" style="592"/>
    <col min="12950" max="12950" width="5.7109375" style="592" customWidth="1"/>
    <col min="12951" max="12951" width="7" style="592" customWidth="1"/>
    <col min="12952" max="12952" width="7.42578125" style="592" customWidth="1"/>
    <col min="12953" max="12953" width="13" style="592" customWidth="1"/>
    <col min="12954" max="12954" width="48.5703125" style="592" customWidth="1"/>
    <col min="12955" max="12955" width="13.5703125" style="592" customWidth="1"/>
    <col min="12956" max="13200" width="11.5703125" style="592" customWidth="1"/>
    <col min="13201" max="13205" width="11.42578125" style="592"/>
    <col min="13206" max="13206" width="5.7109375" style="592" customWidth="1"/>
    <col min="13207" max="13207" width="7" style="592" customWidth="1"/>
    <col min="13208" max="13208" width="7.42578125" style="592" customWidth="1"/>
    <col min="13209" max="13209" width="13" style="592" customWidth="1"/>
    <col min="13210" max="13210" width="48.5703125" style="592" customWidth="1"/>
    <col min="13211" max="13211" width="13.5703125" style="592" customWidth="1"/>
    <col min="13212" max="13456" width="11.5703125" style="592" customWidth="1"/>
    <col min="13457" max="13461" width="11.42578125" style="592"/>
    <col min="13462" max="13462" width="5.7109375" style="592" customWidth="1"/>
    <col min="13463" max="13463" width="7" style="592" customWidth="1"/>
    <col min="13464" max="13464" width="7.42578125" style="592" customWidth="1"/>
    <col min="13465" max="13465" width="13" style="592" customWidth="1"/>
    <col min="13466" max="13466" width="48.5703125" style="592" customWidth="1"/>
    <col min="13467" max="13467" width="13.5703125" style="592" customWidth="1"/>
    <col min="13468" max="13712" width="11.5703125" style="592" customWidth="1"/>
    <col min="13713" max="13717" width="11.42578125" style="592"/>
    <col min="13718" max="13718" width="5.7109375" style="592" customWidth="1"/>
    <col min="13719" max="13719" width="7" style="592" customWidth="1"/>
    <col min="13720" max="13720" width="7.42578125" style="592" customWidth="1"/>
    <col min="13721" max="13721" width="13" style="592" customWidth="1"/>
    <col min="13722" max="13722" width="48.5703125" style="592" customWidth="1"/>
    <col min="13723" max="13723" width="13.5703125" style="592" customWidth="1"/>
    <col min="13724" max="13968" width="11.5703125" style="592" customWidth="1"/>
    <col min="13969" max="13973" width="11.42578125" style="592"/>
    <col min="13974" max="13974" width="5.7109375" style="592" customWidth="1"/>
    <col min="13975" max="13975" width="7" style="592" customWidth="1"/>
    <col min="13976" max="13976" width="7.42578125" style="592" customWidth="1"/>
    <col min="13977" max="13977" width="13" style="592" customWidth="1"/>
    <col min="13978" max="13978" width="48.5703125" style="592" customWidth="1"/>
    <col min="13979" max="13979" width="13.5703125" style="592" customWidth="1"/>
    <col min="13980" max="14224" width="11.5703125" style="592" customWidth="1"/>
    <col min="14225" max="14229" width="11.42578125" style="592"/>
    <col min="14230" max="14230" width="5.7109375" style="592" customWidth="1"/>
    <col min="14231" max="14231" width="7" style="592" customWidth="1"/>
    <col min="14232" max="14232" width="7.42578125" style="592" customWidth="1"/>
    <col min="14233" max="14233" width="13" style="592" customWidth="1"/>
    <col min="14234" max="14234" width="48.5703125" style="592" customWidth="1"/>
    <col min="14235" max="14235" width="13.5703125" style="592" customWidth="1"/>
    <col min="14236" max="14480" width="11.5703125" style="592" customWidth="1"/>
    <col min="14481" max="14485" width="11.42578125" style="592"/>
    <col min="14486" max="14486" width="5.7109375" style="592" customWidth="1"/>
    <col min="14487" max="14487" width="7" style="592" customWidth="1"/>
    <col min="14488" max="14488" width="7.42578125" style="592" customWidth="1"/>
    <col min="14489" max="14489" width="13" style="592" customWidth="1"/>
    <col min="14490" max="14490" width="48.5703125" style="592" customWidth="1"/>
    <col min="14491" max="14491" width="13.5703125" style="592" customWidth="1"/>
    <col min="14492" max="14736" width="11.5703125" style="592" customWidth="1"/>
    <col min="14737" max="14741" width="11.42578125" style="592"/>
    <col min="14742" max="14742" width="5.7109375" style="592" customWidth="1"/>
    <col min="14743" max="14743" width="7" style="592" customWidth="1"/>
    <col min="14744" max="14744" width="7.42578125" style="592" customWidth="1"/>
    <col min="14745" max="14745" width="13" style="592" customWidth="1"/>
    <col min="14746" max="14746" width="48.5703125" style="592" customWidth="1"/>
    <col min="14747" max="14747" width="13.5703125" style="592" customWidth="1"/>
    <col min="14748" max="14992" width="11.5703125" style="592" customWidth="1"/>
    <col min="14993" max="14997" width="11.42578125" style="592"/>
    <col min="14998" max="14998" width="5.7109375" style="592" customWidth="1"/>
    <col min="14999" max="14999" width="7" style="592" customWidth="1"/>
    <col min="15000" max="15000" width="7.42578125" style="592" customWidth="1"/>
    <col min="15001" max="15001" width="13" style="592" customWidth="1"/>
    <col min="15002" max="15002" width="48.5703125" style="592" customWidth="1"/>
    <col min="15003" max="15003" width="13.5703125" style="592" customWidth="1"/>
    <col min="15004" max="15248" width="11.5703125" style="592" customWidth="1"/>
    <col min="15249" max="15253" width="11.42578125" style="592"/>
    <col min="15254" max="15254" width="5.7109375" style="592" customWidth="1"/>
    <col min="15255" max="15255" width="7" style="592" customWidth="1"/>
    <col min="15256" max="15256" width="7.42578125" style="592" customWidth="1"/>
    <col min="15257" max="15257" width="13" style="592" customWidth="1"/>
    <col min="15258" max="15258" width="48.5703125" style="592" customWidth="1"/>
    <col min="15259" max="15259" width="13.5703125" style="592" customWidth="1"/>
    <col min="15260" max="15504" width="11.5703125" style="592" customWidth="1"/>
    <col min="15505" max="15509" width="11.42578125" style="592"/>
    <col min="15510" max="15510" width="5.7109375" style="592" customWidth="1"/>
    <col min="15511" max="15511" width="7" style="592" customWidth="1"/>
    <col min="15512" max="15512" width="7.42578125" style="592" customWidth="1"/>
    <col min="15513" max="15513" width="13" style="592" customWidth="1"/>
    <col min="15514" max="15514" width="48.5703125" style="592" customWidth="1"/>
    <col min="15515" max="15515" width="13.5703125" style="592" customWidth="1"/>
    <col min="15516" max="15760" width="11.5703125" style="592" customWidth="1"/>
    <col min="15761" max="16384" width="11.42578125" style="592"/>
  </cols>
  <sheetData>
    <row r="1" spans="1:8" x14ac:dyDescent="0.2">
      <c r="E1" s="591"/>
      <c r="F1" s="591" t="s">
        <v>1479</v>
      </c>
    </row>
    <row r="2" spans="1:8" x14ac:dyDescent="0.2">
      <c r="F2" s="591"/>
    </row>
    <row r="4" spans="1:8" s="593" customFormat="1" ht="29.25" customHeight="1" x14ac:dyDescent="0.2">
      <c r="A4" s="2233" t="s">
        <v>1480</v>
      </c>
      <c r="B4" s="2233"/>
      <c r="C4" s="2233"/>
      <c r="D4" s="2233"/>
      <c r="E4" s="2233"/>
      <c r="F4" s="2233"/>
      <c r="G4" s="2233"/>
      <c r="H4" s="2233"/>
    </row>
    <row r="5" spans="1:8" ht="25.35" customHeight="1" x14ac:dyDescent="0.2">
      <c r="A5" s="594" t="s">
        <v>0</v>
      </c>
      <c r="B5" s="594" t="s">
        <v>1</v>
      </c>
      <c r="C5" s="594" t="s">
        <v>131</v>
      </c>
      <c r="D5" s="594" t="s">
        <v>388</v>
      </c>
      <c r="E5" s="594" t="s">
        <v>291</v>
      </c>
      <c r="F5" s="1157" t="s">
        <v>610</v>
      </c>
      <c r="G5" s="1157" t="s">
        <v>609</v>
      </c>
      <c r="H5" s="1157" t="s">
        <v>91</v>
      </c>
    </row>
    <row r="6" spans="1:8" s="599" customFormat="1" x14ac:dyDescent="0.2">
      <c r="A6" s="595" t="s">
        <v>137</v>
      </c>
      <c r="B6" s="595"/>
      <c r="C6" s="596"/>
      <c r="D6" s="595"/>
      <c r="E6" s="597" t="s">
        <v>389</v>
      </c>
      <c r="F6" s="598">
        <f>F7</f>
        <v>57702.21</v>
      </c>
      <c r="G6" s="598">
        <f t="shared" ref="G6" si="0">G7</f>
        <v>53978.399999999994</v>
      </c>
      <c r="H6" s="1158">
        <f>G6/F6</f>
        <v>0.93546503678108683</v>
      </c>
    </row>
    <row r="7" spans="1:8" s="599" customFormat="1" ht="15.75" x14ac:dyDescent="0.2">
      <c r="A7" s="600"/>
      <c r="B7" s="601" t="s">
        <v>146</v>
      </c>
      <c r="C7" s="602"/>
      <c r="D7" s="602"/>
      <c r="E7" s="603" t="s">
        <v>390</v>
      </c>
      <c r="F7" s="604">
        <f>F8+F15+F22</f>
        <v>57702.21</v>
      </c>
      <c r="G7" s="604">
        <f t="shared" ref="G7" si="1">G8+G15+G22</f>
        <v>53978.399999999994</v>
      </c>
      <c r="H7" s="1159">
        <f>G7/F7</f>
        <v>0.93546503678108683</v>
      </c>
    </row>
    <row r="8" spans="1:8" s="599" customFormat="1" x14ac:dyDescent="0.2">
      <c r="A8" s="605"/>
      <c r="B8" s="605"/>
      <c r="C8" s="606" t="s">
        <v>391</v>
      </c>
      <c r="D8" s="606"/>
      <c r="E8" s="607" t="s">
        <v>17</v>
      </c>
      <c r="F8" s="608">
        <f>SUM(F9:F14)</f>
        <v>31584.76</v>
      </c>
      <c r="G8" s="608">
        <f t="shared" ref="G8" si="2">SUM(G9:G14)</f>
        <v>28008.649999999998</v>
      </c>
      <c r="H8" s="1160">
        <f>G8/F8</f>
        <v>0.88677735718112149</v>
      </c>
    </row>
    <row r="9" spans="1:8" s="614" customFormat="1" x14ac:dyDescent="0.2">
      <c r="A9" s="609"/>
      <c r="B9" s="609"/>
      <c r="C9" s="610"/>
      <c r="D9" s="611" t="s">
        <v>392</v>
      </c>
      <c r="E9" s="612" t="s">
        <v>393</v>
      </c>
      <c r="F9" s="613">
        <v>15115.56</v>
      </c>
      <c r="G9" s="619">
        <v>15111.17</v>
      </c>
      <c r="H9" s="1161">
        <f>G9/F9</f>
        <v>0.99970957079989098</v>
      </c>
    </row>
    <row r="10" spans="1:8" s="614" customFormat="1" x14ac:dyDescent="0.2">
      <c r="A10" s="609"/>
      <c r="B10" s="609"/>
      <c r="C10" s="610"/>
      <c r="D10" s="615" t="s">
        <v>394</v>
      </c>
      <c r="E10" s="616" t="s">
        <v>395</v>
      </c>
      <c r="F10" s="617">
        <v>1300</v>
      </c>
      <c r="G10" s="619">
        <v>320.68</v>
      </c>
      <c r="H10" s="1161">
        <f t="shared" ref="H10:H14" si="3">G10/F10</f>
        <v>0.24667692307692307</v>
      </c>
    </row>
    <row r="11" spans="1:8" s="614" customFormat="1" ht="22.5" x14ac:dyDescent="0.2">
      <c r="A11" s="609"/>
      <c r="B11" s="609"/>
      <c r="C11" s="610"/>
      <c r="D11" s="615" t="s">
        <v>396</v>
      </c>
      <c r="E11" s="616" t="s">
        <v>397</v>
      </c>
      <c r="F11" s="617">
        <v>1500</v>
      </c>
      <c r="G11" s="619">
        <v>0</v>
      </c>
      <c r="H11" s="1161">
        <f t="shared" si="3"/>
        <v>0</v>
      </c>
    </row>
    <row r="12" spans="1:8" s="614" customFormat="1" ht="22.5" x14ac:dyDescent="0.2">
      <c r="A12" s="609"/>
      <c r="B12" s="609"/>
      <c r="C12" s="610"/>
      <c r="D12" s="615" t="s">
        <v>398</v>
      </c>
      <c r="E12" s="616" t="s">
        <v>399</v>
      </c>
      <c r="F12" s="617">
        <v>5000</v>
      </c>
      <c r="G12" s="619">
        <v>5000</v>
      </c>
      <c r="H12" s="1162">
        <f t="shared" si="3"/>
        <v>1</v>
      </c>
    </row>
    <row r="13" spans="1:8" s="614" customFormat="1" x14ac:dyDescent="0.2">
      <c r="A13" s="609"/>
      <c r="B13" s="609"/>
      <c r="C13" s="610"/>
      <c r="D13" s="615" t="s">
        <v>400</v>
      </c>
      <c r="E13" s="616" t="s">
        <v>401</v>
      </c>
      <c r="F13" s="617">
        <v>1000</v>
      </c>
      <c r="G13" s="619">
        <v>0</v>
      </c>
      <c r="H13" s="1161">
        <f t="shared" si="3"/>
        <v>0</v>
      </c>
    </row>
    <row r="14" spans="1:8" s="614" customFormat="1" ht="22.5" x14ac:dyDescent="0.2">
      <c r="A14" s="609"/>
      <c r="B14" s="609"/>
      <c r="C14" s="610"/>
      <c r="D14" s="615" t="s">
        <v>402</v>
      </c>
      <c r="E14" s="616" t="s">
        <v>403</v>
      </c>
      <c r="F14" s="617">
        <v>7669.2</v>
      </c>
      <c r="G14" s="619">
        <v>7576.8</v>
      </c>
      <c r="H14" s="1161">
        <f t="shared" si="3"/>
        <v>0.98795180722891573</v>
      </c>
    </row>
    <row r="15" spans="1:8" s="614" customFormat="1" x14ac:dyDescent="0.2">
      <c r="A15" s="609"/>
      <c r="B15" s="609"/>
      <c r="C15" s="606" t="s">
        <v>404</v>
      </c>
      <c r="D15" s="606"/>
      <c r="E15" s="607" t="s">
        <v>18</v>
      </c>
      <c r="F15" s="608">
        <f>SUM(F16:F21)</f>
        <v>16617.45</v>
      </c>
      <c r="G15" s="608">
        <f t="shared" ref="G15" si="4">SUM(G16:G21)</f>
        <v>16509.2</v>
      </c>
      <c r="H15" s="1160">
        <f>G15/F15</f>
        <v>0.99348576345949591</v>
      </c>
    </row>
    <row r="16" spans="1:8" s="614" customFormat="1" x14ac:dyDescent="0.2">
      <c r="A16" s="609"/>
      <c r="B16" s="609"/>
      <c r="C16" s="610"/>
      <c r="D16" s="611" t="s">
        <v>405</v>
      </c>
      <c r="E16" s="612" t="s">
        <v>406</v>
      </c>
      <c r="F16" s="1373">
        <v>3000</v>
      </c>
      <c r="G16" s="619">
        <v>3000</v>
      </c>
      <c r="H16" s="1162">
        <f>G16/F16</f>
        <v>1</v>
      </c>
    </row>
    <row r="17" spans="1:8" s="614" customFormat="1" x14ac:dyDescent="0.2">
      <c r="A17" s="609"/>
      <c r="B17" s="609"/>
      <c r="C17" s="610"/>
      <c r="D17" s="611" t="s">
        <v>407</v>
      </c>
      <c r="E17" s="612" t="s">
        <v>408</v>
      </c>
      <c r="F17" s="1373">
        <v>7617.45</v>
      </c>
      <c r="G17" s="619">
        <v>7617.45</v>
      </c>
      <c r="H17" s="1162">
        <f t="shared" ref="H17:H23" si="5">G17/F17</f>
        <v>1</v>
      </c>
    </row>
    <row r="18" spans="1:8" s="614" customFormat="1" x14ac:dyDescent="0.2">
      <c r="A18" s="609"/>
      <c r="B18" s="609"/>
      <c r="C18" s="610"/>
      <c r="D18" s="611" t="s">
        <v>396</v>
      </c>
      <c r="E18" s="612" t="s">
        <v>409</v>
      </c>
      <c r="F18" s="1373">
        <v>0</v>
      </c>
      <c r="G18" s="619">
        <v>0</v>
      </c>
      <c r="H18" s="1162">
        <v>0</v>
      </c>
    </row>
    <row r="19" spans="1:8" s="614" customFormat="1" ht="56.25" x14ac:dyDescent="0.2">
      <c r="A19" s="609"/>
      <c r="B19" s="609"/>
      <c r="C19" s="610"/>
      <c r="D19" s="611" t="s">
        <v>410</v>
      </c>
      <c r="E19" s="612" t="s">
        <v>1469</v>
      </c>
      <c r="F19" s="1373">
        <v>3000</v>
      </c>
      <c r="G19" s="619">
        <v>2891.75</v>
      </c>
      <c r="H19" s="1162">
        <f t="shared" si="5"/>
        <v>0.96391666666666664</v>
      </c>
    </row>
    <row r="20" spans="1:8" s="614" customFormat="1" x14ac:dyDescent="0.2">
      <c r="A20" s="609"/>
      <c r="B20" s="609"/>
      <c r="C20" s="610"/>
      <c r="D20" s="611" t="s">
        <v>402</v>
      </c>
      <c r="E20" s="612" t="s">
        <v>411</v>
      </c>
      <c r="F20" s="1373">
        <v>1000</v>
      </c>
      <c r="G20" s="619">
        <v>1000</v>
      </c>
      <c r="H20" s="1162">
        <f t="shared" si="5"/>
        <v>1</v>
      </c>
    </row>
    <row r="21" spans="1:8" s="614" customFormat="1" ht="22.5" x14ac:dyDescent="0.2">
      <c r="A21" s="609"/>
      <c r="B21" s="609"/>
      <c r="C21" s="610"/>
      <c r="D21" s="620" t="s">
        <v>412</v>
      </c>
      <c r="E21" s="621" t="s">
        <v>413</v>
      </c>
      <c r="F21" s="1373">
        <v>2000</v>
      </c>
      <c r="G21" s="619">
        <v>2000</v>
      </c>
      <c r="H21" s="1162">
        <f t="shared" si="5"/>
        <v>1</v>
      </c>
    </row>
    <row r="22" spans="1:8" s="614" customFormat="1" ht="22.5" x14ac:dyDescent="0.2">
      <c r="A22" s="609"/>
      <c r="B22" s="622"/>
      <c r="C22" s="623" t="s">
        <v>147</v>
      </c>
      <c r="D22" s="624"/>
      <c r="E22" s="625" t="s">
        <v>45</v>
      </c>
      <c r="F22" s="1382">
        <f>F23</f>
        <v>9500</v>
      </c>
      <c r="G22" s="1383">
        <f>G23</f>
        <v>9460.5499999999993</v>
      </c>
      <c r="H22" s="1175">
        <f t="shared" si="5"/>
        <v>0.99584736842105259</v>
      </c>
    </row>
    <row r="23" spans="1:8" s="614" customFormat="1" x14ac:dyDescent="0.2">
      <c r="A23" s="609"/>
      <c r="B23" s="609"/>
      <c r="C23" s="610"/>
      <c r="D23" s="626" t="s">
        <v>414</v>
      </c>
      <c r="E23" s="627" t="s">
        <v>415</v>
      </c>
      <c r="F23" s="1374">
        <v>9500</v>
      </c>
      <c r="G23" s="619">
        <v>9460.5499999999993</v>
      </c>
      <c r="H23" s="1162">
        <f t="shared" si="5"/>
        <v>0.99584736842105259</v>
      </c>
    </row>
    <row r="24" spans="1:8" s="599" customFormat="1" x14ac:dyDescent="0.2">
      <c r="A24" s="595" t="s">
        <v>177</v>
      </c>
      <c r="B24" s="595"/>
      <c r="C24" s="595"/>
      <c r="D24" s="595"/>
      <c r="E24" s="597" t="s">
        <v>416</v>
      </c>
      <c r="F24" s="598">
        <f>F25</f>
        <v>5600</v>
      </c>
      <c r="G24" s="598">
        <f t="shared" ref="G24" si="6">G25</f>
        <v>5337</v>
      </c>
      <c r="H24" s="1158">
        <f>G24/F24</f>
        <v>0.95303571428571432</v>
      </c>
    </row>
    <row r="25" spans="1:8" s="599" customFormat="1" ht="15.75" x14ac:dyDescent="0.2">
      <c r="A25" s="600"/>
      <c r="B25" s="601" t="s">
        <v>178</v>
      </c>
      <c r="C25" s="602"/>
      <c r="D25" s="602"/>
      <c r="E25" s="603" t="s">
        <v>11</v>
      </c>
      <c r="F25" s="604">
        <f>F26+F29</f>
        <v>5600</v>
      </c>
      <c r="G25" s="604">
        <f t="shared" ref="G25" si="7">G26+G29</f>
        <v>5337</v>
      </c>
      <c r="H25" s="1159">
        <f>G25/F25</f>
        <v>0.95303571428571432</v>
      </c>
    </row>
    <row r="26" spans="1:8" s="599" customFormat="1" ht="15" x14ac:dyDescent="0.2">
      <c r="A26" s="600"/>
      <c r="B26" s="628"/>
      <c r="C26" s="606" t="s">
        <v>391</v>
      </c>
      <c r="D26" s="606"/>
      <c r="E26" s="607" t="s">
        <v>17</v>
      </c>
      <c r="F26" s="629">
        <f>F28+F27</f>
        <v>5600</v>
      </c>
      <c r="G26" s="629">
        <f t="shared" ref="G26" si="8">G28+G27</f>
        <v>5337</v>
      </c>
      <c r="H26" s="1163">
        <f>G26/F26</f>
        <v>0.95303571428571432</v>
      </c>
    </row>
    <row r="27" spans="1:8" s="614" customFormat="1" x14ac:dyDescent="0.2">
      <c r="A27" s="609"/>
      <c r="B27" s="609"/>
      <c r="C27" s="630"/>
      <c r="D27" s="611" t="s">
        <v>417</v>
      </c>
      <c r="E27" s="631" t="s">
        <v>418</v>
      </c>
      <c r="F27" s="613">
        <v>4000</v>
      </c>
      <c r="G27" s="1372">
        <v>3900</v>
      </c>
      <c r="H27" s="1161">
        <f>G27/F27</f>
        <v>0.97499999999999998</v>
      </c>
    </row>
    <row r="28" spans="1:8" s="599" customFormat="1" ht="15.75" x14ac:dyDescent="0.2">
      <c r="A28" s="600"/>
      <c r="B28" s="628"/>
      <c r="C28" s="632"/>
      <c r="D28" s="633" t="s">
        <v>412</v>
      </c>
      <c r="E28" s="631" t="s">
        <v>419</v>
      </c>
      <c r="F28" s="634">
        <v>1600</v>
      </c>
      <c r="G28" s="635">
        <v>1437</v>
      </c>
      <c r="H28" s="1161">
        <f t="shared" ref="H28" si="9">G28/F28</f>
        <v>0.89812499999999995</v>
      </c>
    </row>
    <row r="29" spans="1:8" s="599" customFormat="1" ht="22.5" x14ac:dyDescent="0.2">
      <c r="A29" s="605"/>
      <c r="B29" s="605"/>
      <c r="C29" s="636" t="s">
        <v>179</v>
      </c>
      <c r="D29" s="637"/>
      <c r="E29" s="638" t="s">
        <v>75</v>
      </c>
      <c r="F29" s="608">
        <f>F30</f>
        <v>0</v>
      </c>
      <c r="G29" s="639">
        <f t="shared" ref="G29" si="10">G30</f>
        <v>0</v>
      </c>
      <c r="H29" s="1175">
        <v>0</v>
      </c>
    </row>
    <row r="30" spans="1:8" s="614" customFormat="1" x14ac:dyDescent="0.2">
      <c r="A30" s="609"/>
      <c r="B30" s="609"/>
      <c r="C30" s="630"/>
      <c r="D30" s="611" t="s">
        <v>417</v>
      </c>
      <c r="E30" s="631" t="s">
        <v>418</v>
      </c>
      <c r="F30" s="613">
        <v>0</v>
      </c>
      <c r="G30" s="1372">
        <v>0</v>
      </c>
      <c r="H30" s="1161">
        <v>0</v>
      </c>
    </row>
    <row r="31" spans="1:8" s="599" customFormat="1" ht="22.5" x14ac:dyDescent="0.2">
      <c r="A31" s="595" t="s">
        <v>200</v>
      </c>
      <c r="B31" s="595"/>
      <c r="C31" s="595"/>
      <c r="D31" s="595"/>
      <c r="E31" s="597" t="s">
        <v>420</v>
      </c>
      <c r="F31" s="598">
        <f>F32</f>
        <v>28900</v>
      </c>
      <c r="G31" s="598">
        <f t="shared" ref="G31" si="11">G32</f>
        <v>28793.61</v>
      </c>
      <c r="H31" s="1158">
        <f>G31/F31</f>
        <v>0.99631868512110733</v>
      </c>
    </row>
    <row r="32" spans="1:8" s="599" customFormat="1" ht="15.75" x14ac:dyDescent="0.2">
      <c r="A32" s="600"/>
      <c r="B32" s="601" t="s">
        <v>204</v>
      </c>
      <c r="C32" s="602"/>
      <c r="D32" s="602"/>
      <c r="E32" s="603" t="s">
        <v>329</v>
      </c>
      <c r="F32" s="604">
        <f>F33+F36+F40+F38</f>
        <v>28900</v>
      </c>
      <c r="G32" s="604">
        <f>G33+G36+G40+G38</f>
        <v>28793.61</v>
      </c>
      <c r="H32" s="1164">
        <f>G32/F32</f>
        <v>0.99631868512110733</v>
      </c>
    </row>
    <row r="33" spans="1:8" s="599" customFormat="1" x14ac:dyDescent="0.2">
      <c r="A33" s="605"/>
      <c r="B33" s="605"/>
      <c r="C33" s="606" t="s">
        <v>391</v>
      </c>
      <c r="D33" s="606"/>
      <c r="E33" s="607" t="s">
        <v>17</v>
      </c>
      <c r="F33" s="608">
        <f>SUM(F34:F35)</f>
        <v>6000</v>
      </c>
      <c r="G33" s="608">
        <f t="shared" ref="G33" si="12">SUM(G34:G35)</f>
        <v>5996.26</v>
      </c>
      <c r="H33" s="1160">
        <f>G33/F33</f>
        <v>0.99937666666666669</v>
      </c>
    </row>
    <row r="34" spans="1:8" s="614" customFormat="1" ht="90" x14ac:dyDescent="0.2">
      <c r="A34" s="609"/>
      <c r="B34" s="609"/>
      <c r="C34" s="610"/>
      <c r="D34" s="615" t="s">
        <v>402</v>
      </c>
      <c r="E34" s="616" t="s">
        <v>1470</v>
      </c>
      <c r="F34" s="640">
        <v>5000</v>
      </c>
      <c r="G34" s="619">
        <v>4999.96</v>
      </c>
      <c r="H34" s="1162">
        <f>G34/F34</f>
        <v>0.99999199999999999</v>
      </c>
    </row>
    <row r="35" spans="1:8" s="614" customFormat="1" x14ac:dyDescent="0.2">
      <c r="A35" s="609"/>
      <c r="B35" s="609"/>
      <c r="C35" s="610"/>
      <c r="D35" s="615" t="s">
        <v>417</v>
      </c>
      <c r="E35" s="616" t="s">
        <v>421</v>
      </c>
      <c r="F35" s="640">
        <v>1000</v>
      </c>
      <c r="G35" s="1372">
        <v>996.3</v>
      </c>
      <c r="H35" s="1162">
        <f>G35/F35</f>
        <v>0.99629999999999996</v>
      </c>
    </row>
    <row r="36" spans="1:8" s="614" customFormat="1" x14ac:dyDescent="0.2">
      <c r="A36" s="609"/>
      <c r="B36" s="622"/>
      <c r="C36" s="623" t="s">
        <v>404</v>
      </c>
      <c r="D36" s="641"/>
      <c r="E36" s="607" t="s">
        <v>18</v>
      </c>
      <c r="F36" s="642">
        <f>F37</f>
        <v>0</v>
      </c>
      <c r="G36" s="642">
        <f t="shared" ref="G36" si="13">G37</f>
        <v>0</v>
      </c>
      <c r="H36" s="1162">
        <v>0</v>
      </c>
    </row>
    <row r="37" spans="1:8" s="614" customFormat="1" ht="22.5" x14ac:dyDescent="0.2">
      <c r="A37" s="609"/>
      <c r="B37" s="609"/>
      <c r="C37" s="610"/>
      <c r="D37" s="615" t="s">
        <v>410</v>
      </c>
      <c r="E37" s="616" t="s">
        <v>422</v>
      </c>
      <c r="F37" s="640">
        <v>0</v>
      </c>
      <c r="G37" s="618"/>
      <c r="H37" s="1162">
        <v>0</v>
      </c>
    </row>
    <row r="38" spans="1:8" s="614" customFormat="1" ht="22.5" x14ac:dyDescent="0.2">
      <c r="A38" s="609"/>
      <c r="B38" s="622"/>
      <c r="C38" s="623" t="s">
        <v>147</v>
      </c>
      <c r="D38" s="641"/>
      <c r="E38" s="625" t="s">
        <v>423</v>
      </c>
      <c r="F38" s="642">
        <f>F39</f>
        <v>22900</v>
      </c>
      <c r="G38" s="642">
        <f t="shared" ref="G38:G40" si="14">G39</f>
        <v>22797.35</v>
      </c>
      <c r="H38" s="1162">
        <f t="shared" ref="H38:H39" si="15">G38/F38</f>
        <v>0.99551746724890822</v>
      </c>
    </row>
    <row r="39" spans="1:8" s="614" customFormat="1" ht="22.5" x14ac:dyDescent="0.2">
      <c r="A39" s="609"/>
      <c r="B39" s="609"/>
      <c r="C39" s="610"/>
      <c r="D39" s="615" t="s">
        <v>410</v>
      </c>
      <c r="E39" s="616" t="s">
        <v>424</v>
      </c>
      <c r="F39" s="640">
        <v>22900</v>
      </c>
      <c r="G39" s="619">
        <v>22797.35</v>
      </c>
      <c r="H39" s="1162">
        <f t="shared" si="15"/>
        <v>0.99551746724890822</v>
      </c>
    </row>
    <row r="40" spans="1:8" s="614" customFormat="1" ht="22.5" x14ac:dyDescent="0.2">
      <c r="A40" s="609"/>
      <c r="B40" s="622"/>
      <c r="C40" s="623" t="s">
        <v>179</v>
      </c>
      <c r="D40" s="641"/>
      <c r="E40" s="625" t="s">
        <v>425</v>
      </c>
      <c r="F40" s="642">
        <f>F41</f>
        <v>0</v>
      </c>
      <c r="G40" s="642">
        <f t="shared" si="14"/>
        <v>0</v>
      </c>
      <c r="H40" s="1162">
        <v>0</v>
      </c>
    </row>
    <row r="41" spans="1:8" s="614" customFormat="1" ht="22.5" x14ac:dyDescent="0.2">
      <c r="A41" s="609"/>
      <c r="B41" s="609"/>
      <c r="C41" s="610"/>
      <c r="D41" s="615" t="s">
        <v>410</v>
      </c>
      <c r="E41" s="616" t="s">
        <v>426</v>
      </c>
      <c r="F41" s="640">
        <v>0</v>
      </c>
      <c r="G41" s="618"/>
      <c r="H41" s="1162">
        <v>0</v>
      </c>
    </row>
    <row r="42" spans="1:8" s="599" customFormat="1" x14ac:dyDescent="0.2">
      <c r="A42" s="595" t="s">
        <v>218</v>
      </c>
      <c r="B42" s="595"/>
      <c r="C42" s="595"/>
      <c r="D42" s="595"/>
      <c r="E42" s="597" t="s">
        <v>33</v>
      </c>
      <c r="F42" s="643">
        <f>F45+F43</f>
        <v>3700</v>
      </c>
      <c r="G42" s="643">
        <f t="shared" ref="G42" si="16">G45+G43</f>
        <v>3686.14</v>
      </c>
      <c r="H42" s="1165">
        <f t="shared" ref="H42:H47" si="17">G42/F42</f>
        <v>0.99625405405405398</v>
      </c>
    </row>
    <row r="43" spans="1:8" s="599" customFormat="1" x14ac:dyDescent="0.2">
      <c r="A43" s="628"/>
      <c r="B43" s="595" t="s">
        <v>427</v>
      </c>
      <c r="C43" s="595"/>
      <c r="D43" s="595"/>
      <c r="E43" s="597" t="s">
        <v>81</v>
      </c>
      <c r="F43" s="643">
        <f>F44</f>
        <v>500</v>
      </c>
      <c r="G43" s="643">
        <f t="shared" ref="G43" si="18">G44</f>
        <v>500</v>
      </c>
      <c r="H43" s="1165">
        <f t="shared" si="17"/>
        <v>1</v>
      </c>
    </row>
    <row r="44" spans="1:8" s="599" customFormat="1" x14ac:dyDescent="0.2">
      <c r="A44" s="628"/>
      <c r="B44" s="644"/>
      <c r="C44" s="606" t="s">
        <v>391</v>
      </c>
      <c r="D44" s="606" t="s">
        <v>417</v>
      </c>
      <c r="E44" s="607" t="s">
        <v>17</v>
      </c>
      <c r="F44" s="645">
        <v>500</v>
      </c>
      <c r="G44" s="1387">
        <v>500</v>
      </c>
      <c r="H44" s="1166">
        <f t="shared" si="17"/>
        <v>1</v>
      </c>
    </row>
    <row r="45" spans="1:8" s="599" customFormat="1" ht="15.75" x14ac:dyDescent="0.2">
      <c r="A45" s="600"/>
      <c r="B45" s="601" t="s">
        <v>428</v>
      </c>
      <c r="C45" s="602"/>
      <c r="D45" s="602"/>
      <c r="E45" s="603" t="s">
        <v>11</v>
      </c>
      <c r="F45" s="646">
        <f>F46</f>
        <v>3200</v>
      </c>
      <c r="G45" s="646">
        <f t="shared" ref="G45" si="19">G46</f>
        <v>3186.14</v>
      </c>
      <c r="H45" s="1167">
        <f t="shared" si="17"/>
        <v>0.99566874999999999</v>
      </c>
    </row>
    <row r="46" spans="1:8" s="599" customFormat="1" x14ac:dyDescent="0.2">
      <c r="A46" s="605"/>
      <c r="B46" s="605"/>
      <c r="C46" s="606" t="s">
        <v>391</v>
      </c>
      <c r="D46" s="606"/>
      <c r="E46" s="607" t="s">
        <v>17</v>
      </c>
      <c r="F46" s="608">
        <f>SUM(F47:F50)</f>
        <v>3200</v>
      </c>
      <c r="G46" s="608">
        <f t="shared" ref="G46" si="20">SUM(G47:G50)</f>
        <v>3186.14</v>
      </c>
      <c r="H46" s="1160">
        <f t="shared" si="17"/>
        <v>0.99566874999999999</v>
      </c>
    </row>
    <row r="47" spans="1:8" s="614" customFormat="1" ht="22.5" x14ac:dyDescent="0.2">
      <c r="A47" s="609"/>
      <c r="B47" s="609"/>
      <c r="C47" s="610"/>
      <c r="D47" s="611" t="s">
        <v>392</v>
      </c>
      <c r="E47" s="612" t="s">
        <v>429</v>
      </c>
      <c r="F47" s="613">
        <v>2000</v>
      </c>
      <c r="G47" s="619">
        <v>1997.52</v>
      </c>
      <c r="H47" s="1162">
        <f t="shared" si="17"/>
        <v>0.99875999999999998</v>
      </c>
    </row>
    <row r="48" spans="1:8" s="614" customFormat="1" ht="22.5" x14ac:dyDescent="0.2">
      <c r="A48" s="609"/>
      <c r="B48" s="609"/>
      <c r="C48" s="610"/>
      <c r="D48" s="611" t="s">
        <v>407</v>
      </c>
      <c r="E48" s="612" t="s">
        <v>430</v>
      </c>
      <c r="F48" s="613">
        <v>200</v>
      </c>
      <c r="G48" s="619">
        <v>199.26</v>
      </c>
      <c r="H48" s="1162">
        <f t="shared" ref="H48:H50" si="21">G48/F48</f>
        <v>0.99629999999999996</v>
      </c>
    </row>
    <row r="49" spans="1:8" s="614" customFormat="1" ht="22.5" x14ac:dyDescent="0.2">
      <c r="A49" s="609"/>
      <c r="B49" s="609"/>
      <c r="C49" s="610"/>
      <c r="D49" s="611" t="s">
        <v>410</v>
      </c>
      <c r="E49" s="612" t="s">
        <v>431</v>
      </c>
      <c r="F49" s="613">
        <v>500</v>
      </c>
      <c r="G49" s="619">
        <v>499.98</v>
      </c>
      <c r="H49" s="1162">
        <f t="shared" si="21"/>
        <v>0.99996000000000007</v>
      </c>
    </row>
    <row r="50" spans="1:8" s="614" customFormat="1" ht="22.5" x14ac:dyDescent="0.2">
      <c r="A50" s="609"/>
      <c r="B50" s="609"/>
      <c r="C50" s="610"/>
      <c r="D50" s="611" t="s">
        <v>417</v>
      </c>
      <c r="E50" s="612" t="s">
        <v>431</v>
      </c>
      <c r="F50" s="613">
        <v>500</v>
      </c>
      <c r="G50" s="619">
        <v>489.38</v>
      </c>
      <c r="H50" s="1162">
        <f t="shared" si="21"/>
        <v>0.97875999999999996</v>
      </c>
    </row>
    <row r="51" spans="1:8" s="599" customFormat="1" ht="22.5" x14ac:dyDescent="0.2">
      <c r="A51" s="595" t="s">
        <v>246</v>
      </c>
      <c r="B51" s="595"/>
      <c r="C51" s="595"/>
      <c r="D51" s="595"/>
      <c r="E51" s="597" t="s">
        <v>311</v>
      </c>
      <c r="F51" s="598">
        <f>F52+F69</f>
        <v>21100</v>
      </c>
      <c r="G51" s="598">
        <f t="shared" ref="G51" si="22">G52+G69</f>
        <v>20862.57</v>
      </c>
      <c r="H51" s="1158">
        <f>G51/F51</f>
        <v>0.98874739336492889</v>
      </c>
    </row>
    <row r="52" spans="1:8" s="599" customFormat="1" ht="22.5" x14ac:dyDescent="0.2">
      <c r="A52" s="600"/>
      <c r="B52" s="601" t="s">
        <v>432</v>
      </c>
      <c r="C52" s="602"/>
      <c r="D52" s="602"/>
      <c r="E52" s="603" t="s">
        <v>433</v>
      </c>
      <c r="F52" s="604">
        <f>F53+F62+F67</f>
        <v>21100</v>
      </c>
      <c r="G52" s="604">
        <f t="shared" ref="G52" si="23">G53+G62+G67</f>
        <v>20862.57</v>
      </c>
      <c r="H52" s="1159">
        <f>G52/F52</f>
        <v>0.98874739336492889</v>
      </c>
    </row>
    <row r="53" spans="1:8" s="599" customFormat="1" x14ac:dyDescent="0.2">
      <c r="A53" s="605"/>
      <c r="B53" s="605"/>
      <c r="C53" s="606" t="s">
        <v>391</v>
      </c>
      <c r="D53" s="606"/>
      <c r="E53" s="607" t="s">
        <v>17</v>
      </c>
      <c r="F53" s="608">
        <f>SUM(F54:F61)</f>
        <v>16300</v>
      </c>
      <c r="G53" s="608">
        <f t="shared" ref="G53" si="24">SUM(G54:G61)</f>
        <v>16162.57</v>
      </c>
      <c r="H53" s="1160">
        <f>G53/F53</f>
        <v>0.99156871165644167</v>
      </c>
    </row>
    <row r="54" spans="1:8" s="614" customFormat="1" ht="22.5" x14ac:dyDescent="0.2">
      <c r="A54" s="609"/>
      <c r="B54" s="609"/>
      <c r="C54" s="630"/>
      <c r="D54" s="611" t="s">
        <v>434</v>
      </c>
      <c r="E54" s="612" t="s">
        <v>435</v>
      </c>
      <c r="F54" s="613">
        <v>800</v>
      </c>
      <c r="G54" s="619">
        <v>776.7</v>
      </c>
      <c r="H54" s="1162">
        <f>G54/F54</f>
        <v>0.97087500000000004</v>
      </c>
    </row>
    <row r="55" spans="1:8" s="614" customFormat="1" x14ac:dyDescent="0.2">
      <c r="A55" s="609"/>
      <c r="B55" s="609"/>
      <c r="C55" s="610"/>
      <c r="D55" s="615" t="s">
        <v>394</v>
      </c>
      <c r="E55" s="616" t="s">
        <v>436</v>
      </c>
      <c r="F55" s="617">
        <v>3400</v>
      </c>
      <c r="G55" s="619">
        <v>3332.57</v>
      </c>
      <c r="H55" s="1162">
        <f t="shared" ref="H55:H68" si="25">G55/F55</f>
        <v>0.98016764705882353</v>
      </c>
    </row>
    <row r="56" spans="1:8" s="614" customFormat="1" x14ac:dyDescent="0.2">
      <c r="A56" s="609"/>
      <c r="B56" s="609"/>
      <c r="C56" s="610"/>
      <c r="D56" s="615" t="s">
        <v>405</v>
      </c>
      <c r="E56" s="616" t="s">
        <v>437</v>
      </c>
      <c r="F56" s="617">
        <v>1500</v>
      </c>
      <c r="G56" s="619">
        <v>1499.48</v>
      </c>
      <c r="H56" s="1162">
        <f t="shared" si="25"/>
        <v>0.99965333333333339</v>
      </c>
    </row>
    <row r="57" spans="1:8" s="614" customFormat="1" ht="22.5" x14ac:dyDescent="0.2">
      <c r="A57" s="609"/>
      <c r="B57" s="609"/>
      <c r="C57" s="610"/>
      <c r="D57" s="615" t="s">
        <v>400</v>
      </c>
      <c r="E57" s="616" t="s">
        <v>438</v>
      </c>
      <c r="F57" s="617">
        <v>400</v>
      </c>
      <c r="G57" s="619">
        <v>395.8</v>
      </c>
      <c r="H57" s="1162">
        <f t="shared" si="25"/>
        <v>0.98950000000000005</v>
      </c>
    </row>
    <row r="58" spans="1:8" s="614" customFormat="1" ht="22.5" x14ac:dyDescent="0.2">
      <c r="A58" s="609"/>
      <c r="B58" s="609"/>
      <c r="C58" s="610"/>
      <c r="D58" s="615" t="s">
        <v>410</v>
      </c>
      <c r="E58" s="647" t="s">
        <v>439</v>
      </c>
      <c r="F58" s="617">
        <v>1000</v>
      </c>
      <c r="G58" s="619">
        <v>973.86</v>
      </c>
      <c r="H58" s="1162">
        <f t="shared" si="25"/>
        <v>0.97386000000000006</v>
      </c>
    </row>
    <row r="59" spans="1:8" s="614" customFormat="1" ht="22.5" x14ac:dyDescent="0.2">
      <c r="A59" s="609"/>
      <c r="B59" s="609"/>
      <c r="C59" s="610"/>
      <c r="D59" s="615" t="s">
        <v>417</v>
      </c>
      <c r="E59" s="647" t="s">
        <v>439</v>
      </c>
      <c r="F59" s="617">
        <v>1200</v>
      </c>
      <c r="G59" s="619">
        <v>1199.76</v>
      </c>
      <c r="H59" s="1162">
        <f t="shared" si="25"/>
        <v>0.99980000000000002</v>
      </c>
    </row>
    <row r="60" spans="1:8" s="614" customFormat="1" ht="45" x14ac:dyDescent="0.2">
      <c r="A60" s="609"/>
      <c r="B60" s="609"/>
      <c r="C60" s="610"/>
      <c r="D60" s="615" t="s">
        <v>412</v>
      </c>
      <c r="E60" s="647" t="s">
        <v>1471</v>
      </c>
      <c r="F60" s="617">
        <v>5000</v>
      </c>
      <c r="G60" s="619">
        <v>4999.03</v>
      </c>
      <c r="H60" s="1162">
        <f t="shared" si="25"/>
        <v>0.99980599999999997</v>
      </c>
    </row>
    <row r="61" spans="1:8" s="614" customFormat="1" x14ac:dyDescent="0.2">
      <c r="A61" s="609"/>
      <c r="B61" s="609"/>
      <c r="C61" s="610"/>
      <c r="D61" s="620" t="s">
        <v>440</v>
      </c>
      <c r="E61" s="648" t="s">
        <v>436</v>
      </c>
      <c r="F61" s="649">
        <v>3000</v>
      </c>
      <c r="G61" s="619">
        <v>2985.37</v>
      </c>
      <c r="H61" s="1162">
        <f t="shared" si="25"/>
        <v>0.99512333333333325</v>
      </c>
    </row>
    <row r="62" spans="1:8" s="614" customFormat="1" x14ac:dyDescent="0.2">
      <c r="A62" s="609"/>
      <c r="B62" s="622"/>
      <c r="C62" s="636" t="s">
        <v>404</v>
      </c>
      <c r="D62" s="636"/>
      <c r="E62" s="625" t="s">
        <v>18</v>
      </c>
      <c r="F62" s="650">
        <f>F63+F64+F65+F66</f>
        <v>2300</v>
      </c>
      <c r="G62" s="650">
        <f t="shared" ref="G62" si="26">G63+G64+G65+G66</f>
        <v>2200</v>
      </c>
      <c r="H62" s="1175">
        <f t="shared" si="25"/>
        <v>0.95652173913043481</v>
      </c>
    </row>
    <row r="63" spans="1:8" s="614" customFormat="1" ht="22.5" x14ac:dyDescent="0.2">
      <c r="A63" s="622"/>
      <c r="B63" s="651"/>
      <c r="C63" s="2228"/>
      <c r="D63" s="652" t="s">
        <v>434</v>
      </c>
      <c r="E63" s="653" t="s">
        <v>435</v>
      </c>
      <c r="F63" s="654">
        <v>200</v>
      </c>
      <c r="G63" s="619">
        <v>200</v>
      </c>
      <c r="H63" s="1162">
        <f t="shared" si="25"/>
        <v>1</v>
      </c>
    </row>
    <row r="64" spans="1:8" s="614" customFormat="1" x14ac:dyDescent="0.2">
      <c r="A64" s="622"/>
      <c r="B64" s="651"/>
      <c r="C64" s="2228"/>
      <c r="D64" s="655" t="s">
        <v>394</v>
      </c>
      <c r="E64" s="616" t="s">
        <v>436</v>
      </c>
      <c r="F64" s="613">
        <v>600</v>
      </c>
      <c r="G64" s="619">
        <v>600</v>
      </c>
      <c r="H64" s="1162">
        <f t="shared" si="25"/>
        <v>1</v>
      </c>
    </row>
    <row r="65" spans="1:8" s="614" customFormat="1" ht="22.5" x14ac:dyDescent="0.2">
      <c r="A65" s="622"/>
      <c r="B65" s="651"/>
      <c r="C65" s="2228"/>
      <c r="D65" s="655" t="s">
        <v>410</v>
      </c>
      <c r="E65" s="647" t="s">
        <v>439</v>
      </c>
      <c r="F65" s="613">
        <v>500</v>
      </c>
      <c r="G65" s="619">
        <v>500</v>
      </c>
      <c r="H65" s="1162">
        <f t="shared" si="25"/>
        <v>1</v>
      </c>
    </row>
    <row r="66" spans="1:8" s="614" customFormat="1" x14ac:dyDescent="0.2">
      <c r="A66" s="622"/>
      <c r="B66" s="2229"/>
      <c r="C66" s="2228"/>
      <c r="D66" s="656" t="s">
        <v>440</v>
      </c>
      <c r="E66" s="648" t="s">
        <v>441</v>
      </c>
      <c r="F66" s="657">
        <v>1000</v>
      </c>
      <c r="G66" s="619">
        <v>900</v>
      </c>
      <c r="H66" s="1162">
        <f t="shared" si="25"/>
        <v>0.9</v>
      </c>
    </row>
    <row r="67" spans="1:8" s="614" customFormat="1" x14ac:dyDescent="0.2">
      <c r="A67" s="622"/>
      <c r="B67" s="2229"/>
      <c r="C67" s="623" t="s">
        <v>442</v>
      </c>
      <c r="D67" s="655"/>
      <c r="E67" s="658" t="s">
        <v>31</v>
      </c>
      <c r="F67" s="659">
        <f>F68</f>
        <v>2500</v>
      </c>
      <c r="G67" s="659">
        <f t="shared" ref="G67" si="27">G68</f>
        <v>2500</v>
      </c>
      <c r="H67" s="1175">
        <f t="shared" si="25"/>
        <v>1</v>
      </c>
    </row>
    <row r="68" spans="1:8" s="614" customFormat="1" ht="22.5" x14ac:dyDescent="0.2">
      <c r="A68" s="622"/>
      <c r="B68" s="2230"/>
      <c r="C68" s="660"/>
      <c r="D68" s="655" t="s">
        <v>412</v>
      </c>
      <c r="E68" s="661" t="s">
        <v>443</v>
      </c>
      <c r="F68" s="662">
        <v>2500</v>
      </c>
      <c r="G68" s="619">
        <v>2500</v>
      </c>
      <c r="H68" s="1162">
        <f t="shared" si="25"/>
        <v>1</v>
      </c>
    </row>
    <row r="69" spans="1:8" s="614" customFormat="1" ht="15.75" x14ac:dyDescent="0.2">
      <c r="A69" s="663"/>
      <c r="B69" s="664" t="s">
        <v>256</v>
      </c>
      <c r="C69" s="665"/>
      <c r="D69" s="665"/>
      <c r="E69" s="666" t="s">
        <v>444</v>
      </c>
      <c r="F69" s="604">
        <f>F70</f>
        <v>0</v>
      </c>
      <c r="G69" s="604">
        <f t="shared" ref="G69:G70" si="28">G70</f>
        <v>0</v>
      </c>
      <c r="H69" s="1159">
        <v>0</v>
      </c>
    </row>
    <row r="70" spans="1:8" s="614" customFormat="1" x14ac:dyDescent="0.2">
      <c r="A70" s="605"/>
      <c r="B70" s="667"/>
      <c r="C70" s="636" t="s">
        <v>404</v>
      </c>
      <c r="D70" s="668"/>
      <c r="E70" s="607" t="s">
        <v>18</v>
      </c>
      <c r="F70" s="608">
        <f>F71</f>
        <v>0</v>
      </c>
      <c r="G70" s="608">
        <f t="shared" si="28"/>
        <v>0</v>
      </c>
      <c r="H70" s="1160">
        <v>0</v>
      </c>
    </row>
    <row r="71" spans="1:8" s="614" customFormat="1" ht="22.5" x14ac:dyDescent="0.2">
      <c r="A71" s="609"/>
      <c r="B71" s="609"/>
      <c r="C71" s="669"/>
      <c r="D71" s="611" t="s">
        <v>445</v>
      </c>
      <c r="E71" s="612" t="s">
        <v>446</v>
      </c>
      <c r="F71" s="613">
        <v>0</v>
      </c>
      <c r="G71" s="670"/>
      <c r="H71" s="1162">
        <v>0</v>
      </c>
    </row>
    <row r="72" spans="1:8" s="599" customFormat="1" ht="22.5" x14ac:dyDescent="0.2">
      <c r="A72" s="595" t="s">
        <v>263</v>
      </c>
      <c r="B72" s="595"/>
      <c r="C72" s="595"/>
      <c r="D72" s="595"/>
      <c r="E72" s="597" t="s">
        <v>297</v>
      </c>
      <c r="F72" s="598">
        <f>F73+F113+F110</f>
        <v>180188.42000000004</v>
      </c>
      <c r="G72" s="598">
        <f t="shared" ref="G72" si="29">G73+G113+G110</f>
        <v>171499.29000000004</v>
      </c>
      <c r="H72" s="1158">
        <f>G72/F72</f>
        <v>0.95177753376160357</v>
      </c>
    </row>
    <row r="73" spans="1:8" s="599" customFormat="1" ht="22.5" x14ac:dyDescent="0.2">
      <c r="A73" s="600"/>
      <c r="B73" s="601" t="s">
        <v>264</v>
      </c>
      <c r="C73" s="602"/>
      <c r="D73" s="602"/>
      <c r="E73" s="603" t="s">
        <v>298</v>
      </c>
      <c r="F73" s="604">
        <f>F74+F76+F78+F82+F97+F105+F107</f>
        <v>99796.800000000003</v>
      </c>
      <c r="G73" s="604">
        <f t="shared" ref="G73" si="30">G74+G76+G78+G82+G97+G105+G107</f>
        <v>94540.380000000019</v>
      </c>
      <c r="H73" s="1159">
        <f>G73/F73</f>
        <v>0.9473287720648359</v>
      </c>
    </row>
    <row r="74" spans="1:8" s="599" customFormat="1" x14ac:dyDescent="0.2">
      <c r="A74" s="605"/>
      <c r="B74" s="605"/>
      <c r="C74" s="606" t="s">
        <v>447</v>
      </c>
      <c r="D74" s="606"/>
      <c r="E74" s="607" t="s">
        <v>14</v>
      </c>
      <c r="F74" s="608">
        <f>SUM(F75:F75)</f>
        <v>0</v>
      </c>
      <c r="G74" s="608">
        <f t="shared" ref="G74" si="31">SUM(G75:G75)</f>
        <v>0</v>
      </c>
      <c r="H74" s="1160">
        <v>0</v>
      </c>
    </row>
    <row r="75" spans="1:8" s="614" customFormat="1" ht="22.5" x14ac:dyDescent="0.2">
      <c r="A75" s="609"/>
      <c r="B75" s="609"/>
      <c r="C75" s="630"/>
      <c r="D75" s="615" t="s">
        <v>448</v>
      </c>
      <c r="E75" s="616" t="s">
        <v>449</v>
      </c>
      <c r="F75" s="617">
        <v>0</v>
      </c>
      <c r="G75" s="619"/>
      <c r="H75" s="1176">
        <v>0</v>
      </c>
    </row>
    <row r="76" spans="1:8" s="614" customFormat="1" x14ac:dyDescent="0.2">
      <c r="A76" s="609"/>
      <c r="B76" s="609"/>
      <c r="C76" s="606" t="s">
        <v>450</v>
      </c>
      <c r="D76" s="606"/>
      <c r="E76" s="607" t="s">
        <v>15</v>
      </c>
      <c r="F76" s="608">
        <f>SUM(F77:F77)</f>
        <v>0</v>
      </c>
      <c r="G76" s="608">
        <f t="shared" ref="G76" si="32">SUM(G77:G77)</f>
        <v>0</v>
      </c>
      <c r="H76" s="1177">
        <v>0</v>
      </c>
    </row>
    <row r="77" spans="1:8" s="614" customFormat="1" ht="22.5" x14ac:dyDescent="0.2">
      <c r="A77" s="609"/>
      <c r="B77" s="609"/>
      <c r="C77" s="630"/>
      <c r="D77" s="615" t="s">
        <v>448</v>
      </c>
      <c r="E77" s="616" t="s">
        <v>449</v>
      </c>
      <c r="F77" s="617">
        <v>0</v>
      </c>
      <c r="G77" s="619"/>
      <c r="H77" s="1176">
        <v>0</v>
      </c>
    </row>
    <row r="78" spans="1:8" s="614" customFormat="1" x14ac:dyDescent="0.2">
      <c r="A78" s="609"/>
      <c r="B78" s="609"/>
      <c r="C78" s="606" t="s">
        <v>442</v>
      </c>
      <c r="D78" s="606"/>
      <c r="E78" s="671" t="s">
        <v>31</v>
      </c>
      <c r="F78" s="608">
        <f>SUM(F79:F81)</f>
        <v>8090</v>
      </c>
      <c r="G78" s="608">
        <f t="shared" ref="G78" si="33">SUM(G79:G81)</f>
        <v>8090</v>
      </c>
      <c r="H78" s="1177">
        <f t="shared" ref="H78:H108" si="34">G78/F78</f>
        <v>1</v>
      </c>
    </row>
    <row r="79" spans="1:8" s="614" customFormat="1" ht="56.25" x14ac:dyDescent="0.2">
      <c r="A79" s="609"/>
      <c r="B79" s="609"/>
      <c r="C79" s="630"/>
      <c r="D79" s="615" t="s">
        <v>448</v>
      </c>
      <c r="E79" s="616" t="s">
        <v>1472</v>
      </c>
      <c r="F79" s="617">
        <v>4390</v>
      </c>
      <c r="G79" s="619">
        <v>4390</v>
      </c>
      <c r="H79" s="1176">
        <f t="shared" si="34"/>
        <v>1</v>
      </c>
    </row>
    <row r="80" spans="1:8" s="614" customFormat="1" x14ac:dyDescent="0.2">
      <c r="A80" s="609"/>
      <c r="B80" s="609"/>
      <c r="C80" s="610"/>
      <c r="D80" s="615" t="s">
        <v>412</v>
      </c>
      <c r="E80" s="616" t="s">
        <v>451</v>
      </c>
      <c r="F80" s="617">
        <v>2500</v>
      </c>
      <c r="G80" s="619">
        <v>2500</v>
      </c>
      <c r="H80" s="1176">
        <f t="shared" si="34"/>
        <v>1</v>
      </c>
    </row>
    <row r="81" spans="1:8" s="614" customFormat="1" ht="22.5" x14ac:dyDescent="0.2">
      <c r="A81" s="609"/>
      <c r="B81" s="609"/>
      <c r="C81" s="610"/>
      <c r="D81" s="615" t="s">
        <v>417</v>
      </c>
      <c r="E81" s="616" t="s">
        <v>452</v>
      </c>
      <c r="F81" s="617">
        <v>1200</v>
      </c>
      <c r="G81" s="619">
        <v>1200</v>
      </c>
      <c r="H81" s="1176">
        <f t="shared" si="34"/>
        <v>1</v>
      </c>
    </row>
    <row r="82" spans="1:8" s="614" customFormat="1" x14ac:dyDescent="0.2">
      <c r="A82" s="609"/>
      <c r="B82" s="609"/>
      <c r="C82" s="606" t="s">
        <v>391</v>
      </c>
      <c r="D82" s="606"/>
      <c r="E82" s="607" t="s">
        <v>17</v>
      </c>
      <c r="F82" s="608">
        <f>SUM(F83:F96)</f>
        <v>60074.240000000005</v>
      </c>
      <c r="G82" s="608">
        <f t="shared" ref="G82" si="35">SUM(G83:G96)</f>
        <v>55984.150000000009</v>
      </c>
      <c r="H82" s="1177">
        <f t="shared" si="34"/>
        <v>0.93191607584215808</v>
      </c>
    </row>
    <row r="83" spans="1:8" s="614" customFormat="1" x14ac:dyDescent="0.2">
      <c r="A83" s="609"/>
      <c r="B83" s="609"/>
      <c r="C83" s="630"/>
      <c r="D83" s="611" t="s">
        <v>434</v>
      </c>
      <c r="E83" s="612" t="s">
        <v>453</v>
      </c>
      <c r="F83" s="613">
        <v>1000</v>
      </c>
      <c r="G83" s="619">
        <v>999.96</v>
      </c>
      <c r="H83" s="1176">
        <f t="shared" si="34"/>
        <v>0.99996000000000007</v>
      </c>
    </row>
    <row r="84" spans="1:8" s="614" customFormat="1" x14ac:dyDescent="0.2">
      <c r="A84" s="609"/>
      <c r="B84" s="609"/>
      <c r="C84" s="630"/>
      <c r="D84" s="611" t="s">
        <v>394</v>
      </c>
      <c r="E84" s="612" t="s">
        <v>453</v>
      </c>
      <c r="F84" s="613">
        <v>1500</v>
      </c>
      <c r="G84" s="619">
        <v>1499.37</v>
      </c>
      <c r="H84" s="1176">
        <f t="shared" si="34"/>
        <v>0.99957999999999991</v>
      </c>
    </row>
    <row r="85" spans="1:8" s="614" customFormat="1" ht="67.5" x14ac:dyDescent="0.2">
      <c r="A85" s="609"/>
      <c r="B85" s="609"/>
      <c r="C85" s="610"/>
      <c r="D85" s="1924" t="s">
        <v>405</v>
      </c>
      <c r="E85" s="1925" t="s">
        <v>1467</v>
      </c>
      <c r="F85" s="1926">
        <v>10979.36</v>
      </c>
      <c r="G85" s="619">
        <f>10979-160.75</f>
        <v>10818.25</v>
      </c>
      <c r="H85" s="1176">
        <f t="shared" si="34"/>
        <v>0.98532610279652</v>
      </c>
    </row>
    <row r="86" spans="1:8" s="614" customFormat="1" ht="56.25" x14ac:dyDescent="0.2">
      <c r="A86" s="609"/>
      <c r="B86" s="609"/>
      <c r="C86" s="610"/>
      <c r="D86" s="1927" t="s">
        <v>407</v>
      </c>
      <c r="E86" s="1921" t="s">
        <v>1473</v>
      </c>
      <c r="F86" s="1922">
        <v>900</v>
      </c>
      <c r="G86" s="1371">
        <v>900</v>
      </c>
      <c r="H86" s="1923">
        <f t="shared" si="34"/>
        <v>1</v>
      </c>
    </row>
    <row r="87" spans="1:8" s="614" customFormat="1" ht="22.5" x14ac:dyDescent="0.2">
      <c r="A87" s="609"/>
      <c r="B87" s="609"/>
      <c r="C87" s="610"/>
      <c r="D87" s="611" t="s">
        <v>396</v>
      </c>
      <c r="E87" s="612" t="s">
        <v>454</v>
      </c>
      <c r="F87" s="613">
        <v>0</v>
      </c>
      <c r="G87" s="619">
        <v>0</v>
      </c>
      <c r="H87" s="1176">
        <v>0</v>
      </c>
    </row>
    <row r="88" spans="1:8" s="614" customFormat="1" ht="33.75" x14ac:dyDescent="0.2">
      <c r="A88" s="609"/>
      <c r="B88" s="609"/>
      <c r="C88" s="610"/>
      <c r="D88" s="615" t="s">
        <v>455</v>
      </c>
      <c r="E88" s="616" t="s">
        <v>456</v>
      </c>
      <c r="F88" s="617">
        <v>9000</v>
      </c>
      <c r="G88" s="619">
        <v>8999.9500000000007</v>
      </c>
      <c r="H88" s="1176">
        <f t="shared" si="34"/>
        <v>0.99999444444444452</v>
      </c>
    </row>
    <row r="89" spans="1:8" s="614" customFormat="1" x14ac:dyDescent="0.2">
      <c r="A89" s="609"/>
      <c r="B89" s="609"/>
      <c r="C89" s="610"/>
      <c r="D89" s="611" t="s">
        <v>398</v>
      </c>
      <c r="E89" s="612" t="s">
        <v>457</v>
      </c>
      <c r="F89" s="613">
        <v>3917.31</v>
      </c>
      <c r="G89" s="619">
        <v>0</v>
      </c>
      <c r="H89" s="1176">
        <f t="shared" si="34"/>
        <v>0</v>
      </c>
    </row>
    <row r="90" spans="1:8" s="614" customFormat="1" x14ac:dyDescent="0.2">
      <c r="A90" s="609"/>
      <c r="B90" s="609"/>
      <c r="C90" s="610"/>
      <c r="D90" s="615" t="s">
        <v>400</v>
      </c>
      <c r="E90" s="616" t="s">
        <v>458</v>
      </c>
      <c r="F90" s="617">
        <v>8000</v>
      </c>
      <c r="G90" s="619">
        <v>8000</v>
      </c>
      <c r="H90" s="1176">
        <f t="shared" si="34"/>
        <v>1</v>
      </c>
    </row>
    <row r="91" spans="1:8" s="614" customFormat="1" ht="22.5" x14ac:dyDescent="0.2">
      <c r="A91" s="609"/>
      <c r="B91" s="609"/>
      <c r="C91" s="610"/>
      <c r="D91" s="615" t="s">
        <v>459</v>
      </c>
      <c r="E91" s="616" t="s">
        <v>460</v>
      </c>
      <c r="F91" s="617">
        <v>4585.1400000000003</v>
      </c>
      <c r="G91" s="619">
        <v>4585.12</v>
      </c>
      <c r="H91" s="1176">
        <f t="shared" si="34"/>
        <v>0.99999563808302461</v>
      </c>
    </row>
    <row r="92" spans="1:8" s="614" customFormat="1" ht="22.5" x14ac:dyDescent="0.2">
      <c r="A92" s="609"/>
      <c r="B92" s="609"/>
      <c r="C92" s="610"/>
      <c r="D92" s="615" t="s">
        <v>414</v>
      </c>
      <c r="E92" s="616" t="s">
        <v>461</v>
      </c>
      <c r="F92" s="617">
        <v>1303.3599999999999</v>
      </c>
      <c r="G92" s="619">
        <v>1300</v>
      </c>
      <c r="H92" s="1176">
        <f t="shared" si="34"/>
        <v>0.99742204763073905</v>
      </c>
    </row>
    <row r="93" spans="1:8" s="614" customFormat="1" ht="22.5" x14ac:dyDescent="0.2">
      <c r="A93" s="609"/>
      <c r="B93" s="609"/>
      <c r="C93" s="610"/>
      <c r="D93" s="615" t="s">
        <v>445</v>
      </c>
      <c r="E93" s="616" t="s">
        <v>462</v>
      </c>
      <c r="F93" s="617">
        <v>3500</v>
      </c>
      <c r="G93" s="619">
        <v>3499.32</v>
      </c>
      <c r="H93" s="1176">
        <f t="shared" si="34"/>
        <v>0.9998057142857143</v>
      </c>
    </row>
    <row r="94" spans="1:8" s="614" customFormat="1" ht="22.5" x14ac:dyDescent="0.2">
      <c r="A94" s="609"/>
      <c r="B94" s="609"/>
      <c r="C94" s="610"/>
      <c r="D94" s="615" t="s">
        <v>417</v>
      </c>
      <c r="E94" s="616" t="s">
        <v>463</v>
      </c>
      <c r="F94" s="617">
        <v>3065.8</v>
      </c>
      <c r="G94" s="619">
        <v>3063.83</v>
      </c>
      <c r="H94" s="1176">
        <f t="shared" si="34"/>
        <v>0.99935742709896269</v>
      </c>
    </row>
    <row r="95" spans="1:8" s="614" customFormat="1" ht="33.75" x14ac:dyDescent="0.2">
      <c r="A95" s="609"/>
      <c r="B95" s="609"/>
      <c r="C95" s="610"/>
      <c r="D95" s="672" t="s">
        <v>412</v>
      </c>
      <c r="E95" s="673" t="s">
        <v>464</v>
      </c>
      <c r="F95" s="674">
        <v>6323.27</v>
      </c>
      <c r="G95" s="619">
        <v>6322.33</v>
      </c>
      <c r="H95" s="1176">
        <f t="shared" si="34"/>
        <v>0.99985134273880438</v>
      </c>
    </row>
    <row r="96" spans="1:8" s="614" customFormat="1" x14ac:dyDescent="0.2">
      <c r="A96" s="609"/>
      <c r="B96" s="609"/>
      <c r="C96" s="610"/>
      <c r="D96" s="626" t="s">
        <v>440</v>
      </c>
      <c r="E96" s="627" t="s">
        <v>465</v>
      </c>
      <c r="F96" s="675">
        <v>6000</v>
      </c>
      <c r="G96" s="1371">
        <v>5996.02</v>
      </c>
      <c r="H96" s="1176">
        <f t="shared" si="34"/>
        <v>0.99933666666666676</v>
      </c>
    </row>
    <row r="97" spans="1:8" s="614" customFormat="1" x14ac:dyDescent="0.2">
      <c r="A97" s="609"/>
      <c r="B97" s="609"/>
      <c r="C97" s="606" t="s">
        <v>404</v>
      </c>
      <c r="D97" s="606"/>
      <c r="E97" s="607" t="s">
        <v>18</v>
      </c>
      <c r="F97" s="608">
        <f>SUM(F98:F104)</f>
        <v>20003.560000000001</v>
      </c>
      <c r="G97" s="608">
        <f t="shared" ref="G97" si="36">SUM(G98:G104)</f>
        <v>18896.43</v>
      </c>
      <c r="H97" s="1177">
        <f t="shared" si="34"/>
        <v>0.9446533517033967</v>
      </c>
    </row>
    <row r="98" spans="1:8" s="614" customFormat="1" x14ac:dyDescent="0.2">
      <c r="A98" s="609"/>
      <c r="B98" s="609"/>
      <c r="C98" s="610"/>
      <c r="D98" s="611" t="s">
        <v>434</v>
      </c>
      <c r="E98" s="612" t="s">
        <v>453</v>
      </c>
      <c r="F98" s="613">
        <v>178.56</v>
      </c>
      <c r="G98" s="619">
        <v>0</v>
      </c>
      <c r="H98" s="1176">
        <f t="shared" si="34"/>
        <v>0</v>
      </c>
    </row>
    <row r="99" spans="1:8" s="614" customFormat="1" ht="78.75" x14ac:dyDescent="0.2">
      <c r="A99" s="609"/>
      <c r="B99" s="609"/>
      <c r="C99" s="610"/>
      <c r="D99" s="1924" t="s">
        <v>405</v>
      </c>
      <c r="E99" s="1925" t="s">
        <v>1468</v>
      </c>
      <c r="F99" s="1926">
        <v>6025</v>
      </c>
      <c r="G99" s="619">
        <v>5696.3</v>
      </c>
      <c r="H99" s="1176">
        <f t="shared" si="34"/>
        <v>0.9454439834024897</v>
      </c>
    </row>
    <row r="100" spans="1:8" s="614" customFormat="1" ht="22.5" x14ac:dyDescent="0.2">
      <c r="A100" s="609"/>
      <c r="B100" s="609"/>
      <c r="C100" s="610"/>
      <c r="D100" s="1920" t="s">
        <v>396</v>
      </c>
      <c r="E100" s="1921" t="s">
        <v>454</v>
      </c>
      <c r="F100" s="1922">
        <v>4700</v>
      </c>
      <c r="G100" s="1371">
        <v>4655.55</v>
      </c>
      <c r="H100" s="1923">
        <f t="shared" si="34"/>
        <v>0.99054255319148943</v>
      </c>
    </row>
    <row r="101" spans="1:8" s="614" customFormat="1" ht="22.5" x14ac:dyDescent="0.2">
      <c r="A101" s="609"/>
      <c r="B101" s="609"/>
      <c r="C101" s="610"/>
      <c r="D101" s="615" t="s">
        <v>459</v>
      </c>
      <c r="E101" s="616" t="s">
        <v>466</v>
      </c>
      <c r="F101" s="617">
        <v>1200</v>
      </c>
      <c r="G101" s="619">
        <v>734.58</v>
      </c>
      <c r="H101" s="1176">
        <f t="shared" si="34"/>
        <v>0.61215000000000008</v>
      </c>
    </row>
    <row r="102" spans="1:8" s="614" customFormat="1" ht="22.5" x14ac:dyDescent="0.2">
      <c r="A102" s="609"/>
      <c r="B102" s="609"/>
      <c r="C102" s="610"/>
      <c r="D102" s="615" t="s">
        <v>445</v>
      </c>
      <c r="E102" s="616" t="s">
        <v>462</v>
      </c>
      <c r="F102" s="617">
        <v>6500</v>
      </c>
      <c r="G102" s="619">
        <v>6500</v>
      </c>
      <c r="H102" s="1176">
        <f t="shared" si="34"/>
        <v>1</v>
      </c>
    </row>
    <row r="103" spans="1:8" s="614" customFormat="1" ht="22.5" x14ac:dyDescent="0.2">
      <c r="A103" s="609"/>
      <c r="B103" s="609"/>
      <c r="C103" s="610"/>
      <c r="D103" s="615" t="s">
        <v>412</v>
      </c>
      <c r="E103" s="616" t="s">
        <v>467</v>
      </c>
      <c r="F103" s="617">
        <v>400</v>
      </c>
      <c r="G103" s="619">
        <v>330</v>
      </c>
      <c r="H103" s="1176">
        <f t="shared" si="34"/>
        <v>0.82499999999999996</v>
      </c>
    </row>
    <row r="104" spans="1:8" s="614" customFormat="1" x14ac:dyDescent="0.2">
      <c r="A104" s="609"/>
      <c r="B104" s="609"/>
      <c r="C104" s="610"/>
      <c r="D104" s="615" t="s">
        <v>440</v>
      </c>
      <c r="E104" s="616" t="s">
        <v>465</v>
      </c>
      <c r="F104" s="617">
        <v>1000</v>
      </c>
      <c r="G104" s="619">
        <v>980</v>
      </c>
      <c r="H104" s="1176">
        <f t="shared" si="34"/>
        <v>0.98</v>
      </c>
    </row>
    <row r="105" spans="1:8" s="614" customFormat="1" ht="22.5" x14ac:dyDescent="0.2">
      <c r="A105" s="609"/>
      <c r="B105" s="609"/>
      <c r="C105" s="606" t="s">
        <v>468</v>
      </c>
      <c r="D105" s="606"/>
      <c r="E105" s="607" t="s">
        <v>469</v>
      </c>
      <c r="F105" s="608">
        <f>F106</f>
        <v>1329</v>
      </c>
      <c r="G105" s="608">
        <f t="shared" ref="G105" si="37">G106</f>
        <v>1269.8</v>
      </c>
      <c r="H105" s="1177">
        <f t="shared" si="34"/>
        <v>0.95545522949586148</v>
      </c>
    </row>
    <row r="106" spans="1:8" s="614" customFormat="1" x14ac:dyDescent="0.2">
      <c r="A106" s="609"/>
      <c r="B106" s="609"/>
      <c r="C106" s="615"/>
      <c r="D106" s="615" t="s">
        <v>459</v>
      </c>
      <c r="E106" s="616" t="s">
        <v>470</v>
      </c>
      <c r="F106" s="617">
        <v>1329</v>
      </c>
      <c r="G106" s="619">
        <v>1269.8</v>
      </c>
      <c r="H106" s="1176">
        <f t="shared" si="34"/>
        <v>0.95545522949586148</v>
      </c>
    </row>
    <row r="107" spans="1:8" s="599" customFormat="1" ht="22.5" x14ac:dyDescent="0.2">
      <c r="A107" s="622"/>
      <c r="B107" s="676"/>
      <c r="C107" s="636" t="s">
        <v>147</v>
      </c>
      <c r="D107" s="637"/>
      <c r="E107" s="638" t="s">
        <v>45</v>
      </c>
      <c r="F107" s="677">
        <f>F108+F109</f>
        <v>10300</v>
      </c>
      <c r="G107" s="677">
        <f t="shared" ref="G107" si="38">G108+G109</f>
        <v>10300</v>
      </c>
      <c r="H107" s="1177">
        <f t="shared" si="34"/>
        <v>1</v>
      </c>
    </row>
    <row r="108" spans="1:8" s="614" customFormat="1" ht="22.5" x14ac:dyDescent="0.2">
      <c r="A108" s="669"/>
      <c r="B108" s="678"/>
      <c r="C108" s="679"/>
      <c r="D108" s="655" t="s">
        <v>434</v>
      </c>
      <c r="E108" s="680" t="s">
        <v>471</v>
      </c>
      <c r="F108" s="681">
        <v>10300</v>
      </c>
      <c r="G108" s="619">
        <v>10300</v>
      </c>
      <c r="H108" s="1176">
        <f t="shared" si="34"/>
        <v>1</v>
      </c>
    </row>
    <row r="109" spans="1:8" s="614" customFormat="1" ht="22.5" x14ac:dyDescent="0.2">
      <c r="A109" s="669"/>
      <c r="B109" s="682"/>
      <c r="C109" s="683"/>
      <c r="D109" s="684" t="s">
        <v>407</v>
      </c>
      <c r="E109" s="616" t="s">
        <v>472</v>
      </c>
      <c r="F109" s="685">
        <v>0</v>
      </c>
      <c r="G109" s="619"/>
      <c r="H109" s="1176">
        <v>0</v>
      </c>
    </row>
    <row r="110" spans="1:8" s="614" customFormat="1" ht="15.75" x14ac:dyDescent="0.2">
      <c r="A110" s="686"/>
      <c r="B110" s="687" t="s">
        <v>473</v>
      </c>
      <c r="C110" s="688"/>
      <c r="D110" s="688"/>
      <c r="E110" s="666" t="s">
        <v>474</v>
      </c>
      <c r="F110" s="689">
        <f>F111</f>
        <v>669.2</v>
      </c>
      <c r="G110" s="689">
        <f t="shared" ref="G110:G111" si="39">G111</f>
        <v>669.2</v>
      </c>
      <c r="H110" s="1168">
        <f t="shared" ref="H110:H115" si="40">G110/F110</f>
        <v>1</v>
      </c>
    </row>
    <row r="111" spans="1:8" s="614" customFormat="1" x14ac:dyDescent="0.2">
      <c r="A111" s="609"/>
      <c r="B111" s="609"/>
      <c r="C111" s="606" t="s">
        <v>391</v>
      </c>
      <c r="D111" s="606"/>
      <c r="E111" s="607" t="s">
        <v>17</v>
      </c>
      <c r="F111" s="608">
        <f>F112</f>
        <v>669.2</v>
      </c>
      <c r="G111" s="608">
        <f t="shared" si="39"/>
        <v>669.2</v>
      </c>
      <c r="H111" s="1160">
        <f t="shared" si="40"/>
        <v>1</v>
      </c>
    </row>
    <row r="112" spans="1:8" s="614" customFormat="1" ht="22.5" x14ac:dyDescent="0.2">
      <c r="A112" s="609"/>
      <c r="B112" s="609"/>
      <c r="C112" s="690"/>
      <c r="D112" s="615" t="s">
        <v>410</v>
      </c>
      <c r="E112" s="616" t="s">
        <v>475</v>
      </c>
      <c r="F112" s="617">
        <v>669.2</v>
      </c>
      <c r="G112" s="619">
        <v>669.2</v>
      </c>
      <c r="H112" s="1162">
        <f t="shared" si="40"/>
        <v>1</v>
      </c>
    </row>
    <row r="113" spans="1:8" s="614" customFormat="1" ht="15.75" x14ac:dyDescent="0.2">
      <c r="A113" s="686"/>
      <c r="B113" s="601" t="s">
        <v>476</v>
      </c>
      <c r="C113" s="602"/>
      <c r="D113" s="602"/>
      <c r="E113" s="603" t="s">
        <v>11</v>
      </c>
      <c r="F113" s="604">
        <f>F116+F133+F114</f>
        <v>79722.420000000013</v>
      </c>
      <c r="G113" s="604">
        <f>G116+G133+G114</f>
        <v>76289.710000000021</v>
      </c>
      <c r="H113" s="1159">
        <f t="shared" si="40"/>
        <v>0.95694172354527129</v>
      </c>
    </row>
    <row r="114" spans="1:8" s="614" customFormat="1" x14ac:dyDescent="0.2">
      <c r="A114" s="609"/>
      <c r="B114" s="605"/>
      <c r="C114" s="606" t="s">
        <v>442</v>
      </c>
      <c r="D114" s="606"/>
      <c r="E114" s="607" t="s">
        <v>31</v>
      </c>
      <c r="F114" s="608">
        <f>SUM(F115:F115)</f>
        <v>1300</v>
      </c>
      <c r="G114" s="608">
        <f t="shared" ref="G114" si="41">SUM(G115:G115)</f>
        <v>1300</v>
      </c>
      <c r="H114" s="1160">
        <f t="shared" si="40"/>
        <v>1</v>
      </c>
    </row>
    <row r="115" spans="1:8" s="614" customFormat="1" ht="33.75" x14ac:dyDescent="0.2">
      <c r="A115" s="609"/>
      <c r="B115" s="609"/>
      <c r="C115" s="610"/>
      <c r="D115" s="611" t="s">
        <v>405</v>
      </c>
      <c r="E115" s="612" t="s">
        <v>477</v>
      </c>
      <c r="F115" s="613">
        <v>1300</v>
      </c>
      <c r="G115" s="619">
        <v>1300</v>
      </c>
      <c r="H115" s="1162">
        <f t="shared" si="40"/>
        <v>1</v>
      </c>
    </row>
    <row r="116" spans="1:8" s="614" customFormat="1" x14ac:dyDescent="0.2">
      <c r="A116" s="609"/>
      <c r="B116" s="609"/>
      <c r="C116" s="606" t="s">
        <v>391</v>
      </c>
      <c r="D116" s="606"/>
      <c r="E116" s="607" t="s">
        <v>17</v>
      </c>
      <c r="F116" s="608">
        <f>SUM(F117:F132)</f>
        <v>46122.420000000006</v>
      </c>
      <c r="G116" s="608">
        <f>SUM(G117:G132)</f>
        <v>43718.610000000015</v>
      </c>
      <c r="H116" s="1175">
        <f t="shared" ref="H116:H147" si="42">G116/F116</f>
        <v>0.94788196282849013</v>
      </c>
    </row>
    <row r="117" spans="1:8" s="614" customFormat="1" ht="56.25" x14ac:dyDescent="0.2">
      <c r="A117" s="609"/>
      <c r="B117" s="609"/>
      <c r="C117" s="610"/>
      <c r="D117" s="611" t="s">
        <v>434</v>
      </c>
      <c r="E117" s="612" t="s">
        <v>1474</v>
      </c>
      <c r="F117" s="613">
        <v>1500</v>
      </c>
      <c r="G117" s="619">
        <v>1443.05</v>
      </c>
      <c r="H117" s="1162">
        <f t="shared" si="42"/>
        <v>0.9620333333333333</v>
      </c>
    </row>
    <row r="118" spans="1:8" s="614" customFormat="1" ht="22.5" x14ac:dyDescent="0.2">
      <c r="A118" s="609"/>
      <c r="B118" s="609"/>
      <c r="C118" s="610"/>
      <c r="D118" s="615" t="s">
        <v>392</v>
      </c>
      <c r="E118" s="616" t="s">
        <v>478</v>
      </c>
      <c r="F118" s="617">
        <v>2000</v>
      </c>
      <c r="G118" s="619">
        <v>992.22</v>
      </c>
      <c r="H118" s="1162">
        <f t="shared" si="42"/>
        <v>0.49611</v>
      </c>
    </row>
    <row r="119" spans="1:8" s="614" customFormat="1" x14ac:dyDescent="0.2">
      <c r="A119" s="609"/>
      <c r="B119" s="609"/>
      <c r="C119" s="610"/>
      <c r="D119" s="611" t="s">
        <v>394</v>
      </c>
      <c r="E119" s="612" t="s">
        <v>479</v>
      </c>
      <c r="F119" s="613">
        <v>3500</v>
      </c>
      <c r="G119" s="619">
        <v>3230.52</v>
      </c>
      <c r="H119" s="1162">
        <f t="shared" si="42"/>
        <v>0.92300571428571432</v>
      </c>
    </row>
    <row r="120" spans="1:8" s="614" customFormat="1" ht="56.25" x14ac:dyDescent="0.2">
      <c r="A120" s="609"/>
      <c r="B120" s="609"/>
      <c r="C120" s="610"/>
      <c r="D120" s="611" t="s">
        <v>405</v>
      </c>
      <c r="E120" s="616" t="s">
        <v>1475</v>
      </c>
      <c r="F120" s="613">
        <v>4900</v>
      </c>
      <c r="G120" s="619">
        <v>4898.2700000000004</v>
      </c>
      <c r="H120" s="1162">
        <f t="shared" si="42"/>
        <v>0.99964693877551025</v>
      </c>
    </row>
    <row r="121" spans="1:8" s="614" customFormat="1" ht="90" x14ac:dyDescent="0.2">
      <c r="A121" s="609"/>
      <c r="B121" s="609"/>
      <c r="C121" s="610"/>
      <c r="D121" s="611" t="s">
        <v>407</v>
      </c>
      <c r="E121" s="612" t="s">
        <v>1476</v>
      </c>
      <c r="F121" s="613">
        <v>4200</v>
      </c>
      <c r="G121" s="619">
        <v>4009.95</v>
      </c>
      <c r="H121" s="1162">
        <f t="shared" si="42"/>
        <v>0.95474999999999999</v>
      </c>
    </row>
    <row r="122" spans="1:8" s="614" customFormat="1" ht="45" x14ac:dyDescent="0.2">
      <c r="A122" s="609"/>
      <c r="B122" s="609"/>
      <c r="C122" s="610"/>
      <c r="D122" s="611" t="s">
        <v>396</v>
      </c>
      <c r="E122" s="612" t="s">
        <v>1465</v>
      </c>
      <c r="F122" s="613">
        <v>2819.27</v>
      </c>
      <c r="G122" s="619">
        <v>2621.93</v>
      </c>
      <c r="H122" s="1162">
        <f t="shared" si="42"/>
        <v>0.93000315684556634</v>
      </c>
    </row>
    <row r="123" spans="1:8" s="614" customFormat="1" x14ac:dyDescent="0.2">
      <c r="A123" s="609"/>
      <c r="B123" s="609"/>
      <c r="C123" s="610"/>
      <c r="D123" s="615" t="s">
        <v>455</v>
      </c>
      <c r="E123" s="616" t="s">
        <v>480</v>
      </c>
      <c r="F123" s="617">
        <v>2000</v>
      </c>
      <c r="G123" s="619">
        <v>1998.43</v>
      </c>
      <c r="H123" s="1162">
        <f t="shared" si="42"/>
        <v>0.99921500000000008</v>
      </c>
    </row>
    <row r="124" spans="1:8" s="614" customFormat="1" x14ac:dyDescent="0.2">
      <c r="A124" s="609"/>
      <c r="B124" s="609"/>
      <c r="C124" s="610"/>
      <c r="D124" s="611" t="s">
        <v>400</v>
      </c>
      <c r="E124" s="612" t="s">
        <v>481</v>
      </c>
      <c r="F124" s="613">
        <v>979.75</v>
      </c>
      <c r="G124" s="1380">
        <v>948.99</v>
      </c>
      <c r="H124" s="1162">
        <f t="shared" si="42"/>
        <v>0.96860423577443222</v>
      </c>
    </row>
    <row r="125" spans="1:8" s="614" customFormat="1" ht="22.5" x14ac:dyDescent="0.2">
      <c r="A125" s="609"/>
      <c r="B125" s="609"/>
      <c r="C125" s="610"/>
      <c r="D125" s="611" t="s">
        <v>459</v>
      </c>
      <c r="E125" s="612" t="s">
        <v>482</v>
      </c>
      <c r="F125" s="613">
        <v>1500</v>
      </c>
      <c r="G125" s="1381">
        <v>1499.91</v>
      </c>
      <c r="H125" s="1162">
        <f t="shared" si="42"/>
        <v>0.99994000000000005</v>
      </c>
    </row>
    <row r="126" spans="1:8" s="614" customFormat="1" ht="22.5" x14ac:dyDescent="0.2">
      <c r="A126" s="609"/>
      <c r="B126" s="609"/>
      <c r="C126" s="610"/>
      <c r="D126" s="611" t="s">
        <v>414</v>
      </c>
      <c r="E126" s="612" t="s">
        <v>483</v>
      </c>
      <c r="F126" s="613">
        <v>2300</v>
      </c>
      <c r="G126" s="1381">
        <v>2292.83</v>
      </c>
      <c r="H126" s="1162">
        <f t="shared" si="42"/>
        <v>0.99688260869565215</v>
      </c>
    </row>
    <row r="127" spans="1:8" s="614" customFormat="1" x14ac:dyDescent="0.2">
      <c r="A127" s="609"/>
      <c r="B127" s="609"/>
      <c r="C127" s="610"/>
      <c r="D127" s="615" t="s">
        <v>410</v>
      </c>
      <c r="E127" s="616" t="s">
        <v>484</v>
      </c>
      <c r="F127" s="617">
        <v>3000</v>
      </c>
      <c r="G127" s="619">
        <v>2999.08</v>
      </c>
      <c r="H127" s="1162">
        <f t="shared" si="42"/>
        <v>0.99969333333333332</v>
      </c>
    </row>
    <row r="128" spans="1:8" s="614" customFormat="1" ht="22.5" x14ac:dyDescent="0.2">
      <c r="A128" s="609"/>
      <c r="B128" s="609"/>
      <c r="C128" s="610"/>
      <c r="D128" s="615" t="s">
        <v>402</v>
      </c>
      <c r="E128" s="616" t="s">
        <v>478</v>
      </c>
      <c r="F128" s="617">
        <v>6500</v>
      </c>
      <c r="G128" s="1381">
        <v>6475.52</v>
      </c>
      <c r="H128" s="1162">
        <f t="shared" si="42"/>
        <v>0.99623384615384625</v>
      </c>
    </row>
    <row r="129" spans="1:8" s="614" customFormat="1" ht="56.25" x14ac:dyDescent="0.2">
      <c r="A129" s="609"/>
      <c r="B129" s="609"/>
      <c r="C129" s="610"/>
      <c r="D129" s="615" t="s">
        <v>445</v>
      </c>
      <c r="E129" s="616" t="s">
        <v>485</v>
      </c>
      <c r="F129" s="617">
        <v>3583.67</v>
      </c>
      <c r="G129" s="1381">
        <v>3499.65</v>
      </c>
      <c r="H129" s="1162">
        <f t="shared" si="42"/>
        <v>0.97655476090153392</v>
      </c>
    </row>
    <row r="130" spans="1:8" s="614" customFormat="1" ht="22.5" x14ac:dyDescent="0.2">
      <c r="A130" s="609"/>
      <c r="B130" s="609"/>
      <c r="C130" s="610"/>
      <c r="D130" s="615" t="s">
        <v>417</v>
      </c>
      <c r="E130" s="616" t="s">
        <v>486</v>
      </c>
      <c r="F130" s="617">
        <v>2300</v>
      </c>
      <c r="G130" s="1381">
        <v>2299.35</v>
      </c>
      <c r="H130" s="1162">
        <f t="shared" si="42"/>
        <v>0.99971739130434778</v>
      </c>
    </row>
    <row r="131" spans="1:8" s="614" customFormat="1" ht="22.5" x14ac:dyDescent="0.2">
      <c r="A131" s="609"/>
      <c r="B131" s="609"/>
      <c r="C131" s="610"/>
      <c r="D131" s="615" t="s">
        <v>412</v>
      </c>
      <c r="E131" s="616" t="s">
        <v>487</v>
      </c>
      <c r="F131" s="617">
        <v>3500</v>
      </c>
      <c r="G131" s="1381">
        <v>3499.9</v>
      </c>
      <c r="H131" s="1162">
        <f t="shared" si="42"/>
        <v>0.99997142857142862</v>
      </c>
    </row>
    <row r="132" spans="1:8" s="614" customFormat="1" ht="33.75" x14ac:dyDescent="0.2">
      <c r="A132" s="609"/>
      <c r="B132" s="609"/>
      <c r="C132" s="691"/>
      <c r="D132" s="672" t="s">
        <v>440</v>
      </c>
      <c r="E132" s="673" t="s">
        <v>488</v>
      </c>
      <c r="F132" s="674">
        <v>1539.73</v>
      </c>
      <c r="G132" s="1381">
        <v>1009.01</v>
      </c>
      <c r="H132" s="1162">
        <f t="shared" si="42"/>
        <v>0.655316191799861</v>
      </c>
    </row>
    <row r="133" spans="1:8" s="614" customFormat="1" x14ac:dyDescent="0.2">
      <c r="A133" s="609"/>
      <c r="B133" s="609"/>
      <c r="C133" s="692" t="s">
        <v>404</v>
      </c>
      <c r="D133" s="692"/>
      <c r="E133" s="693" t="s">
        <v>18</v>
      </c>
      <c r="F133" s="694">
        <f>SUM(F134:F147)</f>
        <v>32300</v>
      </c>
      <c r="G133" s="694">
        <f t="shared" ref="G133" si="43">SUM(G134:G147)</f>
        <v>31271.1</v>
      </c>
      <c r="H133" s="1175">
        <f t="shared" si="42"/>
        <v>0.96814551083591327</v>
      </c>
    </row>
    <row r="134" spans="1:8" s="614" customFormat="1" ht="22.5" x14ac:dyDescent="0.2">
      <c r="A134" s="609"/>
      <c r="B134" s="609"/>
      <c r="C134" s="610"/>
      <c r="D134" s="611" t="s">
        <v>434</v>
      </c>
      <c r="E134" s="612" t="s">
        <v>489</v>
      </c>
      <c r="F134" s="613">
        <v>3000</v>
      </c>
      <c r="G134" s="619">
        <v>3000</v>
      </c>
      <c r="H134" s="1162">
        <f t="shared" si="42"/>
        <v>1</v>
      </c>
    </row>
    <row r="135" spans="1:8" s="614" customFormat="1" ht="22.5" x14ac:dyDescent="0.2">
      <c r="A135" s="609"/>
      <c r="B135" s="609"/>
      <c r="C135" s="610"/>
      <c r="D135" s="615" t="s">
        <v>392</v>
      </c>
      <c r="E135" s="616" t="s">
        <v>478</v>
      </c>
      <c r="F135" s="617">
        <v>1000</v>
      </c>
      <c r="G135" s="619">
        <v>0</v>
      </c>
      <c r="H135" s="1162">
        <f t="shared" si="42"/>
        <v>0</v>
      </c>
    </row>
    <row r="136" spans="1:8" s="614" customFormat="1" x14ac:dyDescent="0.2">
      <c r="A136" s="609"/>
      <c r="B136" s="609"/>
      <c r="C136" s="610"/>
      <c r="D136" s="615" t="s">
        <v>394</v>
      </c>
      <c r="E136" s="612" t="s">
        <v>479</v>
      </c>
      <c r="F136" s="617">
        <v>1500</v>
      </c>
      <c r="G136" s="619">
        <v>1500</v>
      </c>
      <c r="H136" s="1162">
        <f t="shared" si="42"/>
        <v>1</v>
      </c>
    </row>
    <row r="137" spans="1:8" s="614" customFormat="1" ht="22.5" x14ac:dyDescent="0.2">
      <c r="A137" s="609"/>
      <c r="B137" s="609"/>
      <c r="C137" s="610"/>
      <c r="D137" s="611" t="s">
        <v>405</v>
      </c>
      <c r="E137" s="612" t="s">
        <v>478</v>
      </c>
      <c r="F137" s="613">
        <v>1700</v>
      </c>
      <c r="G137" s="619">
        <v>1696.5</v>
      </c>
      <c r="H137" s="1162">
        <f t="shared" si="42"/>
        <v>0.99794117647058822</v>
      </c>
    </row>
    <row r="138" spans="1:8" s="614" customFormat="1" ht="22.5" x14ac:dyDescent="0.2">
      <c r="A138" s="609"/>
      <c r="B138" s="609"/>
      <c r="C138" s="610"/>
      <c r="D138" s="611" t="s">
        <v>407</v>
      </c>
      <c r="E138" s="612" t="s">
        <v>490</v>
      </c>
      <c r="F138" s="613">
        <v>1500</v>
      </c>
      <c r="G138" s="619">
        <v>1500</v>
      </c>
      <c r="H138" s="1162">
        <f t="shared" si="42"/>
        <v>1</v>
      </c>
    </row>
    <row r="139" spans="1:8" s="614" customFormat="1" x14ac:dyDescent="0.2">
      <c r="A139" s="609"/>
      <c r="B139" s="609"/>
      <c r="C139" s="610"/>
      <c r="D139" s="611" t="s">
        <v>396</v>
      </c>
      <c r="E139" s="612" t="s">
        <v>479</v>
      </c>
      <c r="F139" s="613">
        <v>1000</v>
      </c>
      <c r="G139" s="619">
        <v>1000</v>
      </c>
      <c r="H139" s="1162">
        <f t="shared" si="42"/>
        <v>1</v>
      </c>
    </row>
    <row r="140" spans="1:8" s="614" customFormat="1" x14ac:dyDescent="0.2">
      <c r="A140" s="609"/>
      <c r="B140" s="609"/>
      <c r="C140" s="610"/>
      <c r="D140" s="615" t="s">
        <v>455</v>
      </c>
      <c r="E140" s="616" t="s">
        <v>480</v>
      </c>
      <c r="F140" s="617">
        <v>5000</v>
      </c>
      <c r="G140" s="619">
        <v>4984</v>
      </c>
      <c r="H140" s="1162">
        <f t="shared" si="42"/>
        <v>0.99680000000000002</v>
      </c>
    </row>
    <row r="141" spans="1:8" s="614" customFormat="1" ht="22.5" x14ac:dyDescent="0.2">
      <c r="A141" s="609"/>
      <c r="B141" s="609"/>
      <c r="C141" s="610"/>
      <c r="D141" s="611" t="s">
        <v>459</v>
      </c>
      <c r="E141" s="612" t="s">
        <v>482</v>
      </c>
      <c r="F141" s="613">
        <v>2000</v>
      </c>
      <c r="G141" s="619">
        <v>1998</v>
      </c>
      <c r="H141" s="1162">
        <f t="shared" si="42"/>
        <v>0.999</v>
      </c>
    </row>
    <row r="142" spans="1:8" s="614" customFormat="1" ht="22.5" x14ac:dyDescent="0.2">
      <c r="A142" s="609"/>
      <c r="B142" s="609"/>
      <c r="C142" s="610"/>
      <c r="D142" s="611" t="s">
        <v>414</v>
      </c>
      <c r="E142" s="612" t="s">
        <v>483</v>
      </c>
      <c r="F142" s="613">
        <v>700</v>
      </c>
      <c r="G142" s="619">
        <v>700</v>
      </c>
      <c r="H142" s="1162">
        <f t="shared" si="42"/>
        <v>1</v>
      </c>
    </row>
    <row r="143" spans="1:8" s="614" customFormat="1" ht="22.5" x14ac:dyDescent="0.2">
      <c r="A143" s="609"/>
      <c r="B143" s="609"/>
      <c r="C143" s="610"/>
      <c r="D143" s="611" t="s">
        <v>410</v>
      </c>
      <c r="E143" s="612" t="s">
        <v>491</v>
      </c>
      <c r="F143" s="613">
        <v>500</v>
      </c>
      <c r="G143" s="619">
        <v>500</v>
      </c>
      <c r="H143" s="1162">
        <f t="shared" si="42"/>
        <v>1</v>
      </c>
    </row>
    <row r="144" spans="1:8" s="614" customFormat="1" ht="22.5" x14ac:dyDescent="0.2">
      <c r="A144" s="609"/>
      <c r="B144" s="609"/>
      <c r="C144" s="610"/>
      <c r="D144" s="611" t="s">
        <v>445</v>
      </c>
      <c r="E144" s="612" t="s">
        <v>489</v>
      </c>
      <c r="F144" s="613">
        <v>3000</v>
      </c>
      <c r="G144" s="619">
        <v>3000</v>
      </c>
      <c r="H144" s="1162">
        <f t="shared" si="42"/>
        <v>1</v>
      </c>
    </row>
    <row r="145" spans="1:8" s="614" customFormat="1" ht="22.5" x14ac:dyDescent="0.2">
      <c r="A145" s="609"/>
      <c r="B145" s="609"/>
      <c r="C145" s="610"/>
      <c r="D145" s="611" t="s">
        <v>417</v>
      </c>
      <c r="E145" s="616" t="s">
        <v>486</v>
      </c>
      <c r="F145" s="613">
        <v>2000</v>
      </c>
      <c r="G145" s="619">
        <v>2000</v>
      </c>
      <c r="H145" s="1162">
        <f t="shared" si="42"/>
        <v>1</v>
      </c>
    </row>
    <row r="146" spans="1:8" s="614" customFormat="1" ht="22.5" x14ac:dyDescent="0.2">
      <c r="A146" s="609"/>
      <c r="B146" s="609"/>
      <c r="C146" s="610"/>
      <c r="D146" s="615" t="s">
        <v>412</v>
      </c>
      <c r="E146" s="616" t="s">
        <v>487</v>
      </c>
      <c r="F146" s="617">
        <v>2500</v>
      </c>
      <c r="G146" s="619">
        <v>2494</v>
      </c>
      <c r="H146" s="1162">
        <f t="shared" si="42"/>
        <v>0.99760000000000004</v>
      </c>
    </row>
    <row r="147" spans="1:8" s="614" customFormat="1" ht="33.75" x14ac:dyDescent="0.2">
      <c r="A147" s="609"/>
      <c r="B147" s="609"/>
      <c r="C147" s="610"/>
      <c r="D147" s="615" t="s">
        <v>440</v>
      </c>
      <c r="E147" s="616" t="s">
        <v>488</v>
      </c>
      <c r="F147" s="617">
        <v>6900</v>
      </c>
      <c r="G147" s="619">
        <v>6898.6</v>
      </c>
      <c r="H147" s="1162">
        <f t="shared" si="42"/>
        <v>0.99979710144927536</v>
      </c>
    </row>
    <row r="148" spans="1:8" s="614" customFormat="1" x14ac:dyDescent="0.2">
      <c r="A148" s="595" t="s">
        <v>273</v>
      </c>
      <c r="B148" s="595"/>
      <c r="C148" s="595"/>
      <c r="D148" s="595"/>
      <c r="E148" s="597" t="s">
        <v>384</v>
      </c>
      <c r="F148" s="598">
        <f>F153+F149</f>
        <v>58039.229999999996</v>
      </c>
      <c r="G148" s="598">
        <f t="shared" ref="G148" si="44">G153+G149</f>
        <v>56253.500000000007</v>
      </c>
      <c r="H148" s="1158">
        <f>G148/F148</f>
        <v>0.96923236231769461</v>
      </c>
    </row>
    <row r="149" spans="1:8" s="699" customFormat="1" x14ac:dyDescent="0.2">
      <c r="A149" s="628"/>
      <c r="B149" s="695" t="s">
        <v>274</v>
      </c>
      <c r="C149" s="696"/>
      <c r="D149" s="696"/>
      <c r="E149" s="697" t="s">
        <v>385</v>
      </c>
      <c r="F149" s="698">
        <f>F150</f>
        <v>5606.59</v>
      </c>
      <c r="G149" s="698">
        <f t="shared" ref="G149" si="45">G150</f>
        <v>5447.03</v>
      </c>
      <c r="H149" s="1169">
        <f>G149/F149</f>
        <v>0.97154063343315622</v>
      </c>
    </row>
    <row r="150" spans="1:8" s="699" customFormat="1" ht="22.5" x14ac:dyDescent="0.2">
      <c r="A150" s="628"/>
      <c r="B150" s="700"/>
      <c r="C150" s="701" t="s">
        <v>147</v>
      </c>
      <c r="D150" s="701"/>
      <c r="E150" s="702" t="s">
        <v>45</v>
      </c>
      <c r="F150" s="703">
        <f>F151+F152</f>
        <v>5606.59</v>
      </c>
      <c r="G150" s="703">
        <f t="shared" ref="G150" si="46">G151+G152</f>
        <v>5447.03</v>
      </c>
      <c r="H150" s="1170">
        <f>G150/F150</f>
        <v>0.97154063343315622</v>
      </c>
    </row>
    <row r="151" spans="1:8" s="614" customFormat="1" ht="22.5" x14ac:dyDescent="0.2">
      <c r="A151" s="669"/>
      <c r="B151" s="678"/>
      <c r="C151" s="704"/>
      <c r="D151" s="652" t="s">
        <v>394</v>
      </c>
      <c r="E151" s="705" t="s">
        <v>492</v>
      </c>
      <c r="F151" s="681">
        <v>5606.59</v>
      </c>
      <c r="G151" s="619">
        <v>5447.03</v>
      </c>
      <c r="H151" s="1162">
        <f>G151/F151</f>
        <v>0.97154063343315622</v>
      </c>
    </row>
    <row r="152" spans="1:8" s="614" customFormat="1" ht="45" x14ac:dyDescent="0.2">
      <c r="A152" s="669"/>
      <c r="B152" s="678"/>
      <c r="C152" s="704"/>
      <c r="D152" s="652" t="s">
        <v>405</v>
      </c>
      <c r="E152" s="706" t="s">
        <v>493</v>
      </c>
      <c r="F152" s="681">
        <v>0</v>
      </c>
      <c r="G152" s="619">
        <v>0</v>
      </c>
      <c r="H152" s="1162">
        <v>0</v>
      </c>
    </row>
    <row r="153" spans="1:8" s="614" customFormat="1" ht="15.75" x14ac:dyDescent="0.2">
      <c r="A153" s="600"/>
      <c r="B153" s="601" t="s">
        <v>494</v>
      </c>
      <c r="C153" s="602"/>
      <c r="D153" s="602"/>
      <c r="E153" s="603" t="s">
        <v>11</v>
      </c>
      <c r="F153" s="604">
        <f>F169+F156+F154</f>
        <v>52432.639999999999</v>
      </c>
      <c r="G153" s="604">
        <f t="shared" ref="G153" si="47">G169+G156+G154</f>
        <v>50806.470000000008</v>
      </c>
      <c r="H153" s="1159">
        <f>G153/F153</f>
        <v>0.96898554030466533</v>
      </c>
    </row>
    <row r="154" spans="1:8" s="614" customFormat="1" ht="15" x14ac:dyDescent="0.2">
      <c r="A154" s="600"/>
      <c r="B154" s="628"/>
      <c r="C154" s="707" t="s">
        <v>442</v>
      </c>
      <c r="D154" s="707"/>
      <c r="E154" s="708" t="s">
        <v>31</v>
      </c>
      <c r="F154" s="629">
        <f>F155</f>
        <v>2000</v>
      </c>
      <c r="G154" s="629">
        <f t="shared" ref="G154" si="48">G155</f>
        <v>2000</v>
      </c>
      <c r="H154" s="1163">
        <f>G154/F154</f>
        <v>1</v>
      </c>
    </row>
    <row r="155" spans="1:8" s="614" customFormat="1" ht="15.75" x14ac:dyDescent="0.2">
      <c r="A155" s="600"/>
      <c r="B155" s="628"/>
      <c r="C155" s="632"/>
      <c r="D155" s="633" t="s">
        <v>402</v>
      </c>
      <c r="E155" s="709" t="s">
        <v>495</v>
      </c>
      <c r="F155" s="634">
        <v>2000</v>
      </c>
      <c r="G155" s="619">
        <v>2000</v>
      </c>
      <c r="H155" s="1162">
        <f>G155/F155</f>
        <v>1</v>
      </c>
    </row>
    <row r="156" spans="1:8" s="614" customFormat="1" x14ac:dyDescent="0.2">
      <c r="A156" s="605"/>
      <c r="B156" s="605"/>
      <c r="C156" s="606" t="s">
        <v>391</v>
      </c>
      <c r="D156" s="606"/>
      <c r="E156" s="607" t="s">
        <v>17</v>
      </c>
      <c r="F156" s="608">
        <f>SUM(F157:F168)</f>
        <v>43092.639999999999</v>
      </c>
      <c r="G156" s="608">
        <f t="shared" ref="G156" si="49">SUM(G157:G168)</f>
        <v>41514.170000000006</v>
      </c>
      <c r="H156" s="1175">
        <f t="shared" ref="H156:H172" si="50">G156/F156</f>
        <v>0.96337031103223214</v>
      </c>
    </row>
    <row r="157" spans="1:8" s="614" customFormat="1" ht="22.5" x14ac:dyDescent="0.2">
      <c r="A157" s="609"/>
      <c r="B157" s="609"/>
      <c r="C157" s="610"/>
      <c r="D157" s="615" t="s">
        <v>392</v>
      </c>
      <c r="E157" s="616" t="s">
        <v>496</v>
      </c>
      <c r="F157" s="617">
        <v>1500</v>
      </c>
      <c r="G157" s="619">
        <v>871.2</v>
      </c>
      <c r="H157" s="1162">
        <f t="shared" si="50"/>
        <v>0.58079999999999998</v>
      </c>
    </row>
    <row r="158" spans="1:8" s="614" customFormat="1" ht="22.5" x14ac:dyDescent="0.2">
      <c r="A158" s="609"/>
      <c r="B158" s="609"/>
      <c r="C158" s="610"/>
      <c r="D158" s="611" t="s">
        <v>394</v>
      </c>
      <c r="E158" s="612" t="s">
        <v>497</v>
      </c>
      <c r="F158" s="613">
        <v>0</v>
      </c>
      <c r="G158" s="619"/>
      <c r="H158" s="1162">
        <v>0</v>
      </c>
    </row>
    <row r="159" spans="1:8" s="614" customFormat="1" ht="22.5" x14ac:dyDescent="0.2">
      <c r="A159" s="609"/>
      <c r="B159" s="609"/>
      <c r="C159" s="610"/>
      <c r="D159" s="611" t="s">
        <v>405</v>
      </c>
      <c r="E159" s="612" t="s">
        <v>498</v>
      </c>
      <c r="F159" s="613">
        <v>2500</v>
      </c>
      <c r="G159" s="619">
        <v>2486.9899999999998</v>
      </c>
      <c r="H159" s="1162">
        <f t="shared" si="50"/>
        <v>0.9947959999999999</v>
      </c>
    </row>
    <row r="160" spans="1:8" s="614" customFormat="1" ht="56.25" x14ac:dyDescent="0.2">
      <c r="A160" s="609"/>
      <c r="B160" s="609"/>
      <c r="C160" s="610"/>
      <c r="D160" s="611" t="s">
        <v>407</v>
      </c>
      <c r="E160" s="612" t="s">
        <v>1477</v>
      </c>
      <c r="F160" s="613">
        <v>5700</v>
      </c>
      <c r="G160" s="619">
        <v>5179.72</v>
      </c>
      <c r="H160" s="1162">
        <f t="shared" si="50"/>
        <v>0.90872280701754393</v>
      </c>
    </row>
    <row r="161" spans="1:8" s="614" customFormat="1" x14ac:dyDescent="0.2">
      <c r="A161" s="609"/>
      <c r="B161" s="609"/>
      <c r="C161" s="610"/>
      <c r="D161" s="611" t="s">
        <v>396</v>
      </c>
      <c r="E161" s="612" t="s">
        <v>499</v>
      </c>
      <c r="F161" s="613">
        <v>1500</v>
      </c>
      <c r="G161" s="619">
        <v>1452.54</v>
      </c>
      <c r="H161" s="1162">
        <f t="shared" si="50"/>
        <v>0.96836</v>
      </c>
    </row>
    <row r="162" spans="1:8" s="614" customFormat="1" x14ac:dyDescent="0.2">
      <c r="A162" s="609"/>
      <c r="B162" s="609"/>
      <c r="C162" s="610"/>
      <c r="D162" s="615" t="s">
        <v>455</v>
      </c>
      <c r="E162" s="616" t="s">
        <v>500</v>
      </c>
      <c r="F162" s="617">
        <v>6792.64</v>
      </c>
      <c r="G162" s="619">
        <v>6790.96</v>
      </c>
      <c r="H162" s="1162">
        <f t="shared" si="50"/>
        <v>0.99975267348188623</v>
      </c>
    </row>
    <row r="163" spans="1:8" s="614" customFormat="1" ht="45" x14ac:dyDescent="0.2">
      <c r="A163" s="609"/>
      <c r="B163" s="609"/>
      <c r="C163" s="610"/>
      <c r="D163" s="615" t="s">
        <v>459</v>
      </c>
      <c r="E163" s="616" t="s">
        <v>501</v>
      </c>
      <c r="F163" s="617">
        <v>5000</v>
      </c>
      <c r="G163" s="619">
        <v>4936.1000000000004</v>
      </c>
      <c r="H163" s="1162">
        <f t="shared" si="50"/>
        <v>0.9872200000000001</v>
      </c>
    </row>
    <row r="164" spans="1:8" s="614" customFormat="1" x14ac:dyDescent="0.2">
      <c r="A164" s="609"/>
      <c r="B164" s="609"/>
      <c r="C164" s="610"/>
      <c r="D164" s="615" t="s">
        <v>414</v>
      </c>
      <c r="E164" s="616" t="s">
        <v>502</v>
      </c>
      <c r="F164" s="617">
        <v>500</v>
      </c>
      <c r="G164" s="619">
        <v>466.24</v>
      </c>
      <c r="H164" s="1162">
        <f t="shared" si="50"/>
        <v>0.93247999999999998</v>
      </c>
    </row>
    <row r="165" spans="1:8" s="614" customFormat="1" ht="22.5" x14ac:dyDescent="0.2">
      <c r="A165" s="609"/>
      <c r="B165" s="609"/>
      <c r="C165" s="610"/>
      <c r="D165" s="615" t="s">
        <v>410</v>
      </c>
      <c r="E165" s="616" t="s">
        <v>503</v>
      </c>
      <c r="F165" s="617">
        <v>3600</v>
      </c>
      <c r="G165" s="619">
        <v>3595.98</v>
      </c>
      <c r="H165" s="1162">
        <f t="shared" si="50"/>
        <v>0.99888333333333335</v>
      </c>
    </row>
    <row r="166" spans="1:8" s="614" customFormat="1" ht="56.25" x14ac:dyDescent="0.2">
      <c r="A166" s="609"/>
      <c r="B166" s="609"/>
      <c r="C166" s="610"/>
      <c r="D166" s="615" t="s">
        <v>402</v>
      </c>
      <c r="E166" s="616" t="s">
        <v>1478</v>
      </c>
      <c r="F166" s="617">
        <v>13500</v>
      </c>
      <c r="G166" s="619">
        <v>13253.25</v>
      </c>
      <c r="H166" s="1162">
        <f t="shared" si="50"/>
        <v>0.98172222222222227</v>
      </c>
    </row>
    <row r="167" spans="1:8" s="614" customFormat="1" ht="22.5" x14ac:dyDescent="0.2">
      <c r="A167" s="609"/>
      <c r="B167" s="609"/>
      <c r="C167" s="610"/>
      <c r="D167" s="615" t="s">
        <v>445</v>
      </c>
      <c r="E167" s="616" t="s">
        <v>504</v>
      </c>
      <c r="F167" s="617">
        <v>2000</v>
      </c>
      <c r="G167" s="619">
        <v>1986.23</v>
      </c>
      <c r="H167" s="1162">
        <f t="shared" si="50"/>
        <v>0.99311499999999997</v>
      </c>
    </row>
    <row r="168" spans="1:8" s="614" customFormat="1" x14ac:dyDescent="0.2">
      <c r="A168" s="609"/>
      <c r="B168" s="609"/>
      <c r="C168" s="610"/>
      <c r="D168" s="615" t="s">
        <v>412</v>
      </c>
      <c r="E168" s="710" t="s">
        <v>505</v>
      </c>
      <c r="F168" s="617">
        <v>500</v>
      </c>
      <c r="G168" s="619">
        <v>494.96</v>
      </c>
      <c r="H168" s="1162">
        <f t="shared" si="50"/>
        <v>0.98991999999999991</v>
      </c>
    </row>
    <row r="169" spans="1:8" s="614" customFormat="1" x14ac:dyDescent="0.2">
      <c r="A169" s="609"/>
      <c r="B169" s="609"/>
      <c r="C169" s="606" t="s">
        <v>404</v>
      </c>
      <c r="D169" s="606"/>
      <c r="E169" s="607" t="s">
        <v>18</v>
      </c>
      <c r="F169" s="608">
        <f>SUM(F170:F172)</f>
        <v>7340</v>
      </c>
      <c r="G169" s="608">
        <f t="shared" ref="G169" si="51">SUM(G170:G172)</f>
        <v>7292.3</v>
      </c>
      <c r="H169" s="1175">
        <f t="shared" si="50"/>
        <v>0.99350136239782016</v>
      </c>
    </row>
    <row r="170" spans="1:8" s="614" customFormat="1" ht="22.5" x14ac:dyDescent="0.2">
      <c r="A170" s="609"/>
      <c r="B170" s="609"/>
      <c r="C170" s="610"/>
      <c r="D170" s="615" t="s">
        <v>405</v>
      </c>
      <c r="E170" s="616" t="s">
        <v>506</v>
      </c>
      <c r="F170" s="617">
        <v>840</v>
      </c>
      <c r="G170" s="619">
        <v>840</v>
      </c>
      <c r="H170" s="1162">
        <f t="shared" si="50"/>
        <v>1</v>
      </c>
    </row>
    <row r="171" spans="1:8" s="614" customFormat="1" x14ac:dyDescent="0.2">
      <c r="A171" s="609"/>
      <c r="B171" s="609"/>
      <c r="C171" s="610"/>
      <c r="D171" s="620" t="s">
        <v>396</v>
      </c>
      <c r="E171" s="612" t="s">
        <v>499</v>
      </c>
      <c r="F171" s="649">
        <v>1500</v>
      </c>
      <c r="G171" s="619">
        <v>1453</v>
      </c>
      <c r="H171" s="1162"/>
    </row>
    <row r="172" spans="1:8" s="614" customFormat="1" ht="45" x14ac:dyDescent="0.2">
      <c r="A172" s="711"/>
      <c r="B172" s="711"/>
      <c r="C172" s="712"/>
      <c r="D172" s="672" t="s">
        <v>459</v>
      </c>
      <c r="E172" s="673" t="s">
        <v>501</v>
      </c>
      <c r="F172" s="674">
        <v>5000</v>
      </c>
      <c r="G172" s="619">
        <v>4999.3</v>
      </c>
      <c r="H172" s="1162">
        <f t="shared" si="50"/>
        <v>0.99986000000000008</v>
      </c>
    </row>
    <row r="173" spans="1:8" ht="23.25" customHeight="1" x14ac:dyDescent="0.2">
      <c r="A173" s="2231"/>
      <c r="B173" s="2232"/>
      <c r="C173" s="2232"/>
      <c r="D173" s="713"/>
      <c r="E173" s="713" t="s">
        <v>507</v>
      </c>
      <c r="F173" s="714">
        <f>F148+F72+F51+F42+F31+F6+F24</f>
        <v>355229.86000000004</v>
      </c>
      <c r="G173" s="714">
        <f>G148+G72+G51+G42+G31+G6+G24</f>
        <v>340410.51</v>
      </c>
      <c r="H173" s="1171">
        <f>G173/F173</f>
        <v>0.95828236398820743</v>
      </c>
    </row>
    <row r="174" spans="1:8" x14ac:dyDescent="0.2">
      <c r="A174" s="715"/>
      <c r="B174" s="593"/>
      <c r="C174" s="593"/>
      <c r="D174" s="593"/>
      <c r="E174" s="716" t="s">
        <v>508</v>
      </c>
      <c r="F174" s="717"/>
      <c r="G174" s="718"/>
      <c r="H174" s="1172"/>
    </row>
    <row r="175" spans="1:8" x14ac:dyDescent="0.2">
      <c r="A175" s="719"/>
      <c r="B175" s="593"/>
      <c r="C175" s="593"/>
      <c r="D175" s="593"/>
      <c r="E175" s="720" t="s">
        <v>509</v>
      </c>
      <c r="F175" s="721">
        <f>F173-F176</f>
        <v>306923.27</v>
      </c>
      <c r="G175" s="721">
        <f>G173-G176</f>
        <v>292405.58</v>
      </c>
      <c r="H175" s="1173">
        <f>G175/F175</f>
        <v>0.95269928539468507</v>
      </c>
    </row>
    <row r="176" spans="1:8" s="726" customFormat="1" x14ac:dyDescent="0.2">
      <c r="A176" s="722"/>
      <c r="B176" s="723"/>
      <c r="C176" s="723"/>
      <c r="D176" s="723"/>
      <c r="E176" s="724" t="s">
        <v>510</v>
      </c>
      <c r="F176" s="725">
        <f>F107+F40+F29+F22+F150+F38</f>
        <v>48306.59</v>
      </c>
      <c r="G176" s="725">
        <f>G107+G40+G29+G22+G150+G38</f>
        <v>48004.929999999993</v>
      </c>
      <c r="H176" s="1174">
        <f>G176/F176</f>
        <v>0.99375530336544138</v>
      </c>
    </row>
    <row r="177" spans="7:8" x14ac:dyDescent="0.2">
      <c r="G177" s="728"/>
      <c r="H177" s="728"/>
    </row>
    <row r="178" spans="7:8" x14ac:dyDescent="0.2">
      <c r="G178" s="727"/>
    </row>
  </sheetData>
  <sheetProtection selectLockedCells="1" selectUnlockedCells="1"/>
  <mergeCells count="4">
    <mergeCell ref="C63:C66"/>
    <mergeCell ref="B66:B68"/>
    <mergeCell ref="A173:C173"/>
    <mergeCell ref="A4:H4"/>
  </mergeCells>
  <pageMargins left="0.9055118110236221" right="0" top="0.55118110236220474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zoomScaleNormal="100" workbookViewId="0">
      <selection activeCell="A46" sqref="A46:H46"/>
    </sheetView>
  </sheetViews>
  <sheetFormatPr defaultRowHeight="12.75" x14ac:dyDescent="0.2"/>
  <cols>
    <col min="1" max="1" width="3.85546875" style="592" customWidth="1"/>
    <col min="2" max="2" width="38" style="592" customWidth="1"/>
    <col min="3" max="3" width="11.140625" style="592" customWidth="1"/>
    <col min="4" max="4" width="11.7109375" style="592" customWidth="1"/>
    <col min="5" max="5" width="13.85546875" style="592" hidden="1" customWidth="1"/>
    <col min="6" max="6" width="10.42578125" style="592" hidden="1" customWidth="1"/>
    <col min="7" max="7" width="13" style="592" customWidth="1"/>
    <col min="8" max="8" width="10.7109375" style="592" bestFit="1" customWidth="1"/>
    <col min="9" max="254" width="9.140625" style="592"/>
    <col min="255" max="255" width="6.7109375" style="592" customWidth="1"/>
    <col min="256" max="256" width="34.140625" style="592" customWidth="1"/>
    <col min="257" max="257" width="19" style="592" customWidth="1"/>
    <col min="258" max="258" width="27.85546875" style="592" customWidth="1"/>
    <col min="259" max="510" width="9.140625" style="592"/>
    <col min="511" max="511" width="6.7109375" style="592" customWidth="1"/>
    <col min="512" max="512" width="34.140625" style="592" customWidth="1"/>
    <col min="513" max="513" width="19" style="592" customWidth="1"/>
    <col min="514" max="514" width="27.85546875" style="592" customWidth="1"/>
    <col min="515" max="766" width="9.140625" style="592"/>
    <col min="767" max="767" width="6.7109375" style="592" customWidth="1"/>
    <col min="768" max="768" width="34.140625" style="592" customWidth="1"/>
    <col min="769" max="769" width="19" style="592" customWidth="1"/>
    <col min="770" max="770" width="27.85546875" style="592" customWidth="1"/>
    <col min="771" max="1022" width="9.140625" style="592"/>
    <col min="1023" max="1023" width="6.7109375" style="592" customWidth="1"/>
    <col min="1024" max="1024" width="34.140625" style="592" customWidth="1"/>
    <col min="1025" max="1025" width="19" style="592" customWidth="1"/>
    <col min="1026" max="1026" width="27.85546875" style="592" customWidth="1"/>
    <col min="1027" max="1278" width="9.140625" style="592"/>
    <col min="1279" max="1279" width="6.7109375" style="592" customWidth="1"/>
    <col min="1280" max="1280" width="34.140625" style="592" customWidth="1"/>
    <col min="1281" max="1281" width="19" style="592" customWidth="1"/>
    <col min="1282" max="1282" width="27.85546875" style="592" customWidth="1"/>
    <col min="1283" max="1534" width="9.140625" style="592"/>
    <col min="1535" max="1535" width="6.7109375" style="592" customWidth="1"/>
    <col min="1536" max="1536" width="34.140625" style="592" customWidth="1"/>
    <col min="1537" max="1537" width="19" style="592" customWidth="1"/>
    <col min="1538" max="1538" width="27.85546875" style="592" customWidth="1"/>
    <col min="1539" max="1790" width="9.140625" style="592"/>
    <col min="1791" max="1791" width="6.7109375" style="592" customWidth="1"/>
    <col min="1792" max="1792" width="34.140625" style="592" customWidth="1"/>
    <col min="1793" max="1793" width="19" style="592" customWidth="1"/>
    <col min="1794" max="1794" width="27.85546875" style="592" customWidth="1"/>
    <col min="1795" max="2046" width="9.140625" style="592"/>
    <col min="2047" max="2047" width="6.7109375" style="592" customWidth="1"/>
    <col min="2048" max="2048" width="34.140625" style="592" customWidth="1"/>
    <col min="2049" max="2049" width="19" style="592" customWidth="1"/>
    <col min="2050" max="2050" width="27.85546875" style="592" customWidth="1"/>
    <col min="2051" max="2302" width="9.140625" style="592"/>
    <col min="2303" max="2303" width="6.7109375" style="592" customWidth="1"/>
    <col min="2304" max="2304" width="34.140625" style="592" customWidth="1"/>
    <col min="2305" max="2305" width="19" style="592" customWidth="1"/>
    <col min="2306" max="2306" width="27.85546875" style="592" customWidth="1"/>
    <col min="2307" max="2558" width="9.140625" style="592"/>
    <col min="2559" max="2559" width="6.7109375" style="592" customWidth="1"/>
    <col min="2560" max="2560" width="34.140625" style="592" customWidth="1"/>
    <col min="2561" max="2561" width="19" style="592" customWidth="1"/>
    <col min="2562" max="2562" width="27.85546875" style="592" customWidth="1"/>
    <col min="2563" max="2814" width="9.140625" style="592"/>
    <col min="2815" max="2815" width="6.7109375" style="592" customWidth="1"/>
    <col min="2816" max="2816" width="34.140625" style="592" customWidth="1"/>
    <col min="2817" max="2817" width="19" style="592" customWidth="1"/>
    <col min="2818" max="2818" width="27.85546875" style="592" customWidth="1"/>
    <col min="2819" max="3070" width="9.140625" style="592"/>
    <col min="3071" max="3071" width="6.7109375" style="592" customWidth="1"/>
    <col min="3072" max="3072" width="34.140625" style="592" customWidth="1"/>
    <col min="3073" max="3073" width="19" style="592" customWidth="1"/>
    <col min="3074" max="3074" width="27.85546875" style="592" customWidth="1"/>
    <col min="3075" max="3326" width="9.140625" style="592"/>
    <col min="3327" max="3327" width="6.7109375" style="592" customWidth="1"/>
    <col min="3328" max="3328" width="34.140625" style="592" customWidth="1"/>
    <col min="3329" max="3329" width="19" style="592" customWidth="1"/>
    <col min="3330" max="3330" width="27.85546875" style="592" customWidth="1"/>
    <col min="3331" max="3582" width="9.140625" style="592"/>
    <col min="3583" max="3583" width="6.7109375" style="592" customWidth="1"/>
    <col min="3584" max="3584" width="34.140625" style="592" customWidth="1"/>
    <col min="3585" max="3585" width="19" style="592" customWidth="1"/>
    <col min="3586" max="3586" width="27.85546875" style="592" customWidth="1"/>
    <col min="3587" max="3838" width="9.140625" style="592"/>
    <col min="3839" max="3839" width="6.7109375" style="592" customWidth="1"/>
    <col min="3840" max="3840" width="34.140625" style="592" customWidth="1"/>
    <col min="3841" max="3841" width="19" style="592" customWidth="1"/>
    <col min="3842" max="3842" width="27.85546875" style="592" customWidth="1"/>
    <col min="3843" max="4094" width="9.140625" style="592"/>
    <col min="4095" max="4095" width="6.7109375" style="592" customWidth="1"/>
    <col min="4096" max="4096" width="34.140625" style="592" customWidth="1"/>
    <col min="4097" max="4097" width="19" style="592" customWidth="1"/>
    <col min="4098" max="4098" width="27.85546875" style="592" customWidth="1"/>
    <col min="4099" max="4350" width="9.140625" style="592"/>
    <col min="4351" max="4351" width="6.7109375" style="592" customWidth="1"/>
    <col min="4352" max="4352" width="34.140625" style="592" customWidth="1"/>
    <col min="4353" max="4353" width="19" style="592" customWidth="1"/>
    <col min="4354" max="4354" width="27.85546875" style="592" customWidth="1"/>
    <col min="4355" max="4606" width="9.140625" style="592"/>
    <col min="4607" max="4607" width="6.7109375" style="592" customWidth="1"/>
    <col min="4608" max="4608" width="34.140625" style="592" customWidth="1"/>
    <col min="4609" max="4609" width="19" style="592" customWidth="1"/>
    <col min="4610" max="4610" width="27.85546875" style="592" customWidth="1"/>
    <col min="4611" max="4862" width="9.140625" style="592"/>
    <col min="4863" max="4863" width="6.7109375" style="592" customWidth="1"/>
    <col min="4864" max="4864" width="34.140625" style="592" customWidth="1"/>
    <col min="4865" max="4865" width="19" style="592" customWidth="1"/>
    <col min="4866" max="4866" width="27.85546875" style="592" customWidth="1"/>
    <col min="4867" max="5118" width="9.140625" style="592"/>
    <col min="5119" max="5119" width="6.7109375" style="592" customWidth="1"/>
    <col min="5120" max="5120" width="34.140625" style="592" customWidth="1"/>
    <col min="5121" max="5121" width="19" style="592" customWidth="1"/>
    <col min="5122" max="5122" width="27.85546875" style="592" customWidth="1"/>
    <col min="5123" max="5374" width="9.140625" style="592"/>
    <col min="5375" max="5375" width="6.7109375" style="592" customWidth="1"/>
    <col min="5376" max="5376" width="34.140625" style="592" customWidth="1"/>
    <col min="5377" max="5377" width="19" style="592" customWidth="1"/>
    <col min="5378" max="5378" width="27.85546875" style="592" customWidth="1"/>
    <col min="5379" max="5630" width="9.140625" style="592"/>
    <col min="5631" max="5631" width="6.7109375" style="592" customWidth="1"/>
    <col min="5632" max="5632" width="34.140625" style="592" customWidth="1"/>
    <col min="5633" max="5633" width="19" style="592" customWidth="1"/>
    <col min="5634" max="5634" width="27.85546875" style="592" customWidth="1"/>
    <col min="5635" max="5886" width="9.140625" style="592"/>
    <col min="5887" max="5887" width="6.7109375" style="592" customWidth="1"/>
    <col min="5888" max="5888" width="34.140625" style="592" customWidth="1"/>
    <col min="5889" max="5889" width="19" style="592" customWidth="1"/>
    <col min="5890" max="5890" width="27.85546875" style="592" customWidth="1"/>
    <col min="5891" max="6142" width="9.140625" style="592"/>
    <col min="6143" max="6143" width="6.7109375" style="592" customWidth="1"/>
    <col min="6144" max="6144" width="34.140625" style="592" customWidth="1"/>
    <col min="6145" max="6145" width="19" style="592" customWidth="1"/>
    <col min="6146" max="6146" width="27.85546875" style="592" customWidth="1"/>
    <col min="6147" max="6398" width="9.140625" style="592"/>
    <col min="6399" max="6399" width="6.7109375" style="592" customWidth="1"/>
    <col min="6400" max="6400" width="34.140625" style="592" customWidth="1"/>
    <col min="6401" max="6401" width="19" style="592" customWidth="1"/>
    <col min="6402" max="6402" width="27.85546875" style="592" customWidth="1"/>
    <col min="6403" max="6654" width="9.140625" style="592"/>
    <col min="6655" max="6655" width="6.7109375" style="592" customWidth="1"/>
    <col min="6656" max="6656" width="34.140625" style="592" customWidth="1"/>
    <col min="6657" max="6657" width="19" style="592" customWidth="1"/>
    <col min="6658" max="6658" width="27.85546875" style="592" customWidth="1"/>
    <col min="6659" max="6910" width="9.140625" style="592"/>
    <col min="6911" max="6911" width="6.7109375" style="592" customWidth="1"/>
    <col min="6912" max="6912" width="34.140625" style="592" customWidth="1"/>
    <col min="6913" max="6913" width="19" style="592" customWidth="1"/>
    <col min="6914" max="6914" width="27.85546875" style="592" customWidth="1"/>
    <col min="6915" max="7166" width="9.140625" style="592"/>
    <col min="7167" max="7167" width="6.7109375" style="592" customWidth="1"/>
    <col min="7168" max="7168" width="34.140625" style="592" customWidth="1"/>
    <col min="7169" max="7169" width="19" style="592" customWidth="1"/>
    <col min="7170" max="7170" width="27.85546875" style="592" customWidth="1"/>
    <col min="7171" max="7422" width="9.140625" style="592"/>
    <col min="7423" max="7423" width="6.7109375" style="592" customWidth="1"/>
    <col min="7424" max="7424" width="34.140625" style="592" customWidth="1"/>
    <col min="7425" max="7425" width="19" style="592" customWidth="1"/>
    <col min="7426" max="7426" width="27.85546875" style="592" customWidth="1"/>
    <col min="7427" max="7678" width="9.140625" style="592"/>
    <col min="7679" max="7679" width="6.7109375" style="592" customWidth="1"/>
    <col min="7680" max="7680" width="34.140625" style="592" customWidth="1"/>
    <col min="7681" max="7681" width="19" style="592" customWidth="1"/>
    <col min="7682" max="7682" width="27.85546875" style="592" customWidth="1"/>
    <col min="7683" max="7934" width="9.140625" style="592"/>
    <col min="7935" max="7935" width="6.7109375" style="592" customWidth="1"/>
    <col min="7936" max="7936" width="34.140625" style="592" customWidth="1"/>
    <col min="7937" max="7937" width="19" style="592" customWidth="1"/>
    <col min="7938" max="7938" width="27.85546875" style="592" customWidth="1"/>
    <col min="7939" max="8190" width="9.140625" style="592"/>
    <col min="8191" max="8191" width="6.7109375" style="592" customWidth="1"/>
    <col min="8192" max="8192" width="34.140625" style="592" customWidth="1"/>
    <col min="8193" max="8193" width="19" style="592" customWidth="1"/>
    <col min="8194" max="8194" width="27.85546875" style="592" customWidth="1"/>
    <col min="8195" max="8446" width="9.140625" style="592"/>
    <col min="8447" max="8447" width="6.7109375" style="592" customWidth="1"/>
    <col min="8448" max="8448" width="34.140625" style="592" customWidth="1"/>
    <col min="8449" max="8449" width="19" style="592" customWidth="1"/>
    <col min="8450" max="8450" width="27.85546875" style="592" customWidth="1"/>
    <col min="8451" max="8702" width="9.140625" style="592"/>
    <col min="8703" max="8703" width="6.7109375" style="592" customWidth="1"/>
    <col min="8704" max="8704" width="34.140625" style="592" customWidth="1"/>
    <col min="8705" max="8705" width="19" style="592" customWidth="1"/>
    <col min="8706" max="8706" width="27.85546875" style="592" customWidth="1"/>
    <col min="8707" max="8958" width="9.140625" style="592"/>
    <col min="8959" max="8959" width="6.7109375" style="592" customWidth="1"/>
    <col min="8960" max="8960" width="34.140625" style="592" customWidth="1"/>
    <col min="8961" max="8961" width="19" style="592" customWidth="1"/>
    <col min="8962" max="8962" width="27.85546875" style="592" customWidth="1"/>
    <col min="8963" max="9214" width="9.140625" style="592"/>
    <col min="9215" max="9215" width="6.7109375" style="592" customWidth="1"/>
    <col min="9216" max="9216" width="34.140625" style="592" customWidth="1"/>
    <col min="9217" max="9217" width="19" style="592" customWidth="1"/>
    <col min="9218" max="9218" width="27.85546875" style="592" customWidth="1"/>
    <col min="9219" max="9470" width="9.140625" style="592"/>
    <col min="9471" max="9471" width="6.7109375" style="592" customWidth="1"/>
    <col min="9472" max="9472" width="34.140625" style="592" customWidth="1"/>
    <col min="9473" max="9473" width="19" style="592" customWidth="1"/>
    <col min="9474" max="9474" width="27.85546875" style="592" customWidth="1"/>
    <col min="9475" max="9726" width="9.140625" style="592"/>
    <col min="9727" max="9727" width="6.7109375" style="592" customWidth="1"/>
    <col min="9728" max="9728" width="34.140625" style="592" customWidth="1"/>
    <col min="9729" max="9729" width="19" style="592" customWidth="1"/>
    <col min="9730" max="9730" width="27.85546875" style="592" customWidth="1"/>
    <col min="9731" max="9982" width="9.140625" style="592"/>
    <col min="9983" max="9983" width="6.7109375" style="592" customWidth="1"/>
    <col min="9984" max="9984" width="34.140625" style="592" customWidth="1"/>
    <col min="9985" max="9985" width="19" style="592" customWidth="1"/>
    <col min="9986" max="9986" width="27.85546875" style="592" customWidth="1"/>
    <col min="9987" max="10238" width="9.140625" style="592"/>
    <col min="10239" max="10239" width="6.7109375" style="592" customWidth="1"/>
    <col min="10240" max="10240" width="34.140625" style="592" customWidth="1"/>
    <col min="10241" max="10241" width="19" style="592" customWidth="1"/>
    <col min="10242" max="10242" width="27.85546875" style="592" customWidth="1"/>
    <col min="10243" max="10494" width="9.140625" style="592"/>
    <col min="10495" max="10495" width="6.7109375" style="592" customWidth="1"/>
    <col min="10496" max="10496" width="34.140625" style="592" customWidth="1"/>
    <col min="10497" max="10497" width="19" style="592" customWidth="1"/>
    <col min="10498" max="10498" width="27.85546875" style="592" customWidth="1"/>
    <col min="10499" max="10750" width="9.140625" style="592"/>
    <col min="10751" max="10751" width="6.7109375" style="592" customWidth="1"/>
    <col min="10752" max="10752" width="34.140625" style="592" customWidth="1"/>
    <col min="10753" max="10753" width="19" style="592" customWidth="1"/>
    <col min="10754" max="10754" width="27.85546875" style="592" customWidth="1"/>
    <col min="10755" max="11006" width="9.140625" style="592"/>
    <col min="11007" max="11007" width="6.7109375" style="592" customWidth="1"/>
    <col min="11008" max="11008" width="34.140625" style="592" customWidth="1"/>
    <col min="11009" max="11009" width="19" style="592" customWidth="1"/>
    <col min="11010" max="11010" width="27.85546875" style="592" customWidth="1"/>
    <col min="11011" max="11262" width="9.140625" style="592"/>
    <col min="11263" max="11263" width="6.7109375" style="592" customWidth="1"/>
    <col min="11264" max="11264" width="34.140625" style="592" customWidth="1"/>
    <col min="11265" max="11265" width="19" style="592" customWidth="1"/>
    <col min="11266" max="11266" width="27.85546875" style="592" customWidth="1"/>
    <col min="11267" max="11518" width="9.140625" style="592"/>
    <col min="11519" max="11519" width="6.7109375" style="592" customWidth="1"/>
    <col min="11520" max="11520" width="34.140625" style="592" customWidth="1"/>
    <col min="11521" max="11521" width="19" style="592" customWidth="1"/>
    <col min="11522" max="11522" width="27.85546875" style="592" customWidth="1"/>
    <col min="11523" max="11774" width="9.140625" style="592"/>
    <col min="11775" max="11775" width="6.7109375" style="592" customWidth="1"/>
    <col min="11776" max="11776" width="34.140625" style="592" customWidth="1"/>
    <col min="11777" max="11777" width="19" style="592" customWidth="1"/>
    <col min="11778" max="11778" width="27.85546875" style="592" customWidth="1"/>
    <col min="11779" max="12030" width="9.140625" style="592"/>
    <col min="12031" max="12031" width="6.7109375" style="592" customWidth="1"/>
    <col min="12032" max="12032" width="34.140625" style="592" customWidth="1"/>
    <col min="12033" max="12033" width="19" style="592" customWidth="1"/>
    <col min="12034" max="12034" width="27.85546875" style="592" customWidth="1"/>
    <col min="12035" max="12286" width="9.140625" style="592"/>
    <col min="12287" max="12287" width="6.7109375" style="592" customWidth="1"/>
    <col min="12288" max="12288" width="34.140625" style="592" customWidth="1"/>
    <col min="12289" max="12289" width="19" style="592" customWidth="1"/>
    <col min="12290" max="12290" width="27.85546875" style="592" customWidth="1"/>
    <col min="12291" max="12542" width="9.140625" style="592"/>
    <col min="12543" max="12543" width="6.7109375" style="592" customWidth="1"/>
    <col min="12544" max="12544" width="34.140625" style="592" customWidth="1"/>
    <col min="12545" max="12545" width="19" style="592" customWidth="1"/>
    <col min="12546" max="12546" width="27.85546875" style="592" customWidth="1"/>
    <col min="12547" max="12798" width="9.140625" style="592"/>
    <col min="12799" max="12799" width="6.7109375" style="592" customWidth="1"/>
    <col min="12800" max="12800" width="34.140625" style="592" customWidth="1"/>
    <col min="12801" max="12801" width="19" style="592" customWidth="1"/>
    <col min="12802" max="12802" width="27.85546875" style="592" customWidth="1"/>
    <col min="12803" max="13054" width="9.140625" style="592"/>
    <col min="13055" max="13055" width="6.7109375" style="592" customWidth="1"/>
    <col min="13056" max="13056" width="34.140625" style="592" customWidth="1"/>
    <col min="13057" max="13057" width="19" style="592" customWidth="1"/>
    <col min="13058" max="13058" width="27.85546875" style="592" customWidth="1"/>
    <col min="13059" max="13310" width="9.140625" style="592"/>
    <col min="13311" max="13311" width="6.7109375" style="592" customWidth="1"/>
    <col min="13312" max="13312" width="34.140625" style="592" customWidth="1"/>
    <col min="13313" max="13313" width="19" style="592" customWidth="1"/>
    <col min="13314" max="13314" width="27.85546875" style="592" customWidth="1"/>
    <col min="13315" max="13566" width="9.140625" style="592"/>
    <col min="13567" max="13567" width="6.7109375" style="592" customWidth="1"/>
    <col min="13568" max="13568" width="34.140625" style="592" customWidth="1"/>
    <col min="13569" max="13569" width="19" style="592" customWidth="1"/>
    <col min="13570" max="13570" width="27.85546875" style="592" customWidth="1"/>
    <col min="13571" max="13822" width="9.140625" style="592"/>
    <col min="13823" max="13823" width="6.7109375" style="592" customWidth="1"/>
    <col min="13824" max="13824" width="34.140625" style="592" customWidth="1"/>
    <col min="13825" max="13825" width="19" style="592" customWidth="1"/>
    <col min="13826" max="13826" width="27.85546875" style="592" customWidth="1"/>
    <col min="13827" max="14078" width="9.140625" style="592"/>
    <col min="14079" max="14079" width="6.7109375" style="592" customWidth="1"/>
    <col min="14080" max="14080" width="34.140625" style="592" customWidth="1"/>
    <col min="14081" max="14081" width="19" style="592" customWidth="1"/>
    <col min="14082" max="14082" width="27.85546875" style="592" customWidth="1"/>
    <col min="14083" max="14334" width="9.140625" style="592"/>
    <col min="14335" max="14335" width="6.7109375" style="592" customWidth="1"/>
    <col min="14336" max="14336" width="34.140625" style="592" customWidth="1"/>
    <col min="14337" max="14337" width="19" style="592" customWidth="1"/>
    <col min="14338" max="14338" width="27.85546875" style="592" customWidth="1"/>
    <col min="14339" max="14590" width="9.140625" style="592"/>
    <col min="14591" max="14591" width="6.7109375" style="592" customWidth="1"/>
    <col min="14592" max="14592" width="34.140625" style="592" customWidth="1"/>
    <col min="14593" max="14593" width="19" style="592" customWidth="1"/>
    <col min="14594" max="14594" width="27.85546875" style="592" customWidth="1"/>
    <col min="14595" max="14846" width="9.140625" style="592"/>
    <col min="14847" max="14847" width="6.7109375" style="592" customWidth="1"/>
    <col min="14848" max="14848" width="34.140625" style="592" customWidth="1"/>
    <col min="14849" max="14849" width="19" style="592" customWidth="1"/>
    <col min="14850" max="14850" width="27.85546875" style="592" customWidth="1"/>
    <col min="14851" max="15102" width="9.140625" style="592"/>
    <col min="15103" max="15103" width="6.7109375" style="592" customWidth="1"/>
    <col min="15104" max="15104" width="34.140625" style="592" customWidth="1"/>
    <col min="15105" max="15105" width="19" style="592" customWidth="1"/>
    <col min="15106" max="15106" width="27.85546875" style="592" customWidth="1"/>
    <col min="15107" max="15358" width="9.140625" style="592"/>
    <col min="15359" max="15359" width="6.7109375" style="592" customWidth="1"/>
    <col min="15360" max="15360" width="34.140625" style="592" customWidth="1"/>
    <col min="15361" max="15361" width="19" style="592" customWidth="1"/>
    <col min="15362" max="15362" width="27.85546875" style="592" customWidth="1"/>
    <col min="15363" max="15614" width="9.140625" style="592"/>
    <col min="15615" max="15615" width="6.7109375" style="592" customWidth="1"/>
    <col min="15616" max="15616" width="34.140625" style="592" customWidth="1"/>
    <col min="15617" max="15617" width="19" style="592" customWidth="1"/>
    <col min="15618" max="15618" width="27.85546875" style="592" customWidth="1"/>
    <col min="15619" max="15870" width="9.140625" style="592"/>
    <col min="15871" max="15871" width="6.7109375" style="592" customWidth="1"/>
    <col min="15872" max="15872" width="34.140625" style="592" customWidth="1"/>
    <col min="15873" max="15873" width="19" style="592" customWidth="1"/>
    <col min="15874" max="15874" width="27.85546875" style="592" customWidth="1"/>
    <col min="15875" max="16126" width="9.140625" style="592"/>
    <col min="16127" max="16127" width="6.7109375" style="592" customWidth="1"/>
    <col min="16128" max="16128" width="34.140625" style="592" customWidth="1"/>
    <col min="16129" max="16129" width="19" style="592" customWidth="1"/>
    <col min="16130" max="16130" width="27.85546875" style="592" customWidth="1"/>
    <col min="16131" max="16384" width="9.140625" style="592"/>
  </cols>
  <sheetData>
    <row r="1" spans="1:8" x14ac:dyDescent="0.2">
      <c r="A1" s="729"/>
      <c r="B1" s="729"/>
      <c r="C1" s="2234" t="s">
        <v>611</v>
      </c>
      <c r="D1" s="2234"/>
      <c r="E1" s="2234"/>
      <c r="F1" s="2234"/>
      <c r="G1" s="2234"/>
      <c r="H1" s="2234"/>
    </row>
    <row r="2" spans="1:8" ht="29.25" customHeight="1" x14ac:dyDescent="0.2">
      <c r="A2" s="2235" t="s">
        <v>612</v>
      </c>
      <c r="B2" s="2235"/>
      <c r="C2" s="2235"/>
      <c r="D2" s="2235"/>
      <c r="E2" s="2235"/>
      <c r="F2" s="2235"/>
      <c r="G2" s="2235"/>
      <c r="H2" s="2235"/>
    </row>
    <row r="3" spans="1:8" ht="36" x14ac:dyDescent="0.2">
      <c r="A3" s="730" t="s">
        <v>118</v>
      </c>
      <c r="B3" s="731" t="s">
        <v>511</v>
      </c>
      <c r="C3" s="1390" t="s">
        <v>512</v>
      </c>
      <c r="D3" s="732" t="s">
        <v>513</v>
      </c>
      <c r="E3" s="733" t="s">
        <v>514</v>
      </c>
      <c r="F3" s="734" t="s">
        <v>91</v>
      </c>
      <c r="G3" s="733" t="s">
        <v>514</v>
      </c>
      <c r="H3" s="733" t="s">
        <v>91</v>
      </c>
    </row>
    <row r="4" spans="1:8" x14ac:dyDescent="0.2">
      <c r="A4" s="1179" t="s">
        <v>120</v>
      </c>
      <c r="B4" s="735" t="s">
        <v>434</v>
      </c>
      <c r="C4" s="1179">
        <v>276</v>
      </c>
      <c r="D4" s="1180">
        <f>SUM(D5:D8)</f>
        <v>16978.559999999998</v>
      </c>
      <c r="E4" s="1180">
        <f t="shared" ref="E4:G4" si="0">SUM(E5:E8)</f>
        <v>12162.59</v>
      </c>
      <c r="F4" s="1180">
        <f t="shared" si="0"/>
        <v>6.1045010679611647</v>
      </c>
      <c r="G4" s="1180">
        <f t="shared" si="0"/>
        <v>16719.71</v>
      </c>
      <c r="H4" s="1181">
        <f>G4/D4</f>
        <v>0.98475430189603841</v>
      </c>
    </row>
    <row r="5" spans="1:8" x14ac:dyDescent="0.2">
      <c r="A5" s="752"/>
      <c r="B5" s="736" t="s">
        <v>515</v>
      </c>
      <c r="C5" s="1182"/>
      <c r="D5" s="1366">
        <v>10300</v>
      </c>
      <c r="E5" s="1365">
        <v>1500</v>
      </c>
      <c r="F5" s="1367">
        <f t="shared" ref="F5:F12" si="1">E5/D5</f>
        <v>0.14563106796116504</v>
      </c>
      <c r="G5" s="1365">
        <v>10300</v>
      </c>
      <c r="H5" s="1368">
        <f>G5/D5</f>
        <v>1</v>
      </c>
    </row>
    <row r="6" spans="1:8" x14ac:dyDescent="0.2">
      <c r="A6" s="752"/>
      <c r="B6" s="736" t="s">
        <v>516</v>
      </c>
      <c r="C6" s="1182"/>
      <c r="D6" s="1366">
        <v>1000</v>
      </c>
      <c r="E6" s="1365">
        <v>4614.95</v>
      </c>
      <c r="F6" s="1367">
        <f t="shared" si="1"/>
        <v>4.6149499999999994</v>
      </c>
      <c r="G6" s="1365">
        <v>976.7</v>
      </c>
      <c r="H6" s="1368">
        <f t="shared" ref="H6:H8" si="2">G6/D6</f>
        <v>0.97670000000000001</v>
      </c>
    </row>
    <row r="7" spans="1:8" x14ac:dyDescent="0.2">
      <c r="A7" s="752"/>
      <c r="B7" s="736" t="s">
        <v>461</v>
      </c>
      <c r="C7" s="1182"/>
      <c r="D7" s="1366">
        <v>1178.56</v>
      </c>
      <c r="E7" s="1365"/>
      <c r="F7" s="1367"/>
      <c r="G7" s="1365">
        <v>999.96</v>
      </c>
      <c r="H7" s="1368">
        <f t="shared" si="2"/>
        <v>0.84845913657344563</v>
      </c>
    </row>
    <row r="8" spans="1:8" ht="22.5" x14ac:dyDescent="0.2">
      <c r="A8" s="752"/>
      <c r="B8" s="736" t="s">
        <v>517</v>
      </c>
      <c r="C8" s="1182"/>
      <c r="D8" s="1366">
        <v>4500</v>
      </c>
      <c r="E8" s="1369">
        <v>6047.64</v>
      </c>
      <c r="F8" s="1367">
        <f t="shared" si="1"/>
        <v>1.34392</v>
      </c>
      <c r="G8" s="1369">
        <v>4443.05</v>
      </c>
      <c r="H8" s="1368">
        <f t="shared" si="2"/>
        <v>0.98734444444444447</v>
      </c>
    </row>
    <row r="9" spans="1:8" x14ac:dyDescent="0.2">
      <c r="A9" s="1179" t="s">
        <v>122</v>
      </c>
      <c r="B9" s="735" t="s">
        <v>392</v>
      </c>
      <c r="C9" s="1179">
        <v>406</v>
      </c>
      <c r="D9" s="1180">
        <f>SUM(D10:D13)</f>
        <v>21615.559999999998</v>
      </c>
      <c r="E9" s="1180">
        <f t="shared" ref="E9:G9" si="3">SUM(E10:E13)</f>
        <v>15855.07</v>
      </c>
      <c r="F9" s="1180">
        <f t="shared" si="3"/>
        <v>4.024049346408602</v>
      </c>
      <c r="G9" s="1180">
        <f t="shared" si="3"/>
        <v>18972.11</v>
      </c>
      <c r="H9" s="1181">
        <f>G9/D9</f>
        <v>0.87770615241983108</v>
      </c>
    </row>
    <row r="10" spans="1:8" x14ac:dyDescent="0.2">
      <c r="A10" s="1183"/>
      <c r="B10" s="736" t="s">
        <v>518</v>
      </c>
      <c r="C10" s="1183"/>
      <c r="D10" s="1366">
        <v>15115.56</v>
      </c>
      <c r="E10" s="1366">
        <v>7928.58</v>
      </c>
      <c r="F10" s="1370">
        <f t="shared" si="1"/>
        <v>0.52453101307526817</v>
      </c>
      <c r="G10" s="1365">
        <v>15111.17</v>
      </c>
      <c r="H10" s="1368">
        <f>G10/D10</f>
        <v>0.99970957079989098</v>
      </c>
    </row>
    <row r="11" spans="1:8" x14ac:dyDescent="0.2">
      <c r="A11" s="752"/>
      <c r="B11" s="736" t="s">
        <v>519</v>
      </c>
      <c r="C11" s="741"/>
      <c r="D11" s="1366">
        <v>2000</v>
      </c>
      <c r="E11" s="1365">
        <v>5144.13</v>
      </c>
      <c r="F11" s="1370">
        <f t="shared" si="1"/>
        <v>2.5720650000000003</v>
      </c>
      <c r="G11" s="1365">
        <v>1997.52</v>
      </c>
      <c r="H11" s="1368">
        <f t="shared" ref="H11:H13" si="4">G11/D11</f>
        <v>0.99875999999999998</v>
      </c>
    </row>
    <row r="12" spans="1:8" x14ac:dyDescent="0.2">
      <c r="A12" s="752"/>
      <c r="B12" s="736" t="s">
        <v>520</v>
      </c>
      <c r="C12" s="741"/>
      <c r="D12" s="1366">
        <v>3000</v>
      </c>
      <c r="E12" s="1365">
        <v>2782.36</v>
      </c>
      <c r="F12" s="1370">
        <f t="shared" si="1"/>
        <v>0.92745333333333335</v>
      </c>
      <c r="G12" s="1365">
        <v>992.22</v>
      </c>
      <c r="H12" s="1368">
        <f t="shared" si="4"/>
        <v>0.33074000000000003</v>
      </c>
    </row>
    <row r="13" spans="1:8" x14ac:dyDescent="0.2">
      <c r="A13" s="752"/>
      <c r="B13" s="736" t="s">
        <v>521</v>
      </c>
      <c r="C13" s="741"/>
      <c r="D13" s="1366">
        <v>1500</v>
      </c>
      <c r="E13" s="1369">
        <v>0</v>
      </c>
      <c r="F13" s="1370">
        <v>0</v>
      </c>
      <c r="G13" s="1369">
        <v>871.2</v>
      </c>
      <c r="H13" s="1368">
        <f t="shared" si="4"/>
        <v>0.58079999999999998</v>
      </c>
    </row>
    <row r="14" spans="1:8" x14ac:dyDescent="0.2">
      <c r="A14" s="1179" t="s">
        <v>123</v>
      </c>
      <c r="B14" s="735" t="s">
        <v>394</v>
      </c>
      <c r="C14" s="1179">
        <v>288</v>
      </c>
      <c r="D14" s="1180">
        <f>SUM(D15:D19)</f>
        <v>17406.59</v>
      </c>
      <c r="E14" s="1180">
        <f>SUM(E15:E19)</f>
        <v>10390.06</v>
      </c>
      <c r="F14" s="1180">
        <f>SUM(F15:F19)</f>
        <v>5.4005159999999997</v>
      </c>
      <c r="G14" s="1180">
        <f>SUM(G15:G19)</f>
        <v>15930.170000000002</v>
      </c>
      <c r="H14" s="1181">
        <f>G14/D14</f>
        <v>0.91518040006687129</v>
      </c>
    </row>
    <row r="15" spans="1:8" ht="22.5" x14ac:dyDescent="0.2">
      <c r="A15" s="1183"/>
      <c r="B15" s="736" t="s">
        <v>522</v>
      </c>
      <c r="C15" s="1183"/>
      <c r="D15" s="1366">
        <v>5606.59</v>
      </c>
      <c r="E15" s="1365">
        <v>0</v>
      </c>
      <c r="F15" s="1367">
        <v>0</v>
      </c>
      <c r="G15" s="1365">
        <v>5447.03</v>
      </c>
      <c r="H15" s="1368">
        <f>G15/D15</f>
        <v>0.97154063343315622</v>
      </c>
    </row>
    <row r="16" spans="1:8" x14ac:dyDescent="0.2">
      <c r="A16" s="752"/>
      <c r="B16" s="736" t="s">
        <v>523</v>
      </c>
      <c r="C16" s="741"/>
      <c r="D16" s="1366">
        <v>1300</v>
      </c>
      <c r="E16" s="1365">
        <v>999.96</v>
      </c>
      <c r="F16" s="1367">
        <f>E16/D16</f>
        <v>0.76919999999999999</v>
      </c>
      <c r="G16" s="1365">
        <v>320.68</v>
      </c>
      <c r="H16" s="1368">
        <f t="shared" ref="H16:H19" si="5">G16/D16</f>
        <v>0.24667692307692307</v>
      </c>
    </row>
    <row r="17" spans="1:8" x14ac:dyDescent="0.2">
      <c r="A17" s="752"/>
      <c r="B17" s="736" t="s">
        <v>436</v>
      </c>
      <c r="C17" s="741"/>
      <c r="D17" s="1366">
        <v>4000</v>
      </c>
      <c r="E17" s="1365"/>
      <c r="F17" s="1367"/>
      <c r="G17" s="1365">
        <f>3332.57+600</f>
        <v>3932.57</v>
      </c>
      <c r="H17" s="1368">
        <f t="shared" si="5"/>
        <v>0.98314250000000003</v>
      </c>
    </row>
    <row r="18" spans="1:8" ht="22.5" x14ac:dyDescent="0.2">
      <c r="A18" s="752"/>
      <c r="B18" s="736" t="s">
        <v>524</v>
      </c>
      <c r="C18" s="741"/>
      <c r="D18" s="1366">
        <v>1500</v>
      </c>
      <c r="E18" s="1365">
        <v>5899.92</v>
      </c>
      <c r="F18" s="1367">
        <f t="shared" ref="F18:F19" si="6">E18/D18</f>
        <v>3.9332799999999999</v>
      </c>
      <c r="G18" s="1365">
        <v>1499.37</v>
      </c>
      <c r="H18" s="1368">
        <f t="shared" si="5"/>
        <v>0.99957999999999991</v>
      </c>
    </row>
    <row r="19" spans="1:8" ht="22.5" x14ac:dyDescent="0.2">
      <c r="A19" s="752"/>
      <c r="B19" s="736" t="s">
        <v>525</v>
      </c>
      <c r="C19" s="741"/>
      <c r="D19" s="1366">
        <v>5000</v>
      </c>
      <c r="E19" s="1365">
        <v>3490.18</v>
      </c>
      <c r="F19" s="1367">
        <f t="shared" si="6"/>
        <v>0.69803599999999999</v>
      </c>
      <c r="G19" s="1365">
        <f>3230.52+1500</f>
        <v>4730.5200000000004</v>
      </c>
      <c r="H19" s="1368">
        <f t="shared" si="5"/>
        <v>0.94610400000000006</v>
      </c>
    </row>
    <row r="20" spans="1:8" x14ac:dyDescent="0.2">
      <c r="A20" s="1179" t="s">
        <v>124</v>
      </c>
      <c r="B20" s="735" t="s">
        <v>405</v>
      </c>
      <c r="C20" s="1179">
        <v>718</v>
      </c>
      <c r="D20" s="1180">
        <f>SUM(D21:D27)</f>
        <v>32744.36</v>
      </c>
      <c r="E20" s="1180">
        <f t="shared" ref="E20:G20" si="7">SUM(E21:E27)</f>
        <v>21977.409999999996</v>
      </c>
      <c r="F20" s="1180" t="e">
        <f t="shared" si="7"/>
        <v>#DIV/0!</v>
      </c>
      <c r="G20" s="1180">
        <f t="shared" si="7"/>
        <v>32235.79</v>
      </c>
      <c r="H20" s="1181">
        <f>G20/D20</f>
        <v>0.98446847029534246</v>
      </c>
    </row>
    <row r="21" spans="1:8" ht="33.75" x14ac:dyDescent="0.2">
      <c r="A21" s="752"/>
      <c r="B21" s="736" t="s">
        <v>526</v>
      </c>
      <c r="C21" s="1366"/>
      <c r="D21" s="1366">
        <v>0</v>
      </c>
      <c r="E21" s="1365">
        <v>8504</v>
      </c>
      <c r="F21" s="1365" t="e">
        <f>E21/D21</f>
        <v>#DIV/0!</v>
      </c>
      <c r="G21" s="1365">
        <v>0</v>
      </c>
      <c r="H21" s="1368">
        <v>0</v>
      </c>
    </row>
    <row r="22" spans="1:8" ht="22.5" x14ac:dyDescent="0.2">
      <c r="A22" s="752"/>
      <c r="B22" s="736" t="s">
        <v>527</v>
      </c>
      <c r="C22" s="1366"/>
      <c r="D22" s="1366">
        <v>9817.66</v>
      </c>
      <c r="E22" s="1365"/>
      <c r="F22" s="1365"/>
      <c r="G22" s="1365">
        <f>4320+150+5347.3</f>
        <v>9817.2999999999993</v>
      </c>
      <c r="H22" s="1368">
        <f t="shared" ref="H22:H27" si="8">G22/D22</f>
        <v>0.99996333138446425</v>
      </c>
    </row>
    <row r="23" spans="1:8" x14ac:dyDescent="0.2">
      <c r="A23" s="752"/>
      <c r="B23" s="736" t="s">
        <v>528</v>
      </c>
      <c r="C23" s="1366"/>
      <c r="D23" s="1366">
        <v>3000</v>
      </c>
      <c r="E23" s="1365">
        <v>3000</v>
      </c>
      <c r="F23" s="1365">
        <f t="shared" ref="F23:F27" si="9">E23/D23</f>
        <v>1</v>
      </c>
      <c r="G23" s="1365">
        <v>3000</v>
      </c>
      <c r="H23" s="1368">
        <f t="shared" si="8"/>
        <v>1</v>
      </c>
    </row>
    <row r="24" spans="1:8" x14ac:dyDescent="0.2">
      <c r="A24" s="752"/>
      <c r="B24" s="736" t="s">
        <v>437</v>
      </c>
      <c r="C24" s="1366"/>
      <c r="D24" s="1366">
        <v>1500</v>
      </c>
      <c r="E24" s="1365">
        <v>1499.07</v>
      </c>
      <c r="F24" s="1365">
        <f t="shared" si="9"/>
        <v>0.99937999999999994</v>
      </c>
      <c r="G24" s="1365">
        <v>1499.48</v>
      </c>
      <c r="H24" s="1368">
        <f t="shared" si="8"/>
        <v>0.99965333333333339</v>
      </c>
    </row>
    <row r="25" spans="1:8" ht="22.5" x14ac:dyDescent="0.2">
      <c r="A25" s="752"/>
      <c r="B25" s="736" t="s">
        <v>529</v>
      </c>
      <c r="C25" s="1366"/>
      <c r="D25" s="1366">
        <v>7186.7</v>
      </c>
      <c r="E25" s="1365">
        <v>2443.46</v>
      </c>
      <c r="F25" s="1365">
        <f t="shared" si="9"/>
        <v>0.33999749537339807</v>
      </c>
      <c r="G25" s="1365">
        <f>6509+349-160.75</f>
        <v>6697.25</v>
      </c>
      <c r="H25" s="1368">
        <f t="shared" si="8"/>
        <v>0.9318950283161952</v>
      </c>
    </row>
    <row r="26" spans="1:8" ht="22.5" x14ac:dyDescent="0.2">
      <c r="A26" s="752"/>
      <c r="B26" s="736" t="s">
        <v>530</v>
      </c>
      <c r="C26" s="1366"/>
      <c r="D26" s="1366">
        <v>7900</v>
      </c>
      <c r="E26" s="1365">
        <v>3531.42</v>
      </c>
      <c r="F26" s="1365">
        <f t="shared" si="9"/>
        <v>0.44701518987341771</v>
      </c>
      <c r="G26" s="1365">
        <f>1300+1696.5+4898.27</f>
        <v>7894.77</v>
      </c>
      <c r="H26" s="1368">
        <f t="shared" si="8"/>
        <v>0.99933797468354435</v>
      </c>
    </row>
    <row r="27" spans="1:8" x14ac:dyDescent="0.2">
      <c r="A27" s="752"/>
      <c r="B27" s="736" t="s">
        <v>531</v>
      </c>
      <c r="C27" s="1366"/>
      <c r="D27" s="1366">
        <v>3340</v>
      </c>
      <c r="E27" s="1369">
        <v>2999.46</v>
      </c>
      <c r="F27" s="1365">
        <f t="shared" si="9"/>
        <v>0.89804191616766471</v>
      </c>
      <c r="G27" s="1369">
        <f>2486.99+840</f>
        <v>3326.99</v>
      </c>
      <c r="H27" s="1368">
        <f t="shared" si="8"/>
        <v>0.99610479041916156</v>
      </c>
    </row>
    <row r="28" spans="1:8" x14ac:dyDescent="0.2">
      <c r="A28" s="1179" t="s">
        <v>125</v>
      </c>
      <c r="B28" s="735" t="s">
        <v>407</v>
      </c>
      <c r="C28" s="1179">
        <v>364</v>
      </c>
      <c r="D28" s="1180">
        <f>SUM(D29:D36)</f>
        <v>20117.45</v>
      </c>
      <c r="E28" s="1180">
        <f t="shared" ref="E28:G28" si="10">SUM(E29:E36)</f>
        <v>13566.839999999998</v>
      </c>
      <c r="F28" s="1180">
        <f t="shared" si="10"/>
        <v>12.788015906432749</v>
      </c>
      <c r="G28" s="1180">
        <f t="shared" si="10"/>
        <v>19406.379999999997</v>
      </c>
      <c r="H28" s="1181">
        <f>G28/D28</f>
        <v>0.96465406897991524</v>
      </c>
    </row>
    <row r="29" spans="1:8" ht="22.5" x14ac:dyDescent="0.2">
      <c r="A29" s="1183"/>
      <c r="B29" s="736" t="s">
        <v>532</v>
      </c>
      <c r="C29" s="1183"/>
      <c r="D29" s="1375">
        <v>0</v>
      </c>
      <c r="E29" s="1376"/>
      <c r="F29" s="1376"/>
      <c r="G29" s="1365">
        <v>0</v>
      </c>
      <c r="H29" s="1368">
        <v>0</v>
      </c>
    </row>
    <row r="30" spans="1:8" x14ac:dyDescent="0.2">
      <c r="A30" s="1183"/>
      <c r="B30" s="736" t="s">
        <v>533</v>
      </c>
      <c r="C30" s="1183"/>
      <c r="D30" s="1375">
        <v>7617.45</v>
      </c>
      <c r="E30" s="1376"/>
      <c r="F30" s="1376"/>
      <c r="G30" s="1365">
        <v>7617.45</v>
      </c>
      <c r="H30" s="1368">
        <f t="shared" ref="H30:H32" si="11">G30/D30</f>
        <v>1</v>
      </c>
    </row>
    <row r="31" spans="1:8" ht="22.5" x14ac:dyDescent="0.2">
      <c r="A31" s="752"/>
      <c r="B31" s="736" t="s">
        <v>534</v>
      </c>
      <c r="C31" s="741"/>
      <c r="D31" s="1366">
        <v>200</v>
      </c>
      <c r="E31" s="1365">
        <v>200</v>
      </c>
      <c r="F31" s="1365">
        <f>E31/D31</f>
        <v>1</v>
      </c>
      <c r="G31" s="1365">
        <v>199.26</v>
      </c>
      <c r="H31" s="1368">
        <f t="shared" si="11"/>
        <v>0.99629999999999996</v>
      </c>
    </row>
    <row r="32" spans="1:8" ht="22.5" x14ac:dyDescent="0.2">
      <c r="A32" s="752"/>
      <c r="B32" s="736" t="s">
        <v>535</v>
      </c>
      <c r="C32" s="741"/>
      <c r="D32" s="1366">
        <v>900</v>
      </c>
      <c r="E32" s="1365">
        <v>362</v>
      </c>
      <c r="F32" s="1365">
        <f t="shared" ref="F32:F36" si="12">E32/D32</f>
        <v>0.4022222222222222</v>
      </c>
      <c r="G32" s="1365">
        <v>900</v>
      </c>
      <c r="H32" s="1368">
        <f t="shared" si="11"/>
        <v>1</v>
      </c>
    </row>
    <row r="33" spans="1:8" x14ac:dyDescent="0.2">
      <c r="A33" s="752"/>
      <c r="B33" s="736" t="s">
        <v>536</v>
      </c>
      <c r="C33" s="741"/>
      <c r="D33" s="1366">
        <v>500</v>
      </c>
      <c r="E33" s="1365">
        <v>4690.6099999999997</v>
      </c>
      <c r="F33" s="1365">
        <f t="shared" si="12"/>
        <v>9.381219999999999</v>
      </c>
      <c r="G33" s="1365">
        <v>496.8</v>
      </c>
      <c r="H33" s="1368">
        <f>G33/D33</f>
        <v>0.99360000000000004</v>
      </c>
    </row>
    <row r="34" spans="1:8" ht="22.5" x14ac:dyDescent="0.2">
      <c r="A34" s="752"/>
      <c r="B34" s="736" t="s">
        <v>537</v>
      </c>
      <c r="C34" s="741"/>
      <c r="D34" s="1366">
        <v>1200</v>
      </c>
      <c r="E34" s="1365">
        <v>459.53</v>
      </c>
      <c r="F34" s="1365">
        <f t="shared" si="12"/>
        <v>0.38294166666666662</v>
      </c>
      <c r="G34" s="1365">
        <v>1070</v>
      </c>
      <c r="H34" s="1368">
        <f t="shared" ref="H34:H36" si="13">G34/D34</f>
        <v>0.89166666666666672</v>
      </c>
    </row>
    <row r="35" spans="1:8" ht="22.5" x14ac:dyDescent="0.2">
      <c r="A35" s="752"/>
      <c r="B35" s="736" t="s">
        <v>490</v>
      </c>
      <c r="C35" s="741"/>
      <c r="D35" s="1366">
        <v>4000</v>
      </c>
      <c r="E35" s="1365">
        <v>3267.3</v>
      </c>
      <c r="F35" s="1365">
        <f t="shared" si="12"/>
        <v>0.81682500000000002</v>
      </c>
      <c r="G35" s="1365">
        <f>4009.95-496.8-1070+1500</f>
        <v>3943.1499999999996</v>
      </c>
      <c r="H35" s="1368">
        <f t="shared" si="13"/>
        <v>0.98578749999999993</v>
      </c>
    </row>
    <row r="36" spans="1:8" ht="45" x14ac:dyDescent="0.2">
      <c r="A36" s="752"/>
      <c r="B36" s="736" t="s">
        <v>1464</v>
      </c>
      <c r="C36" s="741"/>
      <c r="D36" s="1377">
        <v>5700</v>
      </c>
      <c r="E36" s="1369">
        <v>4587.3999999999996</v>
      </c>
      <c r="F36" s="1365">
        <f t="shared" si="12"/>
        <v>0.80480701754385964</v>
      </c>
      <c r="G36" s="1369">
        <v>5179.72</v>
      </c>
      <c r="H36" s="1368">
        <f t="shared" si="13"/>
        <v>0.90872280701754393</v>
      </c>
    </row>
    <row r="37" spans="1:8" x14ac:dyDescent="0.2">
      <c r="A37" s="1179" t="s">
        <v>126</v>
      </c>
      <c r="B37" s="735" t="s">
        <v>396</v>
      </c>
      <c r="C37" s="1179">
        <v>165</v>
      </c>
      <c r="D37" s="1180">
        <f>SUM(D38:D42)</f>
        <v>13019.27</v>
      </c>
      <c r="E37" s="1180">
        <f>SUM(E38:E42)</f>
        <v>7727.9</v>
      </c>
      <c r="F37" s="1180">
        <f>SUM(F38:F42)</f>
        <v>3.0538093959077064</v>
      </c>
      <c r="G37" s="1180">
        <f>SUM(G38:G42)</f>
        <v>11183.02</v>
      </c>
      <c r="H37" s="1181">
        <f>G37/D37</f>
        <v>0.85895906606130756</v>
      </c>
    </row>
    <row r="38" spans="1:8" x14ac:dyDescent="0.2">
      <c r="A38" s="752"/>
      <c r="B38" s="736" t="s">
        <v>395</v>
      </c>
      <c r="C38" s="741"/>
      <c r="D38" s="1366">
        <v>1500</v>
      </c>
      <c r="E38" s="1365">
        <v>1980.3</v>
      </c>
      <c r="F38" s="1365">
        <f>E38/D38</f>
        <v>1.3202</v>
      </c>
      <c r="G38" s="1365">
        <v>0</v>
      </c>
      <c r="H38" s="1368">
        <f>G38/D38</f>
        <v>0</v>
      </c>
    </row>
    <row r="39" spans="1:8" ht="22.5" x14ac:dyDescent="0.2">
      <c r="A39" s="752"/>
      <c r="B39" s="736" t="s">
        <v>538</v>
      </c>
      <c r="C39" s="741"/>
      <c r="D39" s="1366">
        <v>4700</v>
      </c>
      <c r="E39" s="1365">
        <v>1699.67</v>
      </c>
      <c r="F39" s="1365">
        <f>E39/D39</f>
        <v>0.36163191489361701</v>
      </c>
      <c r="G39" s="1365">
        <v>4655.55</v>
      </c>
      <c r="H39" s="1368">
        <f t="shared" ref="H39:H42" si="14">G39/D39</f>
        <v>0.99054255319148943</v>
      </c>
    </row>
    <row r="40" spans="1:8" x14ac:dyDescent="0.2">
      <c r="A40" s="752"/>
      <c r="B40" s="736" t="s">
        <v>479</v>
      </c>
      <c r="C40" s="741"/>
      <c r="D40" s="1366">
        <v>2919.27</v>
      </c>
      <c r="E40" s="1365">
        <v>2459.0300000000002</v>
      </c>
      <c r="F40" s="1365">
        <f t="shared" ref="F40:F42" si="15">E40/D40</f>
        <v>0.84234414768075583</v>
      </c>
      <c r="G40" s="1365">
        <f>2621.93-900+1000</f>
        <v>2721.93</v>
      </c>
      <c r="H40" s="1368">
        <f t="shared" si="14"/>
        <v>0.93240090844628964</v>
      </c>
    </row>
    <row r="41" spans="1:8" x14ac:dyDescent="0.2">
      <c r="A41" s="752"/>
      <c r="B41" s="736" t="s">
        <v>539</v>
      </c>
      <c r="C41" s="741"/>
      <c r="D41" s="1366">
        <v>900</v>
      </c>
      <c r="E41" s="1365"/>
      <c r="F41" s="1365"/>
      <c r="G41" s="1365">
        <v>900</v>
      </c>
      <c r="H41" s="1368">
        <f t="shared" si="14"/>
        <v>1</v>
      </c>
    </row>
    <row r="42" spans="1:8" x14ac:dyDescent="0.2">
      <c r="A42" s="752"/>
      <c r="B42" s="736" t="s">
        <v>540</v>
      </c>
      <c r="C42" s="741"/>
      <c r="D42" s="1366">
        <v>3000</v>
      </c>
      <c r="E42" s="1365">
        <v>1588.9</v>
      </c>
      <c r="F42" s="1365">
        <f t="shared" si="15"/>
        <v>0.5296333333333334</v>
      </c>
      <c r="G42" s="1365">
        <f>1452.54+1453</f>
        <v>2905.54</v>
      </c>
      <c r="H42" s="1368">
        <f t="shared" si="14"/>
        <v>0.96851333333333334</v>
      </c>
    </row>
    <row r="43" spans="1:8" x14ac:dyDescent="0.2">
      <c r="A43" s="1179" t="s">
        <v>541</v>
      </c>
      <c r="B43" s="735" t="s">
        <v>455</v>
      </c>
      <c r="C43" s="1179">
        <v>439</v>
      </c>
      <c r="D43" s="1180">
        <f>SUM(D44:D46)</f>
        <v>22792.639999999999</v>
      </c>
      <c r="E43" s="1180">
        <f>SUM(E44:E46)</f>
        <v>12464.54</v>
      </c>
      <c r="F43" s="1180">
        <f>SUM(F44:F46)</f>
        <v>1.7610469537075049</v>
      </c>
      <c r="G43" s="1180">
        <f>SUM(G44:G46)</f>
        <v>22773.34</v>
      </c>
      <c r="H43" s="1181">
        <f>G43/D43</f>
        <v>0.99915323543038459</v>
      </c>
    </row>
    <row r="44" spans="1:8" ht="22.5" x14ac:dyDescent="0.2">
      <c r="A44" s="752"/>
      <c r="B44" s="736" t="s">
        <v>542</v>
      </c>
      <c r="C44" s="751"/>
      <c r="D44" s="1366">
        <v>9000</v>
      </c>
      <c r="E44" s="1365">
        <v>1385.51</v>
      </c>
      <c r="F44" s="1365">
        <f>E44/D44</f>
        <v>0.15394555555555556</v>
      </c>
      <c r="G44" s="1365">
        <v>8999.9500000000007</v>
      </c>
      <c r="H44" s="1368">
        <f t="shared" ref="H44:H46" si="16">G44/D44</f>
        <v>0.99999444444444452</v>
      </c>
    </row>
    <row r="45" spans="1:8" x14ac:dyDescent="0.2">
      <c r="A45" s="752"/>
      <c r="B45" s="736" t="s">
        <v>479</v>
      </c>
      <c r="C45" s="751"/>
      <c r="D45" s="1366">
        <v>7000</v>
      </c>
      <c r="E45" s="1365">
        <f>1991.39+3496.56</f>
        <v>5487.95</v>
      </c>
      <c r="F45" s="1365">
        <f t="shared" ref="F45:F46" si="17">E45/D45</f>
        <v>0.78399285714285716</v>
      </c>
      <c r="G45" s="1365">
        <f>1998.43+4984</f>
        <v>6982.43</v>
      </c>
      <c r="H45" s="1368">
        <f t="shared" si="16"/>
        <v>0.99748999999999999</v>
      </c>
    </row>
    <row r="46" spans="1:8" x14ac:dyDescent="0.2">
      <c r="A46" s="753"/>
      <c r="B46" s="743" t="s">
        <v>500</v>
      </c>
      <c r="C46" s="754"/>
      <c r="D46" s="1378">
        <v>6792.64</v>
      </c>
      <c r="E46" s="1369">
        <v>5591.08</v>
      </c>
      <c r="F46" s="1369">
        <f t="shared" si="17"/>
        <v>0.82310854100909214</v>
      </c>
      <c r="G46" s="1369">
        <v>6790.96</v>
      </c>
      <c r="H46" s="1391">
        <f t="shared" si="16"/>
        <v>0.99975267348188623</v>
      </c>
    </row>
    <row r="47" spans="1:8" x14ac:dyDescent="0.2">
      <c r="A47" s="1179" t="s">
        <v>543</v>
      </c>
      <c r="B47" s="735" t="s">
        <v>398</v>
      </c>
      <c r="C47" s="1179">
        <v>50</v>
      </c>
      <c r="D47" s="1180">
        <f>SUM(D48:D50)</f>
        <v>8917.31</v>
      </c>
      <c r="E47" s="1180">
        <f t="shared" ref="E47:G47" si="18">SUM(E48:E50)</f>
        <v>6339.9400000000005</v>
      </c>
      <c r="F47" s="1180" t="e">
        <f t="shared" si="18"/>
        <v>#DIV/0!</v>
      </c>
      <c r="G47" s="1180">
        <f t="shared" si="18"/>
        <v>5000</v>
      </c>
      <c r="H47" s="1181">
        <f>G47/D47</f>
        <v>0.56070720878830049</v>
      </c>
    </row>
    <row r="48" spans="1:8" x14ac:dyDescent="0.2">
      <c r="A48" s="1183"/>
      <c r="B48" s="745" t="s">
        <v>533</v>
      </c>
      <c r="C48" s="1183"/>
      <c r="D48" s="742">
        <v>5000</v>
      </c>
      <c r="E48" s="1184"/>
      <c r="F48" s="1185"/>
      <c r="G48" s="739">
        <v>5000</v>
      </c>
      <c r="H48" s="1178">
        <f t="shared" ref="H48:H49" si="19">G48/D48</f>
        <v>1</v>
      </c>
    </row>
    <row r="49" spans="1:8" x14ac:dyDescent="0.2">
      <c r="A49" s="1183"/>
      <c r="B49" s="736" t="s">
        <v>457</v>
      </c>
      <c r="C49" s="1183"/>
      <c r="D49" s="737">
        <v>3917.31</v>
      </c>
      <c r="E49" s="739">
        <f>4956.06+496.12+107.5</f>
        <v>5559.68</v>
      </c>
      <c r="F49" s="738">
        <f>E49/D49</f>
        <v>1.4192596450115003</v>
      </c>
      <c r="G49" s="739">
        <v>0</v>
      </c>
      <c r="H49" s="1178">
        <f t="shared" si="19"/>
        <v>0</v>
      </c>
    </row>
    <row r="50" spans="1:8" x14ac:dyDescent="0.2">
      <c r="A50" s="753"/>
      <c r="B50" s="743" t="s">
        <v>544</v>
      </c>
      <c r="C50" s="1186"/>
      <c r="D50" s="744">
        <v>0</v>
      </c>
      <c r="E50" s="740">
        <v>780.26</v>
      </c>
      <c r="F50" s="738" t="e">
        <f>E50/D50</f>
        <v>#DIV/0!</v>
      </c>
      <c r="G50" s="739">
        <v>0</v>
      </c>
      <c r="H50" s="1178">
        <v>0</v>
      </c>
    </row>
    <row r="51" spans="1:8" x14ac:dyDescent="0.2">
      <c r="A51" s="1179" t="s">
        <v>545</v>
      </c>
      <c r="B51" s="735" t="s">
        <v>400</v>
      </c>
      <c r="C51" s="1179">
        <v>91</v>
      </c>
      <c r="D51" s="1180">
        <f>SUM(D52:D55)</f>
        <v>10379.75</v>
      </c>
      <c r="E51" s="1180">
        <f>SUM(E52:E55)</f>
        <v>3455.66</v>
      </c>
      <c r="F51" s="1180">
        <f>SUM(F52:F55)</f>
        <v>3.4911993435825464</v>
      </c>
      <c r="G51" s="1180">
        <f>SUM(G52:G55)</f>
        <v>9344.7899999999991</v>
      </c>
      <c r="H51" s="1181">
        <f>G51/D51</f>
        <v>0.90029046942363733</v>
      </c>
    </row>
    <row r="52" spans="1:8" x14ac:dyDescent="0.2">
      <c r="A52" s="752"/>
      <c r="B52" s="736" t="s">
        <v>546</v>
      </c>
      <c r="C52" s="751"/>
      <c r="D52" s="1366">
        <v>1000</v>
      </c>
      <c r="E52" s="1365">
        <v>1500</v>
      </c>
      <c r="F52" s="1365">
        <f t="shared" ref="F52:F55" si="20">E52/D52</f>
        <v>1.5</v>
      </c>
      <c r="G52" s="1365">
        <v>0</v>
      </c>
      <c r="H52" s="1368">
        <f>G52/D52</f>
        <v>0</v>
      </c>
    </row>
    <row r="53" spans="1:8" x14ac:dyDescent="0.2">
      <c r="A53" s="752"/>
      <c r="B53" s="736" t="s">
        <v>438</v>
      </c>
      <c r="C53" s="751"/>
      <c r="D53" s="1366">
        <v>400</v>
      </c>
      <c r="E53" s="1365">
        <v>200</v>
      </c>
      <c r="F53" s="1365">
        <f t="shared" si="20"/>
        <v>0.5</v>
      </c>
      <c r="G53" s="1365">
        <v>395.8</v>
      </c>
      <c r="H53" s="1368">
        <f t="shared" ref="H53:H55" si="21">G53/D53</f>
        <v>0.98950000000000005</v>
      </c>
    </row>
    <row r="54" spans="1:8" x14ac:dyDescent="0.2">
      <c r="A54" s="752"/>
      <c r="B54" s="736" t="s">
        <v>547</v>
      </c>
      <c r="C54" s="751"/>
      <c r="D54" s="1366">
        <v>8000</v>
      </c>
      <c r="E54" s="1365">
        <v>335.78</v>
      </c>
      <c r="F54" s="1365">
        <f t="shared" si="20"/>
        <v>4.1972499999999996E-2</v>
      </c>
      <c r="G54" s="1365">
        <v>8000</v>
      </c>
      <c r="H54" s="1368">
        <f t="shared" si="21"/>
        <v>1</v>
      </c>
    </row>
    <row r="55" spans="1:8" x14ac:dyDescent="0.2">
      <c r="A55" s="752"/>
      <c r="B55" s="736" t="s">
        <v>548</v>
      </c>
      <c r="C55" s="751"/>
      <c r="D55" s="1366">
        <v>979.75</v>
      </c>
      <c r="E55" s="1365">
        <v>1419.88</v>
      </c>
      <c r="F55" s="1365">
        <f t="shared" si="20"/>
        <v>1.4492268435825466</v>
      </c>
      <c r="G55" s="1365">
        <v>948.99</v>
      </c>
      <c r="H55" s="1368">
        <f t="shared" si="21"/>
        <v>0.96860423577443222</v>
      </c>
    </row>
    <row r="56" spans="1:8" x14ac:dyDescent="0.2">
      <c r="A56" s="1179" t="s">
        <v>549</v>
      </c>
      <c r="B56" s="735" t="s">
        <v>459</v>
      </c>
      <c r="C56" s="1179">
        <v>501</v>
      </c>
      <c r="D56" s="1180">
        <f>SUM(D57:D59)</f>
        <v>25004.14</v>
      </c>
      <c r="E56" s="1180">
        <f t="shared" ref="E56:G56" si="22">SUM(E57:E59)</f>
        <v>17366.25</v>
      </c>
      <c r="F56" s="1180">
        <f t="shared" si="22"/>
        <v>2.480936554601834</v>
      </c>
      <c r="G56" s="1180">
        <f t="shared" si="22"/>
        <v>24412.81</v>
      </c>
      <c r="H56" s="1181">
        <f>G56/D56</f>
        <v>0.97635071632137727</v>
      </c>
    </row>
    <row r="57" spans="1:8" ht="33.75" x14ac:dyDescent="0.2">
      <c r="A57" s="1183"/>
      <c r="B57" s="747" t="s">
        <v>550</v>
      </c>
      <c r="C57" s="1183"/>
      <c r="D57" s="1366">
        <v>10000</v>
      </c>
      <c r="E57" s="1365">
        <v>6000</v>
      </c>
      <c r="F57" s="1365">
        <f>E57/D57</f>
        <v>0.6</v>
      </c>
      <c r="G57" s="1365">
        <f>4936.1+4999.3</f>
        <v>9935.4000000000015</v>
      </c>
      <c r="H57" s="1368">
        <f t="shared" ref="H57:H59" si="23">G57/D57</f>
        <v>0.9935400000000002</v>
      </c>
    </row>
    <row r="58" spans="1:8" x14ac:dyDescent="0.2">
      <c r="A58" s="1183"/>
      <c r="B58" s="736" t="s">
        <v>551</v>
      </c>
      <c r="C58" s="1183"/>
      <c r="D58" s="1366">
        <v>11504.14</v>
      </c>
      <c r="E58" s="1365">
        <v>6874.44</v>
      </c>
      <c r="F58" s="1365">
        <f t="shared" ref="F58:F59" si="24">E58/D58</f>
        <v>0.59756226888754826</v>
      </c>
      <c r="G58" s="1365">
        <f>4390+4585.12+734.58+1269.8</f>
        <v>10979.499999999998</v>
      </c>
      <c r="H58" s="1368">
        <f t="shared" si="23"/>
        <v>0.95439554803748905</v>
      </c>
    </row>
    <row r="59" spans="1:8" x14ac:dyDescent="0.2">
      <c r="A59" s="752"/>
      <c r="B59" s="736" t="s">
        <v>552</v>
      </c>
      <c r="C59" s="751"/>
      <c r="D59" s="1366">
        <v>3500</v>
      </c>
      <c r="E59" s="1369">
        <v>4491.8100000000004</v>
      </c>
      <c r="F59" s="1365">
        <f t="shared" si="24"/>
        <v>1.2833742857142858</v>
      </c>
      <c r="G59" s="1369">
        <f>1499.91+1998</f>
        <v>3497.91</v>
      </c>
      <c r="H59" s="1368">
        <f t="shared" si="23"/>
        <v>0.99940285714285715</v>
      </c>
    </row>
    <row r="60" spans="1:8" x14ac:dyDescent="0.2">
      <c r="A60" s="1179" t="s">
        <v>553</v>
      </c>
      <c r="B60" s="735" t="s">
        <v>414</v>
      </c>
      <c r="C60" s="1179">
        <v>201</v>
      </c>
      <c r="D60" s="1180">
        <f>SUM(D61:D64)</f>
        <v>14303.36</v>
      </c>
      <c r="E60" s="1180">
        <f>SUM(E61:E64)</f>
        <v>8902.7900000000009</v>
      </c>
      <c r="F60" s="1180">
        <f>SUM(F61:F64)</f>
        <v>5.9403995818419117</v>
      </c>
      <c r="G60" s="1180">
        <f>SUM(G61:G64)</f>
        <v>14219.619999999999</v>
      </c>
      <c r="H60" s="1181">
        <f>G60/D60</f>
        <v>0.99414543156293333</v>
      </c>
    </row>
    <row r="61" spans="1:8" x14ac:dyDescent="0.2">
      <c r="A61" s="752"/>
      <c r="B61" s="736" t="s">
        <v>415</v>
      </c>
      <c r="C61" s="751"/>
      <c r="D61" s="737">
        <v>9500</v>
      </c>
      <c r="E61" s="739">
        <v>2992.74</v>
      </c>
      <c r="F61" s="738">
        <f>E61/D61</f>
        <v>0.3150252631578947</v>
      </c>
      <c r="G61" s="746">
        <v>9460.5499999999993</v>
      </c>
      <c r="H61" s="1178">
        <f>G61/D61</f>
        <v>0.99584736842105259</v>
      </c>
    </row>
    <row r="62" spans="1:8" x14ac:dyDescent="0.2">
      <c r="A62" s="752"/>
      <c r="B62" s="748" t="s">
        <v>461</v>
      </c>
      <c r="C62" s="751"/>
      <c r="D62" s="737">
        <v>1303.3599999999999</v>
      </c>
      <c r="E62" s="739">
        <v>300</v>
      </c>
      <c r="F62" s="738">
        <f t="shared" ref="F62:F64" si="25">E62/D62</f>
        <v>0.23017431868401672</v>
      </c>
      <c r="G62" s="746">
        <v>1300</v>
      </c>
      <c r="H62" s="1178">
        <f t="shared" ref="H62:H64" si="26">G62/D62</f>
        <v>0.99742204763073905</v>
      </c>
    </row>
    <row r="63" spans="1:8" x14ac:dyDescent="0.2">
      <c r="A63" s="752"/>
      <c r="B63" s="748" t="s">
        <v>483</v>
      </c>
      <c r="C63" s="751"/>
      <c r="D63" s="737">
        <v>3000</v>
      </c>
      <c r="E63" s="739">
        <v>3494.94</v>
      </c>
      <c r="F63" s="738">
        <f t="shared" si="25"/>
        <v>1.1649800000000001</v>
      </c>
      <c r="G63" s="746">
        <f>2292.83+700</f>
        <v>2992.83</v>
      </c>
      <c r="H63" s="1178">
        <f t="shared" si="26"/>
        <v>0.99761</v>
      </c>
    </row>
    <row r="64" spans="1:8" x14ac:dyDescent="0.2">
      <c r="A64" s="752"/>
      <c r="B64" s="736" t="s">
        <v>502</v>
      </c>
      <c r="C64" s="751"/>
      <c r="D64" s="737">
        <v>500</v>
      </c>
      <c r="E64" s="740">
        <v>2115.11</v>
      </c>
      <c r="F64" s="738">
        <f t="shared" si="25"/>
        <v>4.2302200000000001</v>
      </c>
      <c r="G64" s="749">
        <v>466.24</v>
      </c>
      <c r="H64" s="1178">
        <f t="shared" si="26"/>
        <v>0.93247999999999998</v>
      </c>
    </row>
    <row r="65" spans="1:8" x14ac:dyDescent="0.2">
      <c r="A65" s="1179" t="s">
        <v>554</v>
      </c>
      <c r="B65" s="735" t="s">
        <v>410</v>
      </c>
      <c r="C65" s="1179">
        <v>1188</v>
      </c>
      <c r="D65" s="1180">
        <f>SUM(D66:D74)</f>
        <v>35669.199999999997</v>
      </c>
      <c r="E65" s="1180">
        <f>SUM(E66:E74)</f>
        <v>16999.14</v>
      </c>
      <c r="F65" s="1180" t="e">
        <f>SUM(F66:F74)</f>
        <v>#DIV/0!</v>
      </c>
      <c r="G65" s="1180">
        <f>SUM(G66:G74)</f>
        <v>35427.200000000004</v>
      </c>
      <c r="H65" s="1181">
        <f>G65/D65</f>
        <v>0.99321543516535293</v>
      </c>
    </row>
    <row r="66" spans="1:8" ht="22.5" x14ac:dyDescent="0.2">
      <c r="A66" s="750"/>
      <c r="B66" s="736" t="s">
        <v>555</v>
      </c>
      <c r="C66" s="751"/>
      <c r="D66" s="1366">
        <v>3000</v>
      </c>
      <c r="E66" s="1365">
        <v>2000</v>
      </c>
      <c r="F66" s="1367">
        <f>E66/D66</f>
        <v>0.66666666666666663</v>
      </c>
      <c r="G66" s="1365">
        <v>2891.75</v>
      </c>
      <c r="H66" s="1368">
        <f>G66/D66</f>
        <v>0.96391666666666664</v>
      </c>
    </row>
    <row r="67" spans="1:8" ht="22.5" x14ac:dyDescent="0.2">
      <c r="A67" s="750"/>
      <c r="B67" s="736" t="s">
        <v>556</v>
      </c>
      <c r="C67" s="751"/>
      <c r="D67" s="1366">
        <v>22900</v>
      </c>
      <c r="E67" s="1365"/>
      <c r="F67" s="1367"/>
      <c r="G67" s="1365">
        <v>22797.35</v>
      </c>
      <c r="H67" s="1368">
        <f t="shared" ref="H67" si="27">G67/D67</f>
        <v>0.99551746724890822</v>
      </c>
    </row>
    <row r="68" spans="1:8" x14ac:dyDescent="0.2">
      <c r="A68" s="752"/>
      <c r="B68" s="736" t="s">
        <v>557</v>
      </c>
      <c r="C68" s="751"/>
      <c r="D68" s="1366">
        <v>0</v>
      </c>
      <c r="E68" s="1365">
        <v>1496.93</v>
      </c>
      <c r="F68" s="1367" t="e">
        <f t="shared" ref="F68:F74" si="28">E68/D68</f>
        <v>#DIV/0!</v>
      </c>
      <c r="G68" s="1365">
        <v>0</v>
      </c>
      <c r="H68" s="1368">
        <v>0</v>
      </c>
    </row>
    <row r="69" spans="1:8" ht="22.5" x14ac:dyDescent="0.2">
      <c r="A69" s="752"/>
      <c r="B69" s="736" t="s">
        <v>558</v>
      </c>
      <c r="C69" s="751"/>
      <c r="D69" s="1366">
        <v>0</v>
      </c>
      <c r="E69" s="1365">
        <v>2200</v>
      </c>
      <c r="F69" s="1367" t="e">
        <f t="shared" si="28"/>
        <v>#DIV/0!</v>
      </c>
      <c r="G69" s="1365">
        <v>0</v>
      </c>
      <c r="H69" s="1368">
        <v>0</v>
      </c>
    </row>
    <row r="70" spans="1:8" x14ac:dyDescent="0.2">
      <c r="A70" s="752"/>
      <c r="B70" s="736" t="s">
        <v>1466</v>
      </c>
      <c r="C70" s="751"/>
      <c r="D70" s="1366">
        <v>500</v>
      </c>
      <c r="E70" s="1365">
        <v>900</v>
      </c>
      <c r="F70" s="1367">
        <f t="shared" si="28"/>
        <v>1.8</v>
      </c>
      <c r="G70" s="1365">
        <v>499.98</v>
      </c>
      <c r="H70" s="1368">
        <f>G70/D70</f>
        <v>0.99996000000000007</v>
      </c>
    </row>
    <row r="71" spans="1:8" x14ac:dyDescent="0.2">
      <c r="A71" s="752"/>
      <c r="B71" s="736" t="s">
        <v>559</v>
      </c>
      <c r="C71" s="751"/>
      <c r="D71" s="1366">
        <v>669.2</v>
      </c>
      <c r="E71" s="1365">
        <v>303.17</v>
      </c>
      <c r="F71" s="1367">
        <f t="shared" si="28"/>
        <v>0.45303347280334727</v>
      </c>
      <c r="G71" s="1365">
        <v>669.2</v>
      </c>
      <c r="H71" s="1368">
        <f t="shared" ref="H71:H74" si="29">G71/D71</f>
        <v>1</v>
      </c>
    </row>
    <row r="72" spans="1:8" x14ac:dyDescent="0.2">
      <c r="A72" s="752"/>
      <c r="B72" s="736" t="s">
        <v>484</v>
      </c>
      <c r="C72" s="751"/>
      <c r="D72" s="1366">
        <v>3500</v>
      </c>
      <c r="E72" s="1365">
        <f>4170.12-70.12</f>
        <v>4100</v>
      </c>
      <c r="F72" s="1367">
        <f t="shared" si="28"/>
        <v>1.1714285714285715</v>
      </c>
      <c r="G72" s="1365">
        <f>2999.08+500</f>
        <v>3499.08</v>
      </c>
      <c r="H72" s="1368">
        <f t="shared" si="29"/>
        <v>0.99973714285714288</v>
      </c>
    </row>
    <row r="73" spans="1:8" ht="22.5" x14ac:dyDescent="0.2">
      <c r="A73" s="752"/>
      <c r="B73" s="736" t="s">
        <v>439</v>
      </c>
      <c r="C73" s="751"/>
      <c r="D73" s="1366">
        <v>1500</v>
      </c>
      <c r="E73" s="1365">
        <f>1229.58+70.12</f>
        <v>1299.6999999999998</v>
      </c>
      <c r="F73" s="1367">
        <f t="shared" si="28"/>
        <v>0.8664666666666665</v>
      </c>
      <c r="G73" s="1365">
        <f>973.86+500</f>
        <v>1473.8600000000001</v>
      </c>
      <c r="H73" s="1368">
        <f t="shared" si="29"/>
        <v>0.98257333333333341</v>
      </c>
    </row>
    <row r="74" spans="1:8" ht="22.5" x14ac:dyDescent="0.2">
      <c r="A74" s="753"/>
      <c r="B74" s="743" t="s">
        <v>560</v>
      </c>
      <c r="C74" s="754"/>
      <c r="D74" s="1378">
        <v>3600</v>
      </c>
      <c r="E74" s="1369">
        <v>4699.34</v>
      </c>
      <c r="F74" s="1384">
        <f t="shared" si="28"/>
        <v>1.3053722222222222</v>
      </c>
      <c r="G74" s="1369">
        <v>3595.98</v>
      </c>
      <c r="H74" s="1368">
        <f t="shared" si="29"/>
        <v>0.99888333333333335</v>
      </c>
    </row>
    <row r="75" spans="1:8" x14ac:dyDescent="0.2">
      <c r="A75" s="1179" t="s">
        <v>561</v>
      </c>
      <c r="B75" s="735" t="s">
        <v>402</v>
      </c>
      <c r="C75" s="1179">
        <v>800</v>
      </c>
      <c r="D75" s="1180">
        <f>SUM(D76:D81)</f>
        <v>35669.199999999997</v>
      </c>
      <c r="E75" s="1180">
        <f>SUM(E76:E81)</f>
        <v>19461.599999999999</v>
      </c>
      <c r="F75" s="1180" t="e">
        <f>SUM(F76:F81)</f>
        <v>#DIV/0!</v>
      </c>
      <c r="G75" s="1180">
        <f>SUM(G76:G81)</f>
        <v>35305.53</v>
      </c>
      <c r="H75" s="1181">
        <f>G75/D75</f>
        <v>0.98980436903547042</v>
      </c>
    </row>
    <row r="76" spans="1:8" x14ac:dyDescent="0.2">
      <c r="A76" s="751"/>
      <c r="B76" s="736" t="s">
        <v>562</v>
      </c>
      <c r="C76" s="751"/>
      <c r="D76" s="1366">
        <v>8669.2000000000007</v>
      </c>
      <c r="E76" s="1365">
        <v>5474.12</v>
      </c>
      <c r="F76" s="1365">
        <f t="shared" ref="F76:F90" si="30">E76/D76</f>
        <v>0.63144465463941302</v>
      </c>
      <c r="G76" s="1379">
        <f>7576.8+1000</f>
        <v>8576.7999999999993</v>
      </c>
      <c r="H76" s="1368">
        <f>G76/D76</f>
        <v>0.9893415770774695</v>
      </c>
    </row>
    <row r="77" spans="1:8" x14ac:dyDescent="0.2">
      <c r="A77" s="751"/>
      <c r="B77" s="736" t="s">
        <v>563</v>
      </c>
      <c r="C77" s="751"/>
      <c r="D77" s="1366">
        <v>5000</v>
      </c>
      <c r="E77" s="1365">
        <v>1499.37</v>
      </c>
      <c r="F77" s="1365">
        <f t="shared" si="30"/>
        <v>0.29987399999999997</v>
      </c>
      <c r="G77" s="1379">
        <v>4999.96</v>
      </c>
      <c r="H77" s="1368">
        <f t="shared" ref="H77:H81" si="31">G77/D77</f>
        <v>0.99999199999999999</v>
      </c>
    </row>
    <row r="78" spans="1:8" x14ac:dyDescent="0.2">
      <c r="A78" s="751"/>
      <c r="B78" s="736" t="s">
        <v>564</v>
      </c>
      <c r="C78" s="751"/>
      <c r="D78" s="1366">
        <v>0</v>
      </c>
      <c r="E78" s="1365">
        <v>0</v>
      </c>
      <c r="F78" s="1365" t="e">
        <f t="shared" si="30"/>
        <v>#DIV/0!</v>
      </c>
      <c r="G78" s="1379">
        <v>0</v>
      </c>
      <c r="H78" s="1368">
        <v>0</v>
      </c>
    </row>
    <row r="79" spans="1:8" x14ac:dyDescent="0.2">
      <c r="A79" s="751"/>
      <c r="B79" s="736" t="s">
        <v>520</v>
      </c>
      <c r="C79" s="751"/>
      <c r="D79" s="1366">
        <v>6500</v>
      </c>
      <c r="E79" s="1365">
        <v>4997.46</v>
      </c>
      <c r="F79" s="1365">
        <f t="shared" si="30"/>
        <v>0.76883999999999997</v>
      </c>
      <c r="G79" s="1379">
        <v>6475.52</v>
      </c>
      <c r="H79" s="1368">
        <f t="shared" si="31"/>
        <v>0.99623384615384625</v>
      </c>
    </row>
    <row r="80" spans="1:8" ht="17.25" customHeight="1" x14ac:dyDescent="0.2">
      <c r="A80" s="751"/>
      <c r="B80" s="736" t="s">
        <v>565</v>
      </c>
      <c r="C80" s="741"/>
      <c r="D80" s="1366">
        <v>7500</v>
      </c>
      <c r="E80" s="1369">
        <f>2000+5490.65</f>
        <v>7490.65</v>
      </c>
      <c r="F80" s="1365">
        <f t="shared" si="30"/>
        <v>0.99875333333333327</v>
      </c>
      <c r="G80" s="1379">
        <f>2000+5479.65</f>
        <v>7479.65</v>
      </c>
      <c r="H80" s="1368">
        <f t="shared" si="31"/>
        <v>0.99728666666666665</v>
      </c>
    </row>
    <row r="81" spans="1:8" ht="22.5" x14ac:dyDescent="0.2">
      <c r="A81" s="751"/>
      <c r="B81" s="736" t="s">
        <v>566</v>
      </c>
      <c r="C81" s="741"/>
      <c r="D81" s="1366">
        <v>8000</v>
      </c>
      <c r="E81" s="1365"/>
      <c r="F81" s="1365"/>
      <c r="G81" s="1385">
        <v>7773.6</v>
      </c>
      <c r="H81" s="1368">
        <f t="shared" si="31"/>
        <v>0.97170000000000001</v>
      </c>
    </row>
    <row r="82" spans="1:8" x14ac:dyDescent="0.2">
      <c r="A82" s="1179" t="s">
        <v>567</v>
      </c>
      <c r="B82" s="735" t="s">
        <v>445</v>
      </c>
      <c r="C82" s="1179">
        <v>321</v>
      </c>
      <c r="D82" s="1180">
        <f>SUM(D83:D88)</f>
        <v>18583.669999999998</v>
      </c>
      <c r="E82" s="1180">
        <f t="shared" ref="E82:G82" si="32">SUM(E83:E88)</f>
        <v>13634.650000000001</v>
      </c>
      <c r="F82" s="1180" t="e">
        <f t="shared" si="32"/>
        <v>#REF!</v>
      </c>
      <c r="G82" s="1180">
        <f t="shared" si="32"/>
        <v>18485.2</v>
      </c>
      <c r="H82" s="1181">
        <f>G82/D82</f>
        <v>0.99470126191435826</v>
      </c>
    </row>
    <row r="83" spans="1:8" x14ac:dyDescent="0.2">
      <c r="A83" s="1183"/>
      <c r="B83" s="755" t="s">
        <v>568</v>
      </c>
      <c r="C83" s="1188"/>
      <c r="D83" s="1365">
        <v>0</v>
      </c>
      <c r="E83" s="1386"/>
      <c r="F83" s="1386"/>
      <c r="G83" s="1365">
        <v>0</v>
      </c>
      <c r="H83" s="1368">
        <v>0</v>
      </c>
    </row>
    <row r="84" spans="1:8" x14ac:dyDescent="0.2">
      <c r="A84" s="751"/>
      <c r="B84" s="745" t="s">
        <v>462</v>
      </c>
      <c r="C84" s="756"/>
      <c r="D84" s="1366">
        <v>10000</v>
      </c>
      <c r="E84" s="1365">
        <v>6985.49</v>
      </c>
      <c r="F84" s="1365" t="e">
        <f>E84/#REF!</f>
        <v>#REF!</v>
      </c>
      <c r="G84" s="1365">
        <f>3499.32+6500</f>
        <v>9999.32</v>
      </c>
      <c r="H84" s="1368">
        <f>G84/D84</f>
        <v>0.99993199999999993</v>
      </c>
    </row>
    <row r="85" spans="1:8" ht="22.5" x14ac:dyDescent="0.2">
      <c r="A85" s="751"/>
      <c r="B85" s="736" t="s">
        <v>569</v>
      </c>
      <c r="C85" s="751"/>
      <c r="D85" s="1366">
        <v>5083.67</v>
      </c>
      <c r="E85" s="1365">
        <v>4245.8900000000003</v>
      </c>
      <c r="F85" s="1365">
        <f t="shared" si="30"/>
        <v>0.83520173418022814</v>
      </c>
      <c r="G85" s="1365">
        <f>3499.65-454.61+3000-1000</f>
        <v>5045.04</v>
      </c>
      <c r="H85" s="1368">
        <f t="shared" ref="H85:H88" si="33">G85/D85</f>
        <v>0.99240115900520687</v>
      </c>
    </row>
    <row r="86" spans="1:8" x14ac:dyDescent="0.2">
      <c r="A86" s="751"/>
      <c r="B86" s="736" t="s">
        <v>570</v>
      </c>
      <c r="C86" s="751"/>
      <c r="D86" s="1366">
        <v>500</v>
      </c>
      <c r="E86" s="1365"/>
      <c r="F86" s="1365"/>
      <c r="G86" s="1365">
        <v>454.61</v>
      </c>
      <c r="H86" s="1368">
        <f t="shared" si="33"/>
        <v>0.90922000000000003</v>
      </c>
    </row>
    <row r="87" spans="1:8" x14ac:dyDescent="0.2">
      <c r="A87" s="751"/>
      <c r="B87" s="736" t="s">
        <v>571</v>
      </c>
      <c r="C87" s="751"/>
      <c r="D87" s="1366">
        <v>1000</v>
      </c>
      <c r="E87" s="1365"/>
      <c r="F87" s="1365"/>
      <c r="G87" s="1365">
        <v>1000</v>
      </c>
      <c r="H87" s="1368">
        <f t="shared" si="33"/>
        <v>1</v>
      </c>
    </row>
    <row r="88" spans="1:8" ht="22.5" x14ac:dyDescent="0.2">
      <c r="A88" s="751"/>
      <c r="B88" s="736" t="s">
        <v>504</v>
      </c>
      <c r="C88" s="751"/>
      <c r="D88" s="1366">
        <v>2000</v>
      </c>
      <c r="E88" s="1369">
        <v>2403.27</v>
      </c>
      <c r="F88" s="1365">
        <f t="shared" si="30"/>
        <v>1.201635</v>
      </c>
      <c r="G88" s="1369">
        <v>1986.23</v>
      </c>
      <c r="H88" s="1368">
        <f t="shared" si="33"/>
        <v>0.99311499999999997</v>
      </c>
    </row>
    <row r="89" spans="1:8" x14ac:dyDescent="0.2">
      <c r="A89" s="1179" t="s">
        <v>572</v>
      </c>
      <c r="B89" s="735" t="s">
        <v>417</v>
      </c>
      <c r="C89" s="1179">
        <v>242</v>
      </c>
      <c r="D89" s="1180">
        <f>SUM(D90:D96)</f>
        <v>15765.8</v>
      </c>
      <c r="E89" s="1180">
        <f t="shared" ref="E89:G89" si="34">SUM(E90:E96)</f>
        <v>11690.25</v>
      </c>
      <c r="F89" s="1180">
        <f t="shared" si="34"/>
        <v>17.58352225897448</v>
      </c>
      <c r="G89" s="1180">
        <f t="shared" si="34"/>
        <v>15648.62</v>
      </c>
      <c r="H89" s="1181">
        <f>G89/D89</f>
        <v>0.99256745613923825</v>
      </c>
    </row>
    <row r="90" spans="1:8" x14ac:dyDescent="0.2">
      <c r="A90" s="751"/>
      <c r="B90" s="736" t="s">
        <v>418</v>
      </c>
      <c r="C90" s="751"/>
      <c r="D90" s="1366">
        <v>4000</v>
      </c>
      <c r="E90" s="1365">
        <v>1000</v>
      </c>
      <c r="F90" s="1365">
        <f t="shared" si="30"/>
        <v>0.25</v>
      </c>
      <c r="G90" s="1365">
        <v>3900</v>
      </c>
      <c r="H90" s="1368">
        <f>G90/D90</f>
        <v>0.97499999999999998</v>
      </c>
    </row>
    <row r="91" spans="1:8" x14ac:dyDescent="0.2">
      <c r="A91" s="751"/>
      <c r="B91" s="736" t="s">
        <v>421</v>
      </c>
      <c r="C91" s="751"/>
      <c r="D91" s="1366">
        <v>1000</v>
      </c>
      <c r="E91" s="1365">
        <v>0</v>
      </c>
      <c r="F91" s="1365">
        <v>0</v>
      </c>
      <c r="G91" s="1365">
        <v>996.3</v>
      </c>
      <c r="H91" s="1368">
        <f t="shared" ref="H91:H96" si="35">G91/D91</f>
        <v>0.99629999999999996</v>
      </c>
    </row>
    <row r="92" spans="1:8" ht="22.5" x14ac:dyDescent="0.2">
      <c r="A92" s="752"/>
      <c r="B92" s="736" t="s">
        <v>573</v>
      </c>
      <c r="C92" s="756"/>
      <c r="D92" s="1366">
        <v>500</v>
      </c>
      <c r="E92" s="1365">
        <v>999.77</v>
      </c>
      <c r="F92" s="1365">
        <f t="shared" ref="F92:F105" si="36">E92/D92</f>
        <v>1.9995399999999999</v>
      </c>
      <c r="G92" s="1365">
        <v>500</v>
      </c>
      <c r="H92" s="1368">
        <f t="shared" si="35"/>
        <v>1</v>
      </c>
    </row>
    <row r="93" spans="1:8" x14ac:dyDescent="0.2">
      <c r="A93" s="752"/>
      <c r="B93" s="736" t="s">
        <v>574</v>
      </c>
      <c r="C93" s="751"/>
      <c r="D93" s="1366">
        <v>500</v>
      </c>
      <c r="E93" s="1365">
        <v>6991.67</v>
      </c>
      <c r="F93" s="1365">
        <f t="shared" si="36"/>
        <v>13.98334</v>
      </c>
      <c r="G93" s="1365">
        <v>489.38</v>
      </c>
      <c r="H93" s="1368">
        <f t="shared" si="35"/>
        <v>0.97875999999999996</v>
      </c>
    </row>
    <row r="94" spans="1:8" x14ac:dyDescent="0.2">
      <c r="A94" s="752"/>
      <c r="B94" s="736" t="s">
        <v>575</v>
      </c>
      <c r="C94" s="751"/>
      <c r="D94" s="1366">
        <v>1200</v>
      </c>
      <c r="E94" s="1365">
        <v>1198.81</v>
      </c>
      <c r="F94" s="1365">
        <f t="shared" si="36"/>
        <v>0.99900833333333328</v>
      </c>
      <c r="G94" s="1365">
        <v>1199.76</v>
      </c>
      <c r="H94" s="1368">
        <f t="shared" si="35"/>
        <v>0.99980000000000002</v>
      </c>
    </row>
    <row r="95" spans="1:8" x14ac:dyDescent="0.2">
      <c r="A95" s="752"/>
      <c r="B95" s="736" t="s">
        <v>576</v>
      </c>
      <c r="C95" s="751"/>
      <c r="D95" s="1366">
        <v>4265.8</v>
      </c>
      <c r="E95" s="1369">
        <v>1500</v>
      </c>
      <c r="F95" s="1365">
        <f t="shared" si="36"/>
        <v>0.35163392564114582</v>
      </c>
      <c r="G95" s="1365">
        <f>3063.83+1200</f>
        <v>4263.83</v>
      </c>
      <c r="H95" s="1368">
        <f t="shared" si="35"/>
        <v>0.99953818744432454</v>
      </c>
    </row>
    <row r="96" spans="1:8" x14ac:dyDescent="0.2">
      <c r="A96" s="753"/>
      <c r="B96" s="743" t="s">
        <v>577</v>
      </c>
      <c r="C96" s="754"/>
      <c r="D96" s="1378">
        <v>4300</v>
      </c>
      <c r="E96" s="1369"/>
      <c r="F96" s="1369"/>
      <c r="G96" s="1369">
        <f>2299.35+2000</f>
        <v>4299.3500000000004</v>
      </c>
      <c r="H96" s="1391">
        <f t="shared" si="35"/>
        <v>0.9998488372093024</v>
      </c>
    </row>
    <row r="97" spans="1:8" x14ac:dyDescent="0.2">
      <c r="A97" s="1179" t="s">
        <v>578</v>
      </c>
      <c r="B97" s="735" t="s">
        <v>412</v>
      </c>
      <c r="C97" s="1179">
        <v>552</v>
      </c>
      <c r="D97" s="1180">
        <f>SUM(D98:D105)</f>
        <v>26823.27</v>
      </c>
      <c r="E97" s="1180">
        <f>SUM(E98:E105)</f>
        <v>12780.23</v>
      </c>
      <c r="F97" s="1180">
        <f>SUM(F98:F105)</f>
        <v>5.0910427155164077</v>
      </c>
      <c r="G97" s="1180">
        <f>SUM(G98:G105)</f>
        <v>26577.22</v>
      </c>
      <c r="H97" s="1181">
        <f>G97/D97</f>
        <v>0.99082699462071555</v>
      </c>
    </row>
    <row r="98" spans="1:8" x14ac:dyDescent="0.2">
      <c r="A98" s="1183"/>
      <c r="B98" s="736" t="s">
        <v>579</v>
      </c>
      <c r="C98" s="1183"/>
      <c r="D98" s="1366">
        <v>2000</v>
      </c>
      <c r="E98" s="1365">
        <v>1000</v>
      </c>
      <c r="F98" s="1365">
        <f t="shared" si="36"/>
        <v>0.5</v>
      </c>
      <c r="G98" s="1388">
        <v>2000</v>
      </c>
      <c r="H98" s="1368">
        <f>G98/D98</f>
        <v>1</v>
      </c>
    </row>
    <row r="99" spans="1:8" x14ac:dyDescent="0.2">
      <c r="A99" s="1183"/>
      <c r="B99" s="736" t="s">
        <v>419</v>
      </c>
      <c r="C99" s="1183"/>
      <c r="D99" s="1366">
        <v>1600</v>
      </c>
      <c r="E99" s="1365">
        <v>500</v>
      </c>
      <c r="F99" s="1365">
        <f t="shared" si="36"/>
        <v>0.3125</v>
      </c>
      <c r="G99" s="1388">
        <v>1437</v>
      </c>
      <c r="H99" s="1368">
        <f t="shared" ref="H99:H101" si="37">G99/D99</f>
        <v>0.89812499999999995</v>
      </c>
    </row>
    <row r="100" spans="1:8" x14ac:dyDescent="0.2">
      <c r="A100" s="751"/>
      <c r="B100" s="736" t="s">
        <v>580</v>
      </c>
      <c r="C100" s="751"/>
      <c r="D100" s="1366">
        <v>5000</v>
      </c>
      <c r="E100" s="1365">
        <v>1499.25</v>
      </c>
      <c r="F100" s="1365">
        <f t="shared" si="36"/>
        <v>0.29985000000000001</v>
      </c>
      <c r="G100" s="1388">
        <f>2500+4999.03-2500</f>
        <v>4999.03</v>
      </c>
      <c r="H100" s="1368">
        <f t="shared" si="37"/>
        <v>0.99980599999999997</v>
      </c>
    </row>
    <row r="101" spans="1:8" x14ac:dyDescent="0.2">
      <c r="A101" s="751"/>
      <c r="B101" s="736" t="s">
        <v>581</v>
      </c>
      <c r="C101" s="751"/>
      <c r="D101" s="1366">
        <v>2500</v>
      </c>
      <c r="E101" s="1365"/>
      <c r="F101" s="1365"/>
      <c r="G101" s="1388">
        <v>2500</v>
      </c>
      <c r="H101" s="1368">
        <f t="shared" si="37"/>
        <v>1</v>
      </c>
    </row>
    <row r="102" spans="1:8" x14ac:dyDescent="0.2">
      <c r="A102" s="751"/>
      <c r="B102" s="736" t="s">
        <v>451</v>
      </c>
      <c r="C102" s="751"/>
      <c r="D102" s="1366">
        <v>2500</v>
      </c>
      <c r="E102" s="1365">
        <v>2463</v>
      </c>
      <c r="F102" s="1365">
        <f t="shared" si="36"/>
        <v>0.98519999999999996</v>
      </c>
      <c r="G102" s="1388">
        <v>2500</v>
      </c>
      <c r="H102" s="1368">
        <f>G102/D102</f>
        <v>1</v>
      </c>
    </row>
    <row r="103" spans="1:8" x14ac:dyDescent="0.2">
      <c r="A103" s="751"/>
      <c r="B103" s="736" t="s">
        <v>582</v>
      </c>
      <c r="C103" s="751"/>
      <c r="D103" s="1366">
        <v>6723.27</v>
      </c>
      <c r="E103" s="1365">
        <v>3318.77</v>
      </c>
      <c r="F103" s="1365">
        <f t="shared" si="36"/>
        <v>0.49362438218307458</v>
      </c>
      <c r="G103" s="1388">
        <f>6322.33+330</f>
        <v>6652.33</v>
      </c>
      <c r="H103" s="1368">
        <f t="shared" ref="H103:H109" si="38">G103/D103</f>
        <v>0.98944858677399528</v>
      </c>
    </row>
    <row r="104" spans="1:8" x14ac:dyDescent="0.2">
      <c r="A104" s="751"/>
      <c r="B104" s="736" t="s">
        <v>487</v>
      </c>
      <c r="C104" s="751"/>
      <c r="D104" s="1366">
        <v>6000</v>
      </c>
      <c r="E104" s="1365">
        <v>2999.21</v>
      </c>
      <c r="F104" s="1365">
        <f t="shared" si="36"/>
        <v>0.49986833333333336</v>
      </c>
      <c r="G104" s="1388">
        <f>3499.9+2494</f>
        <v>5993.9</v>
      </c>
      <c r="H104" s="1368">
        <f t="shared" si="38"/>
        <v>0.99898333333333322</v>
      </c>
    </row>
    <row r="105" spans="1:8" x14ac:dyDescent="0.2">
      <c r="A105" s="751"/>
      <c r="B105" s="736" t="s">
        <v>583</v>
      </c>
      <c r="C105" s="751"/>
      <c r="D105" s="1366">
        <v>500</v>
      </c>
      <c r="E105" s="1369">
        <v>1000</v>
      </c>
      <c r="F105" s="1365">
        <f t="shared" si="36"/>
        <v>2</v>
      </c>
      <c r="G105" s="1389">
        <v>494.96</v>
      </c>
      <c r="H105" s="1368">
        <f t="shared" si="38"/>
        <v>0.98991999999999991</v>
      </c>
    </row>
    <row r="106" spans="1:8" x14ac:dyDescent="0.2">
      <c r="A106" s="1179" t="s">
        <v>584</v>
      </c>
      <c r="B106" s="735" t="s">
        <v>440</v>
      </c>
      <c r="C106" s="1179">
        <v>345</v>
      </c>
      <c r="D106" s="1180">
        <f>SUM(D107:D112)</f>
        <v>19439.73</v>
      </c>
      <c r="E106" s="1180">
        <f t="shared" ref="E106:G106" si="39">SUM(E107:E112)</f>
        <v>14468.470000000001</v>
      </c>
      <c r="F106" s="1180" t="e">
        <f t="shared" si="39"/>
        <v>#DIV/0!</v>
      </c>
      <c r="G106" s="1180">
        <f t="shared" si="39"/>
        <v>18769</v>
      </c>
      <c r="H106" s="1181">
        <f>G106/D106</f>
        <v>0.96549694877449432</v>
      </c>
    </row>
    <row r="107" spans="1:8" x14ac:dyDescent="0.2">
      <c r="A107" s="1183"/>
      <c r="B107" s="736" t="s">
        <v>441</v>
      </c>
      <c r="C107" s="1183"/>
      <c r="D107" s="1366">
        <v>4000</v>
      </c>
      <c r="E107" s="1365">
        <v>2198.2399999999998</v>
      </c>
      <c r="F107" s="1367">
        <f>E107/D107</f>
        <v>0.54955999999999994</v>
      </c>
      <c r="G107" s="1365">
        <f>2985.37+900</f>
        <v>3885.37</v>
      </c>
      <c r="H107" s="1368">
        <f t="shared" si="38"/>
        <v>0.9713425</v>
      </c>
    </row>
    <row r="108" spans="1:8" x14ac:dyDescent="0.2">
      <c r="A108" s="752"/>
      <c r="B108" s="736" t="s">
        <v>465</v>
      </c>
      <c r="C108" s="751"/>
      <c r="D108" s="1366">
        <v>7000</v>
      </c>
      <c r="E108" s="1365">
        <v>0</v>
      </c>
      <c r="F108" s="1367">
        <v>0</v>
      </c>
      <c r="G108" s="1365">
        <f>5996.02+980</f>
        <v>6976.02</v>
      </c>
      <c r="H108" s="1368">
        <f t="shared" si="38"/>
        <v>0.99657428571428575</v>
      </c>
    </row>
    <row r="109" spans="1:8" ht="23.25" thickBot="1" x14ac:dyDescent="0.25">
      <c r="A109" s="752"/>
      <c r="B109" s="736" t="s">
        <v>585</v>
      </c>
      <c r="C109" s="751"/>
      <c r="D109" s="1366">
        <v>8439.73</v>
      </c>
      <c r="E109" s="1365">
        <v>2000</v>
      </c>
      <c r="F109" s="1367">
        <f>E109/D109</f>
        <v>0.23697440557932542</v>
      </c>
      <c r="G109" s="1365">
        <f>1009.01+6898.6</f>
        <v>7907.6100000000006</v>
      </c>
      <c r="H109" s="1368">
        <f t="shared" si="38"/>
        <v>0.93695058965156475</v>
      </c>
    </row>
    <row r="110" spans="1:8" ht="13.5" hidden="1" thickBot="1" x14ac:dyDescent="0.25">
      <c r="A110" s="752"/>
      <c r="B110" s="736" t="s">
        <v>586</v>
      </c>
      <c r="C110" s="751"/>
      <c r="D110" s="737">
        <v>0</v>
      </c>
      <c r="E110" s="739">
        <v>2395</v>
      </c>
      <c r="F110" s="738" t="e">
        <f t="shared" ref="F110:F112" si="40">E110/D110</f>
        <v>#DIV/0!</v>
      </c>
      <c r="G110" s="1187"/>
      <c r="H110" s="1189"/>
    </row>
    <row r="111" spans="1:8" ht="13.5" hidden="1" thickBot="1" x14ac:dyDescent="0.25">
      <c r="A111" s="752"/>
      <c r="B111" s="736" t="s">
        <v>587</v>
      </c>
      <c r="C111" s="751"/>
      <c r="D111" s="737"/>
      <c r="E111" s="739">
        <v>1497.47</v>
      </c>
      <c r="F111" s="738" t="e">
        <f t="shared" si="40"/>
        <v>#DIV/0!</v>
      </c>
      <c r="G111" s="1187"/>
      <c r="H111" s="1189"/>
    </row>
    <row r="112" spans="1:8" ht="13.5" hidden="1" thickBot="1" x14ac:dyDescent="0.25">
      <c r="A112" s="752"/>
      <c r="B112" s="736" t="s">
        <v>588</v>
      </c>
      <c r="C112" s="751"/>
      <c r="D112" s="737"/>
      <c r="E112" s="739">
        <v>6377.76</v>
      </c>
      <c r="F112" s="738" t="e">
        <f t="shared" si="40"/>
        <v>#DIV/0!</v>
      </c>
      <c r="G112" s="1187"/>
      <c r="H112" s="1189"/>
    </row>
    <row r="113" spans="1:8" ht="27.75" customHeight="1" thickBot="1" x14ac:dyDescent="0.25">
      <c r="A113" s="1190"/>
      <c r="B113" s="1191" t="s">
        <v>59</v>
      </c>
      <c r="C113" s="1192">
        <f>C106+C97+C89+C82+C65+C60+C56+C51+C47+C43+C37+C28+C20+C14+C9+C4+C75</f>
        <v>6947</v>
      </c>
      <c r="D113" s="1193">
        <f>D106+D97+D89+D82+D75+D65+D60+D56+D51+D47+D43+D37+D28+D20+D14+D9+D4</f>
        <v>355229.86</v>
      </c>
      <c r="E113" s="1193">
        <f>E106+E97+E89+E82+E75+E65+E60+E56+E51+E47+E43+E37+E28+E20+E14+E9+E4</f>
        <v>219243.39</v>
      </c>
      <c r="F113" s="1193" t="e">
        <f>F106+F97+F89+F82+F75+F65+F60+F56+F51+F47+F43+F37+F28+F20+F14+F9+F4</f>
        <v>#DIV/0!</v>
      </c>
      <c r="G113" s="1193">
        <f>G106+G97+G89+G82+G75+G65+G60+G56+G51+G47+G43+G37+G28+G20+G14+G9+G4</f>
        <v>340410.51</v>
      </c>
      <c r="H113" s="1194">
        <f>G113/D113</f>
        <v>0.95828236398820754</v>
      </c>
    </row>
  </sheetData>
  <mergeCells count="2">
    <mergeCell ref="C1:H1"/>
    <mergeCell ref="A2:H2"/>
  </mergeCells>
  <pageMargins left="1.1023622047244095" right="0" top="0.35433070866141736" bottom="0.35433070866141736" header="0.11811023622047245" footer="0.11811023622047245"/>
  <pageSetup paperSize="9" orientation="portrait" r:id="rId1"/>
  <headerFooter>
    <oddFooter>Strona &amp;P z &amp;N</oddFooter>
  </headerFooter>
  <rowBreaks count="1" manualBreakCount="1">
    <brk id="9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4"/>
  <sheetViews>
    <sheetView topLeftCell="A2" workbookViewId="0">
      <selection activeCell="R8" sqref="R8"/>
    </sheetView>
  </sheetViews>
  <sheetFormatPr defaultRowHeight="12.75" x14ac:dyDescent="0.2"/>
  <cols>
    <col min="1" max="1" width="4" style="757" customWidth="1"/>
    <col min="2" max="2" width="7.28515625" style="757" customWidth="1"/>
    <col min="3" max="3" width="6" style="757" customWidth="1"/>
    <col min="4" max="4" width="40.42578125" style="757" customWidth="1"/>
    <col min="5" max="5" width="12.140625" style="757" customWidth="1"/>
    <col min="6" max="6" width="11.42578125" style="757" hidden="1" customWidth="1"/>
    <col min="7" max="7" width="7.7109375" style="757" hidden="1" customWidth="1"/>
    <col min="8" max="8" width="10.5703125" style="757" hidden="1" customWidth="1"/>
    <col min="9" max="9" width="8.85546875" style="757" hidden="1" customWidth="1"/>
    <col min="10" max="10" width="12.7109375" style="757" bestFit="1" customWidth="1"/>
    <col min="11" max="11" width="11.7109375" style="757" hidden="1" customWidth="1"/>
    <col min="12" max="12" width="8" style="757" customWidth="1"/>
    <col min="13" max="14" width="10.140625" style="757" customWidth="1"/>
    <col min="15" max="15" width="10.28515625" style="757" customWidth="1"/>
    <col min="16" max="16" width="12.42578125" style="757" customWidth="1"/>
    <col min="17" max="16384" width="9.140625" style="757"/>
  </cols>
  <sheetData>
    <row r="1" spans="1:15" hidden="1" x14ac:dyDescent="0.2">
      <c r="D1" s="2255" t="s">
        <v>1484</v>
      </c>
      <c r="E1" s="2255"/>
      <c r="F1" s="2255"/>
      <c r="G1" s="2255"/>
      <c r="H1" s="2255"/>
    </row>
    <row r="2" spans="1:15" ht="18" customHeight="1" x14ac:dyDescent="0.2">
      <c r="J2" s="2239" t="s">
        <v>1530</v>
      </c>
      <c r="K2" s="2239"/>
      <c r="L2" s="2239"/>
      <c r="M2" s="2239"/>
      <c r="N2" s="2239"/>
      <c r="O2" s="2239"/>
    </row>
    <row r="3" spans="1:15" ht="18" customHeight="1" x14ac:dyDescent="0.2">
      <c r="J3" s="1436"/>
      <c r="K3" s="1436"/>
      <c r="L3" s="1436"/>
      <c r="M3" s="1436"/>
      <c r="N3" s="1436"/>
      <c r="O3" s="1436"/>
    </row>
    <row r="4" spans="1:15" ht="30.75" customHeight="1" x14ac:dyDescent="0.2">
      <c r="A4" s="2256" t="s">
        <v>1606</v>
      </c>
      <c r="B4" s="2256"/>
      <c r="C4" s="2256"/>
      <c r="D4" s="2256"/>
      <c r="E4" s="2256"/>
      <c r="F4" s="2256"/>
      <c r="G4" s="2256"/>
      <c r="H4" s="2256"/>
      <c r="I4" s="2256"/>
      <c r="J4" s="2256"/>
      <c r="K4" s="2256"/>
      <c r="L4" s="2256"/>
      <c r="M4" s="2256"/>
    </row>
    <row r="5" spans="1:15" ht="11.25" customHeight="1" x14ac:dyDescent="0.2">
      <c r="A5" s="1407"/>
      <c r="B5" s="1407"/>
      <c r="C5" s="1407"/>
      <c r="D5" s="1407"/>
      <c r="E5" s="1407"/>
      <c r="F5" s="1402"/>
      <c r="G5" s="1402"/>
      <c r="H5" s="1402"/>
    </row>
    <row r="6" spans="1:15" ht="20.25" customHeight="1" x14ac:dyDescent="0.2">
      <c r="A6" s="2222" t="s">
        <v>367</v>
      </c>
      <c r="B6" s="2222"/>
      <c r="C6" s="2222"/>
      <c r="D6" s="2222"/>
      <c r="E6" s="1400"/>
      <c r="F6" s="1400"/>
      <c r="G6" s="1400"/>
    </row>
    <row r="7" spans="1:15" ht="27" customHeight="1" x14ac:dyDescent="0.2">
      <c r="A7" s="2266" t="s">
        <v>0</v>
      </c>
      <c r="B7" s="2266" t="s">
        <v>1</v>
      </c>
      <c r="C7" s="2266" t="s">
        <v>131</v>
      </c>
      <c r="D7" s="2260" t="s">
        <v>291</v>
      </c>
      <c r="E7" s="2261" t="s">
        <v>1505</v>
      </c>
      <c r="F7" s="1441"/>
      <c r="G7" s="1441"/>
      <c r="H7" s="1442"/>
      <c r="I7" s="1443"/>
      <c r="J7" s="2262" t="s">
        <v>626</v>
      </c>
      <c r="K7" s="1444"/>
      <c r="L7" s="2263" t="s">
        <v>91</v>
      </c>
      <c r="M7" s="2264" t="s">
        <v>94</v>
      </c>
      <c r="N7" s="1445" t="s">
        <v>112</v>
      </c>
      <c r="O7" s="2238" t="s">
        <v>1486</v>
      </c>
    </row>
    <row r="8" spans="1:15" ht="47.25" customHeight="1" x14ac:dyDescent="0.2">
      <c r="A8" s="2266"/>
      <c r="B8" s="2266"/>
      <c r="C8" s="2266"/>
      <c r="D8" s="2260"/>
      <c r="E8" s="2261"/>
      <c r="F8" s="1446" t="s">
        <v>514</v>
      </c>
      <c r="G8" s="1447" t="s">
        <v>91</v>
      </c>
      <c r="H8" s="1448" t="s">
        <v>1485</v>
      </c>
      <c r="I8" s="1449" t="s">
        <v>1486</v>
      </c>
      <c r="J8" s="2262"/>
      <c r="K8" s="1444"/>
      <c r="L8" s="2263"/>
      <c r="M8" s="2265"/>
      <c r="N8" s="1450" t="s">
        <v>1506</v>
      </c>
      <c r="O8" s="2238"/>
    </row>
    <row r="9" spans="1:15" s="1433" customFormat="1" ht="25.5" x14ac:dyDescent="0.2">
      <c r="A9" s="1451">
        <v>900</v>
      </c>
      <c r="B9" s="1452"/>
      <c r="C9" s="1453"/>
      <c r="D9" s="1454" t="s">
        <v>311</v>
      </c>
      <c r="E9" s="1455">
        <f>E10</f>
        <v>2463836.4900000002</v>
      </c>
      <c r="F9" s="1455">
        <f t="shared" ref="F9:K9" si="0">F10</f>
        <v>0</v>
      </c>
      <c r="G9" s="1455">
        <f t="shared" si="0"/>
        <v>0</v>
      </c>
      <c r="H9" s="1455">
        <f t="shared" si="0"/>
        <v>0</v>
      </c>
      <c r="I9" s="1456">
        <f t="shared" si="0"/>
        <v>0</v>
      </c>
      <c r="J9" s="1457">
        <f t="shared" si="0"/>
        <v>2187169.54</v>
      </c>
      <c r="K9" s="1458">
        <f t="shared" si="0"/>
        <v>0</v>
      </c>
      <c r="L9" s="1459">
        <f>J9/E9</f>
        <v>0.88770888363618639</v>
      </c>
      <c r="M9" s="1455">
        <f>M10</f>
        <v>344034.53</v>
      </c>
      <c r="N9" s="1455">
        <f t="shared" ref="N9:O9" si="1">N10</f>
        <v>317034.53000000003</v>
      </c>
      <c r="O9" s="1455">
        <f t="shared" si="1"/>
        <v>14857.78</v>
      </c>
    </row>
    <row r="10" spans="1:15" x14ac:dyDescent="0.2">
      <c r="A10" s="1460"/>
      <c r="B10" s="1461">
        <v>90002</v>
      </c>
      <c r="C10" s="1461"/>
      <c r="D10" s="1462" t="s">
        <v>312</v>
      </c>
      <c r="E10" s="1463">
        <f>E11+E12+E13</f>
        <v>2463836.4900000002</v>
      </c>
      <c r="F10" s="1463">
        <f t="shared" ref="F10:K10" si="2">F11+F12+F13</f>
        <v>0</v>
      </c>
      <c r="G10" s="1463">
        <f t="shared" si="2"/>
        <v>0</v>
      </c>
      <c r="H10" s="1463">
        <f t="shared" si="2"/>
        <v>0</v>
      </c>
      <c r="I10" s="1464">
        <f t="shared" si="2"/>
        <v>0</v>
      </c>
      <c r="J10" s="1465">
        <f t="shared" si="2"/>
        <v>2187169.54</v>
      </c>
      <c r="K10" s="1466">
        <f t="shared" si="2"/>
        <v>0</v>
      </c>
      <c r="L10" s="1467">
        <f>J10/E10</f>
        <v>0.88770888363618639</v>
      </c>
      <c r="M10" s="1463">
        <f>M11+M12+M13</f>
        <v>344034.53</v>
      </c>
      <c r="N10" s="1463">
        <f t="shared" ref="N10:O10" si="3">N11+N12+N13</f>
        <v>317034.53000000003</v>
      </c>
      <c r="O10" s="1463">
        <f t="shared" si="3"/>
        <v>14857.78</v>
      </c>
    </row>
    <row r="11" spans="1:15" ht="38.25" x14ac:dyDescent="0.2">
      <c r="A11" s="1468"/>
      <c r="B11" s="1469"/>
      <c r="C11" s="1633" t="s">
        <v>650</v>
      </c>
      <c r="D11" s="1634" t="s">
        <v>1487</v>
      </c>
      <c r="E11" s="1601">
        <v>2459836.4900000002</v>
      </c>
      <c r="F11" s="1635"/>
      <c r="G11" s="1636">
        <f>F11/E11</f>
        <v>0</v>
      </c>
      <c r="H11" s="1637"/>
      <c r="I11" s="1638"/>
      <c r="J11" s="1639">
        <v>2160510.1</v>
      </c>
      <c r="K11" s="1651"/>
      <c r="L11" s="1640">
        <f>J11/E11</f>
        <v>0.87831451756372636</v>
      </c>
      <c r="M11" s="1637">
        <v>318242.53000000003</v>
      </c>
      <c r="N11" s="1637">
        <v>317034.53000000003</v>
      </c>
      <c r="O11" s="1637">
        <v>14857.78</v>
      </c>
    </row>
    <row r="12" spans="1:15" x14ac:dyDescent="0.2">
      <c r="A12" s="1468"/>
      <c r="B12" s="1469"/>
      <c r="C12" s="1641" t="s">
        <v>107</v>
      </c>
      <c r="D12" s="1642" t="s">
        <v>591</v>
      </c>
      <c r="E12" s="1635">
        <v>4000</v>
      </c>
      <c r="F12" s="1635"/>
      <c r="G12" s="1636">
        <f>F12/E12</f>
        <v>0</v>
      </c>
      <c r="H12" s="1637">
        <v>0</v>
      </c>
      <c r="I12" s="1638">
        <v>0</v>
      </c>
      <c r="J12" s="1639">
        <v>15767</v>
      </c>
      <c r="K12" s="1651"/>
      <c r="L12" s="1640">
        <f t="shared" ref="L12" si="4">J12/E12</f>
        <v>3.9417499999999999</v>
      </c>
      <c r="M12" s="1637">
        <v>0</v>
      </c>
      <c r="N12" s="1637">
        <v>0</v>
      </c>
      <c r="O12" s="1637">
        <v>0</v>
      </c>
    </row>
    <row r="13" spans="1:15" ht="26.25" thickBot="1" x14ac:dyDescent="0.25">
      <c r="A13" s="1468"/>
      <c r="B13" s="1469"/>
      <c r="C13" s="1643" t="s">
        <v>717</v>
      </c>
      <c r="D13" s="1644" t="s">
        <v>1488</v>
      </c>
      <c r="E13" s="1645">
        <v>0</v>
      </c>
      <c r="F13" s="1646"/>
      <c r="G13" s="1647">
        <v>0</v>
      </c>
      <c r="H13" s="1648"/>
      <c r="I13" s="1649">
        <v>0</v>
      </c>
      <c r="J13" s="1650">
        <v>10892.44</v>
      </c>
      <c r="K13" s="1652"/>
      <c r="L13" s="1640">
        <v>0</v>
      </c>
      <c r="M13" s="1648">
        <v>25792</v>
      </c>
      <c r="N13" s="1648">
        <v>0</v>
      </c>
      <c r="O13" s="1648">
        <v>0</v>
      </c>
    </row>
    <row r="14" spans="1:15" ht="21" customHeight="1" thickBot="1" x14ac:dyDescent="0.3">
      <c r="A14" s="1470"/>
      <c r="B14" s="1471"/>
      <c r="C14" s="1472"/>
      <c r="D14" s="1473" t="s">
        <v>288</v>
      </c>
      <c r="E14" s="1474">
        <f>E9</f>
        <v>2463836.4900000002</v>
      </c>
      <c r="F14" s="1474">
        <f t="shared" ref="F14:K14" si="5">F9</f>
        <v>0</v>
      </c>
      <c r="G14" s="1474">
        <f t="shared" si="5"/>
        <v>0</v>
      </c>
      <c r="H14" s="1474">
        <f t="shared" si="5"/>
        <v>0</v>
      </c>
      <c r="I14" s="1475">
        <f t="shared" si="5"/>
        <v>0</v>
      </c>
      <c r="J14" s="1476">
        <f>J9</f>
        <v>2187169.54</v>
      </c>
      <c r="K14" s="1477">
        <f t="shared" si="5"/>
        <v>0</v>
      </c>
      <c r="L14" s="1478">
        <f>J14/E14</f>
        <v>0.88770888363618639</v>
      </c>
      <c r="M14" s="1474">
        <f>M9</f>
        <v>344034.53</v>
      </c>
      <c r="N14" s="1474">
        <f t="shared" ref="N14:O14" si="6">N9</f>
        <v>317034.53000000003</v>
      </c>
      <c r="O14" s="1474">
        <f t="shared" si="6"/>
        <v>14857.78</v>
      </c>
    </row>
    <row r="15" spans="1:15" ht="20.25" customHeight="1" thickBot="1" x14ac:dyDescent="0.25">
      <c r="A15" s="2257" t="s">
        <v>592</v>
      </c>
      <c r="B15" s="2257"/>
      <c r="C15" s="2257"/>
      <c r="D15" s="2257"/>
      <c r="E15" s="1401"/>
      <c r="F15" s="2258"/>
      <c r="G15" s="2259"/>
      <c r="H15" s="2259"/>
      <c r="J15" s="1409"/>
      <c r="K15" s="1408"/>
    </row>
    <row r="16" spans="1:15" ht="42" customHeight="1" thickBot="1" x14ac:dyDescent="0.25">
      <c r="A16" s="1479" t="s">
        <v>0</v>
      </c>
      <c r="B16" s="1480" t="s">
        <v>1</v>
      </c>
      <c r="C16" s="1480" t="s">
        <v>131</v>
      </c>
      <c r="D16" s="1481" t="s">
        <v>291</v>
      </c>
      <c r="E16" s="1482" t="s">
        <v>1532</v>
      </c>
      <c r="F16" s="1483" t="s">
        <v>514</v>
      </c>
      <c r="G16" s="1484" t="s">
        <v>91</v>
      </c>
      <c r="H16" s="1485" t="s">
        <v>1443</v>
      </c>
      <c r="I16" s="1486" t="s">
        <v>1489</v>
      </c>
      <c r="J16" s="1487" t="s">
        <v>626</v>
      </c>
      <c r="K16" s="1488"/>
      <c r="L16" s="1489" t="s">
        <v>91</v>
      </c>
      <c r="M16" s="1490" t="s">
        <v>1509</v>
      </c>
      <c r="N16" s="1414"/>
      <c r="O16" s="1415"/>
    </row>
    <row r="17" spans="1:16" ht="25.5" x14ac:dyDescent="0.2">
      <c r="A17" s="1491">
        <v>900</v>
      </c>
      <c r="B17" s="1492"/>
      <c r="C17" s="1493"/>
      <c r="D17" s="1494" t="s">
        <v>311</v>
      </c>
      <c r="E17" s="1495">
        <f>E18</f>
        <v>2494519.2600000002</v>
      </c>
      <c r="F17" s="1495" t="e">
        <f t="shared" ref="F17:K17" si="7">F18</f>
        <v>#REF!</v>
      </c>
      <c r="G17" s="1495" t="e">
        <f t="shared" si="7"/>
        <v>#REF!</v>
      </c>
      <c r="H17" s="1495" t="e">
        <f t="shared" si="7"/>
        <v>#REF!</v>
      </c>
      <c r="I17" s="1496" t="e">
        <f t="shared" si="7"/>
        <v>#REF!</v>
      </c>
      <c r="J17" s="1497">
        <f t="shared" si="7"/>
        <v>2270296.961292</v>
      </c>
      <c r="K17" s="1498" t="e">
        <f t="shared" si="7"/>
        <v>#REF!</v>
      </c>
      <c r="L17" s="1499">
        <f>J17/E17</f>
        <v>0.91011402385083195</v>
      </c>
      <c r="M17" s="1500">
        <f>M18</f>
        <v>199240.52</v>
      </c>
      <c r="N17" s="1439"/>
      <c r="O17" s="1440"/>
      <c r="P17" s="1435"/>
    </row>
    <row r="18" spans="1:16" x14ac:dyDescent="0.2">
      <c r="A18" s="1501"/>
      <c r="B18" s="1461">
        <v>90002</v>
      </c>
      <c r="C18" s="1461"/>
      <c r="D18" s="1502" t="s">
        <v>312</v>
      </c>
      <c r="E18" s="1503">
        <f>E19+E24+E30+E37+E44+E45+E46+E55+E56+E57</f>
        <v>2494519.2600000002</v>
      </c>
      <c r="F18" s="1503" t="e">
        <f>F45+F46+F56+F19+F24+F30+F37+F55+F57</f>
        <v>#REF!</v>
      </c>
      <c r="G18" s="1503" t="e">
        <f>G45+G46+G56+G19+G24+G30+G37+G55+G57</f>
        <v>#REF!</v>
      </c>
      <c r="H18" s="1503" t="e">
        <f>H45+H46+H56+H19+H24+H30+H37+H55+H57</f>
        <v>#REF!</v>
      </c>
      <c r="I18" s="1504" t="e">
        <f>I45+I46+I56+I19+I24+I30+I37+I55+I57</f>
        <v>#REF!</v>
      </c>
      <c r="J18" s="1505">
        <f>J45+J46+J56+J19+J24+J30+J37+J55+J57+J44</f>
        <v>2270296.961292</v>
      </c>
      <c r="K18" s="1506" t="e">
        <f>K45+K46+K56+K19+K24+K30+K37+K55+K57</f>
        <v>#REF!</v>
      </c>
      <c r="L18" s="1507">
        <f>J18/E18</f>
        <v>0.91011402385083195</v>
      </c>
      <c r="M18" s="1503">
        <f>M24+M30+M37+M46</f>
        <v>199240.52</v>
      </c>
      <c r="N18" s="1431"/>
      <c r="O18" s="1432"/>
    </row>
    <row r="19" spans="1:16" x14ac:dyDescent="0.2">
      <c r="A19" s="1508"/>
      <c r="B19" s="1509"/>
      <c r="C19" s="2247">
        <v>4010</v>
      </c>
      <c r="D19" s="1569" t="s">
        <v>13</v>
      </c>
      <c r="E19" s="1570">
        <v>148369.73000000001</v>
      </c>
      <c r="F19" s="1570" t="e">
        <f>#REF!+F20+F21+F22+#REF!</f>
        <v>#REF!</v>
      </c>
      <c r="G19" s="1570" t="e">
        <f>#REF!+G20+G21+G22+#REF!</f>
        <v>#REF!</v>
      </c>
      <c r="H19" s="1570" t="e">
        <f>#REF!+H20+H21+H22+#REF!</f>
        <v>#REF!</v>
      </c>
      <c r="I19" s="1571" t="e">
        <f>#REF!+I20+I21+I22+#REF!</f>
        <v>#REF!</v>
      </c>
      <c r="J19" s="1572">
        <f>J20+J21+J22+J23</f>
        <v>147708.13</v>
      </c>
      <c r="K19" s="1573" t="e">
        <f>K20+K21+K22+#REF!+K23</f>
        <v>#REF!</v>
      </c>
      <c r="L19" s="1574">
        <f>J19/E19</f>
        <v>0.99554086942127618</v>
      </c>
      <c r="M19" s="1570"/>
      <c r="N19" s="1437"/>
      <c r="O19" s="1438"/>
    </row>
    <row r="20" spans="1:16" ht="12.75" hidden="1" customHeight="1" x14ac:dyDescent="0.2">
      <c r="A20" s="1508"/>
      <c r="B20" s="1510"/>
      <c r="C20" s="2248"/>
      <c r="D20" s="1575" t="s">
        <v>1510</v>
      </c>
      <c r="E20" s="1576"/>
      <c r="F20" s="1577"/>
      <c r="G20" s="1578"/>
      <c r="H20" s="1579"/>
      <c r="I20" s="1580"/>
      <c r="J20" s="1581">
        <v>37936.11</v>
      </c>
      <c r="K20" s="1582">
        <v>2904.3</v>
      </c>
      <c r="L20" s="1574" t="e">
        <f t="shared" ref="L20:L46" si="8">J20/E20</f>
        <v>#DIV/0!</v>
      </c>
      <c r="M20" s="1583"/>
      <c r="N20" s="1418"/>
      <c r="O20" s="1419"/>
    </row>
    <row r="21" spans="1:16" ht="12.75" hidden="1" customHeight="1" x14ac:dyDescent="0.2">
      <c r="A21" s="1508"/>
      <c r="B21" s="1510"/>
      <c r="C21" s="2248"/>
      <c r="D21" s="1575" t="s">
        <v>1511</v>
      </c>
      <c r="E21" s="1576"/>
      <c r="F21" s="1577"/>
      <c r="G21" s="1578"/>
      <c r="H21" s="1579"/>
      <c r="I21" s="1580"/>
      <c r="J21" s="1581">
        <v>35879.75</v>
      </c>
      <c r="K21" s="1582">
        <v>2786.28</v>
      </c>
      <c r="L21" s="1574" t="e">
        <f t="shared" si="8"/>
        <v>#DIV/0!</v>
      </c>
      <c r="M21" s="1583"/>
      <c r="N21" s="1418"/>
      <c r="O21" s="1419"/>
    </row>
    <row r="22" spans="1:16" ht="12.75" hidden="1" customHeight="1" x14ac:dyDescent="0.2">
      <c r="A22" s="1508"/>
      <c r="B22" s="1510"/>
      <c r="C22" s="2248"/>
      <c r="D22" s="1575" t="s">
        <v>1512</v>
      </c>
      <c r="E22" s="1576"/>
      <c r="F22" s="1577"/>
      <c r="G22" s="1578"/>
      <c r="H22" s="1579"/>
      <c r="I22" s="1580"/>
      <c r="J22" s="1581">
        <f>35716.1</f>
        <v>35716.1</v>
      </c>
      <c r="K22" s="1582">
        <v>3604.86</v>
      </c>
      <c r="L22" s="1574" t="e">
        <f t="shared" si="8"/>
        <v>#DIV/0!</v>
      </c>
      <c r="M22" s="1583"/>
      <c r="N22" s="1418"/>
      <c r="O22" s="1419"/>
    </row>
    <row r="23" spans="1:16" ht="15" hidden="1" customHeight="1" x14ac:dyDescent="0.2">
      <c r="A23" s="1508"/>
      <c r="B23" s="1510"/>
      <c r="C23" s="2249"/>
      <c r="D23" s="1575" t="s">
        <v>1495</v>
      </c>
      <c r="E23" s="1576"/>
      <c r="F23" s="1577"/>
      <c r="G23" s="1584"/>
      <c r="H23" s="1585"/>
      <c r="I23" s="1586"/>
      <c r="J23" s="1581">
        <v>38176.17</v>
      </c>
      <c r="K23" s="1582">
        <v>2898</v>
      </c>
      <c r="L23" s="1574" t="e">
        <f t="shared" si="8"/>
        <v>#DIV/0!</v>
      </c>
      <c r="M23" s="1583"/>
      <c r="N23" s="1418"/>
      <c r="O23" s="1419"/>
    </row>
    <row r="24" spans="1:16" x14ac:dyDescent="0.2">
      <c r="A24" s="1508"/>
      <c r="B24" s="1510"/>
      <c r="C24" s="1587" t="s">
        <v>959</v>
      </c>
      <c r="D24" s="1588" t="s">
        <v>960</v>
      </c>
      <c r="E24" s="1570">
        <v>9655</v>
      </c>
      <c r="F24" s="1570" t="e">
        <f>#REF!+F25+F26+F27</f>
        <v>#REF!</v>
      </c>
      <c r="G24" s="1570" t="e">
        <f>#REF!+G25+G26+G27</f>
        <v>#REF!</v>
      </c>
      <c r="H24" s="1570" t="e">
        <f>#REF!+H25+H26+H27</f>
        <v>#REF!</v>
      </c>
      <c r="I24" s="1571" t="e">
        <f>#REF!+I25+I26+I27</f>
        <v>#REF!</v>
      </c>
      <c r="J24" s="1572">
        <f>J25+J26+J27+J28+J29</f>
        <v>9655</v>
      </c>
      <c r="K24" s="1573" t="e">
        <f>#REF!+K25+K26+K27+K28+K29+#REF!</f>
        <v>#REF!</v>
      </c>
      <c r="L24" s="1574">
        <f t="shared" si="8"/>
        <v>1</v>
      </c>
      <c r="M24" s="1570">
        <v>11467.23</v>
      </c>
      <c r="N24" s="1420"/>
      <c r="O24" s="1421"/>
    </row>
    <row r="25" spans="1:16" hidden="1" x14ac:dyDescent="0.2">
      <c r="A25" s="1508"/>
      <c r="B25" s="1510"/>
      <c r="C25" s="2250"/>
      <c r="D25" s="1589" t="s">
        <v>1510</v>
      </c>
      <c r="E25" s="1576"/>
      <c r="F25" s="1577"/>
      <c r="G25" s="1578"/>
      <c r="H25" s="1579"/>
      <c r="I25" s="1590"/>
      <c r="J25" s="1581">
        <v>2740.4</v>
      </c>
      <c r="K25" s="1488"/>
      <c r="L25" s="1574" t="e">
        <f t="shared" si="8"/>
        <v>#DIV/0!</v>
      </c>
      <c r="M25" s="1583"/>
      <c r="N25" s="1422"/>
      <c r="O25" s="1423"/>
    </row>
    <row r="26" spans="1:16" hidden="1" x14ac:dyDescent="0.2">
      <c r="A26" s="1508"/>
      <c r="B26" s="1510"/>
      <c r="C26" s="2250"/>
      <c r="D26" s="1591" t="s">
        <v>1513</v>
      </c>
      <c r="E26" s="1576"/>
      <c r="F26" s="1577"/>
      <c r="G26" s="1578"/>
      <c r="H26" s="1579"/>
      <c r="I26" s="1590"/>
      <c r="J26" s="1581">
        <v>2664.51</v>
      </c>
      <c r="K26" s="1488"/>
      <c r="L26" s="1574" t="e">
        <f t="shared" si="8"/>
        <v>#DIV/0!</v>
      </c>
      <c r="M26" s="1583"/>
      <c r="N26" s="1422"/>
      <c r="O26" s="1423"/>
    </row>
    <row r="27" spans="1:16" hidden="1" x14ac:dyDescent="0.2">
      <c r="A27" s="1508"/>
      <c r="B27" s="1510"/>
      <c r="C27" s="2250"/>
      <c r="D27" s="1591" t="s">
        <v>1514</v>
      </c>
      <c r="E27" s="1576"/>
      <c r="F27" s="1577"/>
      <c r="G27" s="1578"/>
      <c r="H27" s="1579"/>
      <c r="I27" s="1590"/>
      <c r="J27" s="1581">
        <v>2619.11</v>
      </c>
      <c r="K27" s="1488"/>
      <c r="L27" s="1574" t="e">
        <f t="shared" si="8"/>
        <v>#DIV/0!</v>
      </c>
      <c r="M27" s="1583"/>
      <c r="N27" s="1418"/>
      <c r="O27" s="1423"/>
    </row>
    <row r="28" spans="1:16" hidden="1" x14ac:dyDescent="0.2">
      <c r="A28" s="1508"/>
      <c r="B28" s="1510"/>
      <c r="C28" s="2250"/>
      <c r="D28" s="1592" t="s">
        <v>1494</v>
      </c>
      <c r="E28" s="1576"/>
      <c r="F28" s="1577"/>
      <c r="G28" s="1584"/>
      <c r="H28" s="1585"/>
      <c r="I28" s="1593"/>
      <c r="J28" s="1581">
        <v>1630.98</v>
      </c>
      <c r="K28" s="1488"/>
      <c r="L28" s="1574" t="e">
        <f t="shared" si="8"/>
        <v>#DIV/0!</v>
      </c>
      <c r="M28" s="1583"/>
      <c r="N28" s="1422"/>
      <c r="O28" s="1423"/>
    </row>
    <row r="29" spans="1:16" hidden="1" x14ac:dyDescent="0.2">
      <c r="A29" s="1508"/>
      <c r="B29" s="1510"/>
      <c r="C29" s="2251"/>
      <c r="D29" s="1592" t="s">
        <v>1495</v>
      </c>
      <c r="E29" s="1576"/>
      <c r="F29" s="1577"/>
      <c r="G29" s="1584"/>
      <c r="H29" s="1585"/>
      <c r="I29" s="1593"/>
      <c r="J29" s="1581">
        <v>0</v>
      </c>
      <c r="K29" s="1488"/>
      <c r="L29" s="1574" t="e">
        <f t="shared" si="8"/>
        <v>#DIV/0!</v>
      </c>
      <c r="M29" s="1583"/>
      <c r="N29" s="1422"/>
      <c r="O29" s="1423"/>
    </row>
    <row r="30" spans="1:16" x14ac:dyDescent="0.2">
      <c r="A30" s="1508"/>
      <c r="B30" s="1510"/>
      <c r="C30" s="1594">
        <v>4110</v>
      </c>
      <c r="D30" s="1595" t="s">
        <v>1496</v>
      </c>
      <c r="E30" s="1570">
        <v>25694.93</v>
      </c>
      <c r="F30" s="1570">
        <f>SUM(F31:F34)</f>
        <v>0</v>
      </c>
      <c r="G30" s="1570">
        <f>SUM(G31:G34)</f>
        <v>0</v>
      </c>
      <c r="H30" s="1570">
        <f>SUM(H31:H34)</f>
        <v>0</v>
      </c>
      <c r="I30" s="1571">
        <f>SUM(I31:I34)</f>
        <v>0</v>
      </c>
      <c r="J30" s="1572">
        <f>SUM(J31:J36)</f>
        <v>25694.933902000004</v>
      </c>
      <c r="K30" s="1573">
        <f>SUM(K31:K36)</f>
        <v>0</v>
      </c>
      <c r="L30" s="1574">
        <f t="shared" si="8"/>
        <v>1.000000151858752</v>
      </c>
      <c r="M30" s="1570">
        <v>1960.9</v>
      </c>
      <c r="N30" s="1416"/>
      <c r="O30" s="1417"/>
    </row>
    <row r="31" spans="1:16" hidden="1" x14ac:dyDescent="0.2">
      <c r="A31" s="1508"/>
      <c r="B31" s="1510"/>
      <c r="C31" s="2252"/>
      <c r="D31" s="1596" t="s">
        <v>1510</v>
      </c>
      <c r="E31" s="1597">
        <f t="shared" ref="E31:F33" si="9">(E20+E25)*17.19%</f>
        <v>0</v>
      </c>
      <c r="F31" s="1593">
        <f t="shared" si="9"/>
        <v>0</v>
      </c>
      <c r="G31" s="1578"/>
      <c r="H31" s="1579"/>
      <c r="I31" s="1590"/>
      <c r="J31" s="1581">
        <f>((J20+J25)-(2157.3))*17.1%</f>
        <v>6586.7849100000003</v>
      </c>
      <c r="K31" s="1488"/>
      <c r="L31" s="1574" t="e">
        <f t="shared" si="8"/>
        <v>#DIV/0!</v>
      </c>
      <c r="M31" s="1583"/>
      <c r="N31" s="1418"/>
      <c r="O31" s="1419"/>
    </row>
    <row r="32" spans="1:16" hidden="1" x14ac:dyDescent="0.2">
      <c r="A32" s="1508"/>
      <c r="B32" s="1510"/>
      <c r="C32" s="2252"/>
      <c r="D32" s="1592" t="s">
        <v>1515</v>
      </c>
      <c r="E32" s="1597">
        <f t="shared" si="9"/>
        <v>0</v>
      </c>
      <c r="F32" s="1593">
        <f t="shared" si="9"/>
        <v>0</v>
      </c>
      <c r="G32" s="1578"/>
      <c r="H32" s="1579"/>
      <c r="I32" s="1590"/>
      <c r="J32" s="1581">
        <f>(J21+J26)*17.1%</f>
        <v>6591.0684600000004</v>
      </c>
      <c r="K32" s="1488"/>
      <c r="L32" s="1574" t="e">
        <f t="shared" si="8"/>
        <v>#DIV/0!</v>
      </c>
      <c r="M32" s="1583"/>
      <c r="N32" s="1418"/>
      <c r="O32" s="1419"/>
    </row>
    <row r="33" spans="1:16" hidden="1" x14ac:dyDescent="0.2">
      <c r="A33" s="1508"/>
      <c r="B33" s="1510"/>
      <c r="C33" s="2252"/>
      <c r="D33" s="1596" t="s">
        <v>1516</v>
      </c>
      <c r="E33" s="1597">
        <f t="shared" si="9"/>
        <v>0</v>
      </c>
      <c r="F33" s="1593">
        <f t="shared" si="9"/>
        <v>0</v>
      </c>
      <c r="G33" s="1578"/>
      <c r="H33" s="1579"/>
      <c r="I33" s="1590"/>
      <c r="J33" s="1581">
        <v>5708.59</v>
      </c>
      <c r="K33" s="1488"/>
      <c r="L33" s="1574" t="e">
        <f t="shared" si="8"/>
        <v>#DIV/0!</v>
      </c>
      <c r="M33" s="1583"/>
      <c r="N33" s="1418"/>
      <c r="O33" s="1419"/>
    </row>
    <row r="34" spans="1:16" hidden="1" x14ac:dyDescent="0.2">
      <c r="A34" s="1508"/>
      <c r="B34" s="1510"/>
      <c r="C34" s="2252"/>
      <c r="D34" s="1592" t="s">
        <v>1494</v>
      </c>
      <c r="E34" s="1597">
        <v>4562.71</v>
      </c>
      <c r="F34" s="1593"/>
      <c r="G34" s="1578"/>
      <c r="H34" s="1579"/>
      <c r="I34" s="1590"/>
      <c r="J34" s="1581">
        <f>J28*17.19%</f>
        <v>280.36546200000004</v>
      </c>
      <c r="K34" s="1488"/>
      <c r="L34" s="1574">
        <f t="shared" si="8"/>
        <v>6.144713602223241E-2</v>
      </c>
      <c r="M34" s="1583"/>
      <c r="N34" s="1418"/>
      <c r="O34" s="1419"/>
    </row>
    <row r="35" spans="1:16" hidden="1" x14ac:dyDescent="0.2">
      <c r="A35" s="1508"/>
      <c r="B35" s="1510"/>
      <c r="C35" s="2253"/>
      <c r="D35" s="1592" t="s">
        <v>1495</v>
      </c>
      <c r="E35" s="1597"/>
      <c r="F35" s="1593"/>
      <c r="G35" s="1584"/>
      <c r="H35" s="1585"/>
      <c r="I35" s="1593"/>
      <c r="J35" s="1581">
        <f>(J23+J29)*17.1%</f>
        <v>6528.1250700000001</v>
      </c>
      <c r="K35" s="1488"/>
      <c r="L35" s="1574" t="e">
        <f t="shared" si="8"/>
        <v>#DIV/0!</v>
      </c>
      <c r="M35" s="1583"/>
      <c r="N35" s="1418"/>
      <c r="O35" s="1419"/>
    </row>
    <row r="36" spans="1:16" hidden="1" x14ac:dyDescent="0.2">
      <c r="A36" s="1508"/>
      <c r="B36" s="1510"/>
      <c r="C36" s="1598"/>
      <c r="D36" s="1592" t="s">
        <v>1500</v>
      </c>
      <c r="E36" s="1597"/>
      <c r="F36" s="1593"/>
      <c r="G36" s="1584"/>
      <c r="H36" s="1585"/>
      <c r="I36" s="1593"/>
      <c r="J36" s="1581">
        <v>0</v>
      </c>
      <c r="K36" s="1488"/>
      <c r="L36" s="1574" t="e">
        <f t="shared" si="8"/>
        <v>#DIV/0!</v>
      </c>
      <c r="M36" s="1583"/>
      <c r="N36" s="1418"/>
      <c r="O36" s="1424"/>
    </row>
    <row r="37" spans="1:16" x14ac:dyDescent="0.2">
      <c r="A37" s="1508"/>
      <c r="B37" s="1510"/>
      <c r="C37" s="1599">
        <v>4120</v>
      </c>
      <c r="D37" s="1600" t="s">
        <v>15</v>
      </c>
      <c r="E37" s="1570">
        <v>2831.42</v>
      </c>
      <c r="F37" s="1570" t="e">
        <f>#REF!+F38+F39+F40+F41</f>
        <v>#REF!</v>
      </c>
      <c r="G37" s="1570" t="e">
        <f>#REF!+G38+G39+G40+G41</f>
        <v>#REF!</v>
      </c>
      <c r="H37" s="1570" t="e">
        <f>#REF!+H38+H39+H40+H41</f>
        <v>#REF!</v>
      </c>
      <c r="I37" s="1571" t="e">
        <f>#REF!+I38+I39+I40+I41</f>
        <v>#REF!</v>
      </c>
      <c r="J37" s="1572">
        <f>J38+J39+J40+J41+J42+J43</f>
        <v>2831.4173900000001</v>
      </c>
      <c r="K37" s="1573" t="e">
        <f>#REF!+K38+K39+K40+K41+#REF!+K42+K43</f>
        <v>#REF!</v>
      </c>
      <c r="L37" s="1574">
        <f t="shared" si="8"/>
        <v>0.99999907820104394</v>
      </c>
      <c r="M37" s="1570">
        <v>215.42</v>
      </c>
      <c r="N37" s="1416"/>
      <c r="O37" s="1417"/>
      <c r="P37" s="1410"/>
    </row>
    <row r="38" spans="1:16" hidden="1" x14ac:dyDescent="0.2">
      <c r="A38" s="1508"/>
      <c r="B38" s="1510"/>
      <c r="C38" s="2252"/>
      <c r="D38" s="1596" t="s">
        <v>1497</v>
      </c>
      <c r="E38" s="1601">
        <f>(E20+E25)*2.45%</f>
        <v>0</v>
      </c>
      <c r="F38" s="1586">
        <f>(F20+F25)*2.45%</f>
        <v>0</v>
      </c>
      <c r="G38" s="1602"/>
      <c r="H38" s="1603"/>
      <c r="I38" s="1604"/>
      <c r="J38" s="1605">
        <f>((J25+J20)- (2506.98))*2.45%</f>
        <v>935.15348500000005</v>
      </c>
      <c r="K38" s="1488"/>
      <c r="L38" s="1574" t="e">
        <f t="shared" si="8"/>
        <v>#DIV/0!</v>
      </c>
      <c r="M38" s="1583"/>
      <c r="N38" s="1422"/>
      <c r="O38" s="1412"/>
      <c r="P38" s="1410"/>
    </row>
    <row r="39" spans="1:16" hidden="1" x14ac:dyDescent="0.2">
      <c r="A39" s="1508"/>
      <c r="B39" s="1510"/>
      <c r="C39" s="2252"/>
      <c r="D39" s="1596" t="s">
        <v>1498</v>
      </c>
      <c r="E39" s="1601">
        <f>(E21+E26)*2.45%</f>
        <v>0</v>
      </c>
      <c r="F39" s="1586">
        <f>(F21+F26)*2.45%</f>
        <v>0</v>
      </c>
      <c r="G39" s="1602"/>
      <c r="H39" s="1603"/>
      <c r="I39" s="1604"/>
      <c r="J39" s="1605">
        <f>((J26+J21)- (317.57))*2.45%</f>
        <v>936.5539050000001</v>
      </c>
      <c r="K39" s="1488"/>
      <c r="L39" s="1574" t="e">
        <f t="shared" si="8"/>
        <v>#DIV/0!</v>
      </c>
      <c r="M39" s="1583"/>
      <c r="N39" s="1422"/>
      <c r="O39" s="1412"/>
      <c r="P39" s="1410"/>
    </row>
    <row r="40" spans="1:16" hidden="1" x14ac:dyDescent="0.2">
      <c r="A40" s="1508"/>
      <c r="B40" s="1510"/>
      <c r="C40" s="2252"/>
      <c r="D40" s="1592" t="s">
        <v>1499</v>
      </c>
      <c r="E40" s="1601">
        <v>0</v>
      </c>
      <c r="F40" s="1586">
        <f>(F22+F27)*2.45%</f>
        <v>0</v>
      </c>
      <c r="G40" s="1602"/>
      <c r="H40" s="1603"/>
      <c r="I40" s="1604"/>
      <c r="J40" s="1605">
        <v>0</v>
      </c>
      <c r="K40" s="1488"/>
      <c r="L40" s="1574" t="e">
        <f t="shared" si="8"/>
        <v>#DIV/0!</v>
      </c>
      <c r="M40" s="1583"/>
      <c r="N40" s="1422"/>
      <c r="O40" s="1412"/>
      <c r="P40" s="1410"/>
    </row>
    <row r="41" spans="1:16" hidden="1" x14ac:dyDescent="0.2">
      <c r="A41" s="1508"/>
      <c r="B41" s="1510"/>
      <c r="C41" s="2252"/>
      <c r="D41" s="1592" t="s">
        <v>1494</v>
      </c>
      <c r="E41" s="1601"/>
      <c r="F41" s="1586"/>
      <c r="G41" s="1602"/>
      <c r="H41" s="1603"/>
      <c r="I41" s="1604"/>
      <c r="J41" s="1605">
        <f>35.96</f>
        <v>35.96</v>
      </c>
      <c r="K41" s="1488"/>
      <c r="L41" s="1574" t="e">
        <f t="shared" si="8"/>
        <v>#DIV/0!</v>
      </c>
      <c r="M41" s="1583"/>
      <c r="N41" s="1422"/>
      <c r="O41" s="1412"/>
      <c r="P41" s="1410"/>
    </row>
    <row r="42" spans="1:16" hidden="1" x14ac:dyDescent="0.2">
      <c r="A42" s="1508"/>
      <c r="B42" s="1510"/>
      <c r="C42" s="2253"/>
      <c r="D42" s="1592" t="s">
        <v>1495</v>
      </c>
      <c r="E42" s="1601"/>
      <c r="F42" s="1586"/>
      <c r="G42" s="1602"/>
      <c r="H42" s="1603"/>
      <c r="I42" s="1604"/>
      <c r="J42" s="1605">
        <f>927.54-3.79</f>
        <v>923.75</v>
      </c>
      <c r="K42" s="1488"/>
      <c r="L42" s="1574" t="e">
        <f t="shared" si="8"/>
        <v>#DIV/0!</v>
      </c>
      <c r="M42" s="1583"/>
      <c r="N42" s="1422"/>
      <c r="O42" s="1412"/>
      <c r="P42" s="1410"/>
    </row>
    <row r="43" spans="1:16" hidden="1" x14ac:dyDescent="0.2">
      <c r="A43" s="1508"/>
      <c r="B43" s="1510"/>
      <c r="C43" s="1598"/>
      <c r="D43" s="1592" t="s">
        <v>1501</v>
      </c>
      <c r="E43" s="1601"/>
      <c r="F43" s="1586"/>
      <c r="G43" s="1602"/>
      <c r="H43" s="1603"/>
      <c r="I43" s="1604"/>
      <c r="J43" s="1605">
        <v>0</v>
      </c>
      <c r="K43" s="1488"/>
      <c r="L43" s="1574" t="e">
        <f t="shared" si="8"/>
        <v>#DIV/0!</v>
      </c>
      <c r="M43" s="1583"/>
      <c r="N43" s="1422"/>
      <c r="O43" s="1412"/>
      <c r="P43" s="1410"/>
    </row>
    <row r="44" spans="1:16" x14ac:dyDescent="0.2">
      <c r="A44" s="1508"/>
      <c r="B44" s="1510"/>
      <c r="C44" s="1606">
        <v>4170</v>
      </c>
      <c r="D44" s="1569" t="s">
        <v>31</v>
      </c>
      <c r="E44" s="1570">
        <v>2500</v>
      </c>
      <c r="F44" s="1586"/>
      <c r="G44" s="1602"/>
      <c r="H44" s="1603"/>
      <c r="I44" s="1604"/>
      <c r="J44" s="1607">
        <v>2497.5</v>
      </c>
      <c r="K44" s="1488"/>
      <c r="L44" s="1574">
        <f t="shared" si="8"/>
        <v>0.999</v>
      </c>
      <c r="M44" s="1608"/>
      <c r="N44" s="1425"/>
      <c r="O44" s="1426"/>
      <c r="P44" s="1410"/>
    </row>
    <row r="45" spans="1:16" x14ac:dyDescent="0.2">
      <c r="A45" s="1508"/>
      <c r="B45" s="1512"/>
      <c r="C45" s="1609">
        <v>4210</v>
      </c>
      <c r="D45" s="1610" t="s">
        <v>17</v>
      </c>
      <c r="E45" s="1611">
        <v>28000</v>
      </c>
      <c r="F45" s="1612"/>
      <c r="G45" s="1613">
        <f>F45/E45</f>
        <v>0</v>
      </c>
      <c r="H45" s="1603">
        <v>0</v>
      </c>
      <c r="I45" s="1614">
        <f>(H45+F45)/E45</f>
        <v>0</v>
      </c>
      <c r="J45" s="1607">
        <v>8964.86</v>
      </c>
      <c r="K45" s="1615">
        <v>9000</v>
      </c>
      <c r="L45" s="1574">
        <f t="shared" si="8"/>
        <v>0.32017357142857145</v>
      </c>
      <c r="M45" s="1616"/>
      <c r="N45" s="1422"/>
      <c r="O45" s="1427"/>
    </row>
    <row r="46" spans="1:16" x14ac:dyDescent="0.2">
      <c r="A46" s="1508"/>
      <c r="B46" s="1512"/>
      <c r="C46" s="1609">
        <v>4300</v>
      </c>
      <c r="D46" s="1595" t="s">
        <v>18</v>
      </c>
      <c r="E46" s="1617">
        <f>E48+E51+E52+E53+E54+E49</f>
        <v>2270522.1800000002</v>
      </c>
      <c r="F46" s="1618"/>
      <c r="G46" s="1613">
        <f>F46/E46</f>
        <v>0</v>
      </c>
      <c r="H46" s="1603">
        <f>H48+H51+H53</f>
        <v>0</v>
      </c>
      <c r="I46" s="1614">
        <f>(H46+F46)/E46</f>
        <v>0</v>
      </c>
      <c r="J46" s="1607">
        <f>J48+J51+J53+J52+J54+J49+J50</f>
        <v>2067162.1199999999</v>
      </c>
      <c r="K46" s="1615">
        <f>K48+K51+K53+K52+K54</f>
        <v>0</v>
      </c>
      <c r="L46" s="1574">
        <f t="shared" si="8"/>
        <v>0.9104346736661254</v>
      </c>
      <c r="M46" s="1608">
        <f>M48+M51+M54+M49+M50+M52+M53</f>
        <v>185596.97</v>
      </c>
      <c r="N46" s="1422"/>
      <c r="O46" s="1428"/>
    </row>
    <row r="47" spans="1:16" x14ac:dyDescent="0.2">
      <c r="A47" s="1508"/>
      <c r="B47" s="1512"/>
      <c r="C47" s="1514"/>
      <c r="D47" s="1515" t="s">
        <v>108</v>
      </c>
      <c r="E47" s="1434"/>
      <c r="F47" s="1516"/>
      <c r="G47" s="1513"/>
      <c r="H47" s="1517"/>
      <c r="I47" s="1518"/>
      <c r="J47" s="1519"/>
      <c r="K47" s="1511"/>
      <c r="L47" s="1520"/>
      <c r="M47" s="1521"/>
      <c r="N47" s="1422"/>
      <c r="O47" s="1412"/>
    </row>
    <row r="48" spans="1:16" ht="24" x14ac:dyDescent="0.2">
      <c r="A48" s="1508"/>
      <c r="B48" s="1512"/>
      <c r="C48" s="1522"/>
      <c r="D48" s="1523" t="s">
        <v>1508</v>
      </c>
      <c r="E48" s="1524">
        <v>2188377.2200000002</v>
      </c>
      <c r="F48" s="1525"/>
      <c r="G48" s="1526">
        <f>F48/E48</f>
        <v>0</v>
      </c>
      <c r="H48" s="1527"/>
      <c r="I48" s="1528">
        <f>(H48+F48)/E48</f>
        <v>0</v>
      </c>
      <c r="J48" s="1529">
        <v>2006012.47</v>
      </c>
      <c r="K48" s="1530"/>
      <c r="L48" s="1531">
        <f>J48/E48</f>
        <v>0.91666667504425936</v>
      </c>
      <c r="M48" s="1532">
        <v>182364.77</v>
      </c>
      <c r="N48" s="1422"/>
      <c r="O48" s="1423"/>
    </row>
    <row r="49" spans="1:16" ht="36" x14ac:dyDescent="0.2">
      <c r="A49" s="1508"/>
      <c r="B49" s="1512"/>
      <c r="C49" s="1522"/>
      <c r="D49" s="1523" t="s">
        <v>1575</v>
      </c>
      <c r="E49" s="2242">
        <v>32294.959999999999</v>
      </c>
      <c r="F49" s="1525"/>
      <c r="G49" s="1526"/>
      <c r="H49" s="1527"/>
      <c r="I49" s="1528"/>
      <c r="J49" s="1529">
        <v>1800</v>
      </c>
      <c r="K49" s="1530"/>
      <c r="L49" s="2254">
        <f>(J49+J50)/E49</f>
        <v>0.60339322296729891</v>
      </c>
      <c r="M49" s="1532">
        <v>1156.2</v>
      </c>
      <c r="N49" s="1422"/>
      <c r="O49" s="1423"/>
    </row>
    <row r="50" spans="1:16" x14ac:dyDescent="0.2">
      <c r="A50" s="1508"/>
      <c r="B50" s="1512"/>
      <c r="C50" s="1522"/>
      <c r="D50" s="1523" t="s">
        <v>1507</v>
      </c>
      <c r="E50" s="2242"/>
      <c r="F50" s="1525"/>
      <c r="G50" s="1526"/>
      <c r="H50" s="1527"/>
      <c r="I50" s="1528"/>
      <c r="J50" s="1529">
        <f>1150.03+16536.53</f>
        <v>17686.559999999998</v>
      </c>
      <c r="K50" s="1530"/>
      <c r="L50" s="2254"/>
      <c r="M50" s="1533"/>
      <c r="N50" s="1422"/>
      <c r="O50" s="1423"/>
    </row>
    <row r="51" spans="1:16" x14ac:dyDescent="0.2">
      <c r="A51" s="1508"/>
      <c r="B51" s="1512"/>
      <c r="C51" s="1522"/>
      <c r="D51" s="1523" t="s">
        <v>1490</v>
      </c>
      <c r="E51" s="1524">
        <v>39500</v>
      </c>
      <c r="F51" s="1525"/>
      <c r="G51" s="1526">
        <f>F51/E51</f>
        <v>0</v>
      </c>
      <c r="H51" s="1527"/>
      <c r="I51" s="1534">
        <f t="shared" ref="I51:I54" si="10">(H51+F51)/E51</f>
        <v>0</v>
      </c>
      <c r="J51" s="1529">
        <v>34688.800000000003</v>
      </c>
      <c r="K51" s="1535"/>
      <c r="L51" s="1531">
        <f t="shared" ref="L51:L54" si="11">J51/E51</f>
        <v>0.87819746835443047</v>
      </c>
      <c r="M51" s="1533">
        <v>1731.6</v>
      </c>
      <c r="N51" s="1422"/>
      <c r="O51" s="1423"/>
    </row>
    <row r="52" spans="1:16" x14ac:dyDescent="0.2">
      <c r="A52" s="1508"/>
      <c r="B52" s="1512"/>
      <c r="C52" s="1522"/>
      <c r="D52" s="1523" t="s">
        <v>1491</v>
      </c>
      <c r="E52" s="1524">
        <v>3000</v>
      </c>
      <c r="F52" s="1525"/>
      <c r="G52" s="1526">
        <f>F52/E52</f>
        <v>0</v>
      </c>
      <c r="H52" s="1527"/>
      <c r="I52" s="1534">
        <f t="shared" si="10"/>
        <v>0</v>
      </c>
      <c r="J52" s="1529">
        <v>0</v>
      </c>
      <c r="K52" s="1535"/>
      <c r="L52" s="1531">
        <f t="shared" si="11"/>
        <v>0</v>
      </c>
      <c r="M52" s="1533"/>
      <c r="N52" s="1422"/>
      <c r="O52" s="1423"/>
    </row>
    <row r="53" spans="1:16" ht="24" x14ac:dyDescent="0.2">
      <c r="A53" s="1508"/>
      <c r="B53" s="1512"/>
      <c r="C53" s="1522"/>
      <c r="D53" s="1523" t="s">
        <v>1492</v>
      </c>
      <c r="E53" s="1524">
        <v>3200</v>
      </c>
      <c r="F53" s="1525"/>
      <c r="G53" s="1526"/>
      <c r="H53" s="1536"/>
      <c r="I53" s="1534">
        <f t="shared" si="10"/>
        <v>0</v>
      </c>
      <c r="J53" s="1529">
        <v>3185.89</v>
      </c>
      <c r="K53" s="1535"/>
      <c r="L53" s="1531">
        <f t="shared" si="11"/>
        <v>0.99559062499999995</v>
      </c>
      <c r="M53" s="1533"/>
      <c r="N53" s="1422"/>
      <c r="O53" s="1423"/>
    </row>
    <row r="54" spans="1:16" x14ac:dyDescent="0.2">
      <c r="A54" s="1508"/>
      <c r="B54" s="1512"/>
      <c r="C54" s="1522"/>
      <c r="D54" s="1537" t="s">
        <v>1493</v>
      </c>
      <c r="E54" s="1538">
        <v>4150</v>
      </c>
      <c r="F54" s="1539"/>
      <c r="G54" s="1540"/>
      <c r="H54" s="1541"/>
      <c r="I54" s="1542">
        <f t="shared" si="10"/>
        <v>0</v>
      </c>
      <c r="J54" s="1543">
        <v>3788.4</v>
      </c>
      <c r="K54" s="1511"/>
      <c r="L54" s="1544">
        <f t="shared" si="11"/>
        <v>0.91286746987951806</v>
      </c>
      <c r="M54" s="1545">
        <v>344.4</v>
      </c>
      <c r="N54" s="1422"/>
      <c r="O54" s="1423"/>
    </row>
    <row r="55" spans="1:16" ht="25.5" x14ac:dyDescent="0.2">
      <c r="A55" s="1508"/>
      <c r="B55" s="1510"/>
      <c r="C55" s="1599">
        <v>4440</v>
      </c>
      <c r="D55" s="1619" t="s">
        <v>44</v>
      </c>
      <c r="E55" s="1570">
        <v>4446</v>
      </c>
      <c r="F55" s="1620"/>
      <c r="G55" s="1602">
        <f t="shared" ref="G55:G57" si="12">F55/E55</f>
        <v>0</v>
      </c>
      <c r="H55" s="1603">
        <v>0</v>
      </c>
      <c r="I55" s="1604"/>
      <c r="J55" s="1621">
        <v>4446</v>
      </c>
      <c r="K55" s="1488"/>
      <c r="L55" s="1622">
        <f>J55/E55</f>
        <v>1</v>
      </c>
      <c r="M55" s="1623"/>
      <c r="N55" s="1429"/>
      <c r="O55" s="1430"/>
      <c r="P55" s="1410"/>
    </row>
    <row r="56" spans="1:16" ht="38.25" x14ac:dyDescent="0.2">
      <c r="A56" s="1508"/>
      <c r="B56" s="1512"/>
      <c r="C56" s="1624" t="s">
        <v>941</v>
      </c>
      <c r="D56" s="1625" t="s">
        <v>942</v>
      </c>
      <c r="E56" s="1570">
        <v>500</v>
      </c>
      <c r="F56" s="1570">
        <v>500</v>
      </c>
      <c r="G56" s="1570">
        <v>500</v>
      </c>
      <c r="H56" s="1570">
        <v>500</v>
      </c>
      <c r="I56" s="1571">
        <v>500</v>
      </c>
      <c r="J56" s="1572">
        <v>500</v>
      </c>
      <c r="K56" s="1488"/>
      <c r="L56" s="1622">
        <f t="shared" ref="L56:L57" si="13">J56/E56</f>
        <v>1</v>
      </c>
      <c r="M56" s="1626"/>
      <c r="N56" s="1422"/>
      <c r="O56" s="1426"/>
    </row>
    <row r="57" spans="1:16" ht="26.25" thickBot="1" x14ac:dyDescent="0.25">
      <c r="A57" s="1508"/>
      <c r="B57" s="1510"/>
      <c r="C57" s="1627">
        <v>4700</v>
      </c>
      <c r="D57" s="1628" t="s">
        <v>25</v>
      </c>
      <c r="E57" s="1629">
        <v>2000</v>
      </c>
      <c r="F57" s="1620"/>
      <c r="G57" s="1602">
        <f t="shared" si="12"/>
        <v>0</v>
      </c>
      <c r="H57" s="1603">
        <v>0</v>
      </c>
      <c r="I57" s="1603"/>
      <c r="J57" s="1630">
        <v>837</v>
      </c>
      <c r="K57" s="1488"/>
      <c r="L57" s="1631">
        <f t="shared" si="13"/>
        <v>0.41849999999999998</v>
      </c>
      <c r="M57" s="1632"/>
      <c r="N57" s="1429"/>
      <c r="O57" s="1430"/>
      <c r="P57" s="1410"/>
    </row>
    <row r="58" spans="1:16" ht="25.5" customHeight="1" thickBot="1" x14ac:dyDescent="0.25">
      <c r="A58" s="1546"/>
      <c r="B58" s="1547"/>
      <c r="C58" s="1547"/>
      <c r="D58" s="1548" t="s">
        <v>288</v>
      </c>
      <c r="E58" s="1474">
        <f>(E17)+0.01</f>
        <v>2494519.27</v>
      </c>
      <c r="F58" s="1474" t="e">
        <f>(F17)+0.01</f>
        <v>#REF!</v>
      </c>
      <c r="G58" s="1474" t="e">
        <f>(G17)+0.01</f>
        <v>#REF!</v>
      </c>
      <c r="H58" s="1474" t="e">
        <f>(H17)+0.01</f>
        <v>#REF!</v>
      </c>
      <c r="I58" s="1475" t="e">
        <f>(I17)+0.01</f>
        <v>#REF!</v>
      </c>
      <c r="J58" s="1476">
        <f>(J17)</f>
        <v>2270296.961292</v>
      </c>
      <c r="K58" s="1549"/>
      <c r="L58" s="1550">
        <f>J58/E58</f>
        <v>0.91011402020237753</v>
      </c>
      <c r="M58" s="1551">
        <f>M17</f>
        <v>199240.52</v>
      </c>
      <c r="N58" s="1422"/>
      <c r="O58" s="1412"/>
    </row>
    <row r="59" spans="1:16" ht="32.25" customHeight="1" x14ac:dyDescent="0.2">
      <c r="A59" s="2240" t="s">
        <v>1524</v>
      </c>
      <c r="B59" s="2240"/>
      <c r="C59" s="2240"/>
      <c r="D59" s="2240"/>
      <c r="E59" s="2240"/>
      <c r="F59" s="2240"/>
      <c r="G59" s="2240"/>
      <c r="H59" s="2240"/>
      <c r="I59" s="2240"/>
      <c r="J59" s="2240"/>
      <c r="K59" s="2240"/>
      <c r="L59" s="2240"/>
      <c r="M59" s="2240"/>
    </row>
    <row r="60" spans="1:16" x14ac:dyDescent="0.2">
      <c r="A60" s="1552" t="s">
        <v>1502</v>
      </c>
      <c r="B60" s="1552"/>
      <c r="C60" s="1552"/>
      <c r="D60" s="1552"/>
      <c r="E60" s="1553"/>
      <c r="F60" s="1553"/>
      <c r="G60" s="1553"/>
      <c r="H60" s="1488"/>
      <c r="I60" s="1488"/>
      <c r="J60" s="1488"/>
      <c r="K60" s="1488"/>
      <c r="L60" s="1488"/>
      <c r="M60" s="1488"/>
    </row>
    <row r="61" spans="1:16" x14ac:dyDescent="0.2">
      <c r="A61" s="1553" t="s">
        <v>1503</v>
      </c>
      <c r="B61" s="1553"/>
      <c r="C61" s="1554"/>
      <c r="D61" s="1555">
        <v>192470.56</v>
      </c>
      <c r="E61" s="1553"/>
      <c r="F61" s="1553"/>
      <c r="G61" s="1553"/>
      <c r="H61" s="1488"/>
      <c r="I61" s="1488"/>
      <c r="J61" s="1488"/>
      <c r="K61" s="1488"/>
      <c r="L61" s="1488"/>
      <c r="M61" s="1488"/>
    </row>
    <row r="62" spans="1:16" x14ac:dyDescent="0.2">
      <c r="A62" s="1553" t="s">
        <v>1504</v>
      </c>
      <c r="B62" s="1553"/>
      <c r="C62" s="1554"/>
      <c r="D62" s="1555">
        <v>137553.07</v>
      </c>
      <c r="E62" s="1553"/>
      <c r="F62" s="1553"/>
      <c r="G62" s="1553"/>
      <c r="H62" s="1488"/>
      <c r="I62" s="1488"/>
      <c r="J62" s="1488"/>
      <c r="K62" s="1488"/>
      <c r="L62" s="1488"/>
      <c r="M62" s="1488"/>
    </row>
    <row r="63" spans="1:16" s="1411" customFormat="1" ht="30.75" customHeight="1" x14ac:dyDescent="0.25">
      <c r="A63" s="2245" t="s">
        <v>1517</v>
      </c>
      <c r="B63" s="2245"/>
      <c r="C63" s="1556" t="s">
        <v>1520</v>
      </c>
      <c r="D63" s="1557">
        <v>105831.27</v>
      </c>
      <c r="E63" s="1558"/>
      <c r="F63" s="1559"/>
      <c r="G63" s="1560"/>
      <c r="H63" s="1561"/>
      <c r="I63" s="1561"/>
      <c r="J63" s="1561"/>
      <c r="K63" s="1561"/>
      <c r="L63" s="1561"/>
      <c r="M63" s="1561"/>
    </row>
    <row r="64" spans="1:16" x14ac:dyDescent="0.2">
      <c r="A64" s="2246" t="s">
        <v>1519</v>
      </c>
      <c r="B64" s="2246"/>
      <c r="C64" s="1554" t="s">
        <v>1521</v>
      </c>
      <c r="D64" s="1555">
        <v>-60366.85</v>
      </c>
      <c r="E64" s="1553"/>
      <c r="F64" s="1553"/>
      <c r="G64" s="1553"/>
      <c r="H64" s="1488"/>
      <c r="I64" s="1488"/>
      <c r="J64" s="1488"/>
      <c r="K64" s="1488"/>
      <c r="L64" s="1488"/>
      <c r="M64" s="1488"/>
    </row>
    <row r="65" spans="1:13" s="1413" customFormat="1" ht="17.25" customHeight="1" x14ac:dyDescent="0.25">
      <c r="A65" s="2237" t="s">
        <v>1518</v>
      </c>
      <c r="B65" s="2237"/>
      <c r="C65" s="1562" t="s">
        <v>1520</v>
      </c>
      <c r="D65" s="1563">
        <v>73503.759999999995</v>
      </c>
      <c r="E65" s="1562"/>
      <c r="F65" s="1562"/>
      <c r="G65" s="1562"/>
      <c r="H65" s="1562"/>
      <c r="I65" s="1562"/>
      <c r="J65" s="1562"/>
      <c r="K65" s="1562"/>
      <c r="L65" s="1562"/>
      <c r="M65" s="1562"/>
    </row>
    <row r="66" spans="1:13" s="1413" customFormat="1" ht="15.75" customHeight="1" x14ac:dyDescent="0.25">
      <c r="A66" s="2243" t="s">
        <v>1523</v>
      </c>
      <c r="B66" s="2243"/>
      <c r="C66" s="1562" t="s">
        <v>1522</v>
      </c>
      <c r="D66" s="1563">
        <f>J14-J58</f>
        <v>-83127.421291999985</v>
      </c>
      <c r="E66" s="1562"/>
      <c r="F66" s="1562"/>
      <c r="G66" s="1562"/>
      <c r="H66" s="1562"/>
      <c r="I66" s="1562"/>
      <c r="J66" s="1562"/>
      <c r="K66" s="1562"/>
      <c r="L66" s="1562"/>
      <c r="M66" s="1562"/>
    </row>
    <row r="67" spans="1:13" ht="23.25" customHeight="1" x14ac:dyDescent="0.2">
      <c r="A67" s="2244" t="s">
        <v>1525</v>
      </c>
      <c r="B67" s="2244"/>
      <c r="C67" s="2244"/>
      <c r="D67" s="1564">
        <f>D61+D62+D63+D64+D65+D66</f>
        <v>365864.38870800007</v>
      </c>
      <c r="E67" s="1488"/>
      <c r="F67" s="1488"/>
      <c r="G67" s="1488"/>
      <c r="H67" s="1488"/>
      <c r="I67" s="1488"/>
      <c r="J67" s="1488"/>
      <c r="K67" s="1488"/>
      <c r="L67" s="1488"/>
      <c r="M67" s="1488"/>
    </row>
    <row r="68" spans="1:13" x14ac:dyDescent="0.2">
      <c r="A68" s="1488"/>
      <c r="B68" s="1488"/>
      <c r="C68" s="1488"/>
      <c r="D68" s="1565"/>
      <c r="E68" s="1488"/>
      <c r="F68" s="1488"/>
      <c r="G68" s="1488"/>
      <c r="H68" s="1488"/>
      <c r="I68" s="1488"/>
      <c r="J68" s="1488"/>
      <c r="K68" s="1488"/>
      <c r="L68" s="1488"/>
      <c r="M68" s="1488"/>
    </row>
    <row r="69" spans="1:13" ht="18.75" customHeight="1" x14ac:dyDescent="0.2">
      <c r="A69" s="2241" t="s">
        <v>1531</v>
      </c>
      <c r="B69" s="2241"/>
      <c r="C69" s="2241"/>
      <c r="D69" s="2241"/>
      <c r="E69" s="1488"/>
      <c r="F69" s="1488"/>
      <c r="G69" s="1488"/>
      <c r="H69" s="1488"/>
      <c r="I69" s="1488"/>
      <c r="J69" s="1488"/>
      <c r="K69" s="1488"/>
      <c r="L69" s="1488"/>
      <c r="M69" s="1488"/>
    </row>
    <row r="70" spans="1:13" ht="15" customHeight="1" x14ac:dyDescent="0.2">
      <c r="A70" s="2236" t="s">
        <v>1526</v>
      </c>
      <c r="B70" s="2236"/>
      <c r="C70" s="2236"/>
      <c r="D70" s="2236"/>
      <c r="E70" s="1566"/>
      <c r="F70" s="1488"/>
      <c r="G70" s="1488"/>
      <c r="H70" s="1488"/>
      <c r="I70" s="1488"/>
      <c r="J70" s="1567"/>
      <c r="K70" s="1488"/>
      <c r="L70" s="1488"/>
      <c r="M70" s="1488"/>
    </row>
    <row r="71" spans="1:13" ht="15" customHeight="1" x14ac:dyDescent="0.2">
      <c r="A71" s="2236" t="s">
        <v>1527</v>
      </c>
      <c r="B71" s="2236"/>
      <c r="C71" s="2236"/>
      <c r="D71" s="2236"/>
      <c r="E71" s="1566"/>
      <c r="F71" s="1488"/>
      <c r="G71" s="1488"/>
      <c r="H71" s="1488"/>
      <c r="I71" s="1488"/>
      <c r="J71" s="1567"/>
      <c r="K71" s="1488"/>
      <c r="L71" s="1488"/>
      <c r="M71" s="1488"/>
    </row>
    <row r="72" spans="1:13" ht="18.75" customHeight="1" x14ac:dyDescent="0.2">
      <c r="A72" s="2237" t="s">
        <v>1528</v>
      </c>
      <c r="B72" s="2237"/>
      <c r="C72" s="2237"/>
      <c r="D72" s="2237"/>
      <c r="E72" s="1566"/>
      <c r="F72" s="1488"/>
      <c r="G72" s="1488"/>
      <c r="H72" s="1488"/>
      <c r="I72" s="1488"/>
      <c r="J72" s="1567"/>
      <c r="K72" s="1488"/>
      <c r="L72" s="1488"/>
      <c r="M72" s="1488"/>
    </row>
    <row r="73" spans="1:13" ht="27" customHeight="1" x14ac:dyDescent="0.2">
      <c r="A73" s="2237" t="s">
        <v>1529</v>
      </c>
      <c r="B73" s="2237"/>
      <c r="C73" s="2237"/>
      <c r="D73" s="2237"/>
      <c r="E73" s="1566"/>
      <c r="F73" s="1488"/>
      <c r="G73" s="1488"/>
      <c r="H73" s="1488"/>
      <c r="I73" s="1488"/>
      <c r="J73" s="1567"/>
      <c r="K73" s="1488"/>
      <c r="L73" s="1488"/>
      <c r="M73" s="1488"/>
    </row>
    <row r="74" spans="1:13" x14ac:dyDescent="0.2">
      <c r="A74" s="1488"/>
      <c r="B74" s="1488"/>
      <c r="C74" s="1488"/>
      <c r="D74" s="1488"/>
      <c r="E74" s="1488"/>
      <c r="F74" s="1488"/>
      <c r="G74" s="1488"/>
      <c r="H74" s="1488"/>
      <c r="I74" s="1488"/>
      <c r="J74" s="1568"/>
      <c r="K74" s="1488"/>
      <c r="L74" s="1488"/>
      <c r="M74" s="1488"/>
    </row>
    <row r="184" spans="5:5" x14ac:dyDescent="0.2">
      <c r="E184" s="1410"/>
    </row>
  </sheetData>
  <mergeCells count="32">
    <mergeCell ref="C31:C35"/>
    <mergeCell ref="C38:C42"/>
    <mergeCell ref="L49:L50"/>
    <mergeCell ref="D1:H1"/>
    <mergeCell ref="A4:M4"/>
    <mergeCell ref="A6:D6"/>
    <mergeCell ref="A15:D15"/>
    <mergeCell ref="F15:H15"/>
    <mergeCell ref="D7:D8"/>
    <mergeCell ref="E7:E8"/>
    <mergeCell ref="J7:J8"/>
    <mergeCell ref="L7:L8"/>
    <mergeCell ref="M7:M8"/>
    <mergeCell ref="A7:A8"/>
    <mergeCell ref="B7:B8"/>
    <mergeCell ref="C7:C8"/>
    <mergeCell ref="A71:D71"/>
    <mergeCell ref="A72:D72"/>
    <mergeCell ref="A73:D73"/>
    <mergeCell ref="O7:O8"/>
    <mergeCell ref="J2:O2"/>
    <mergeCell ref="A59:M59"/>
    <mergeCell ref="A69:D69"/>
    <mergeCell ref="A70:D70"/>
    <mergeCell ref="E49:E50"/>
    <mergeCell ref="A66:B66"/>
    <mergeCell ref="A67:C67"/>
    <mergeCell ref="A63:B63"/>
    <mergeCell ref="A64:B64"/>
    <mergeCell ref="A65:B65"/>
    <mergeCell ref="C19:C23"/>
    <mergeCell ref="C25:C29"/>
  </mergeCells>
  <pageMargins left="0.78740157480314965" right="0" top="0.59055118110236227" bottom="0.39370078740157483" header="0.11811023622047245" footer="0.11811023622047245"/>
  <pageSetup paperSize="9" scale="76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6"/>
  <sheetViews>
    <sheetView showGridLines="0" tabSelected="1" topLeftCell="A212" zoomScaleNormal="100" workbookViewId="0">
      <selection activeCell="H221" sqref="H221"/>
    </sheetView>
  </sheetViews>
  <sheetFormatPr defaultRowHeight="12.75" x14ac:dyDescent="0.2"/>
  <cols>
    <col min="1" max="1" width="5.28515625" style="1340" customWidth="1"/>
    <col min="2" max="2" width="8.140625" style="1340" customWidth="1"/>
    <col min="3" max="3" width="8.42578125" style="1340" customWidth="1"/>
    <col min="4" max="4" width="28.7109375" style="1340" customWidth="1"/>
    <col min="5" max="5" width="13.140625" style="1340" customWidth="1"/>
    <col min="6" max="6" width="11" style="1340" customWidth="1"/>
    <col min="7" max="7" width="12.5703125" style="1340" customWidth="1"/>
    <col min="8" max="8" width="12.42578125" style="1340" customWidth="1"/>
    <col min="9" max="9" width="11.7109375" style="1340" customWidth="1"/>
    <col min="10" max="10" width="8.7109375" style="1340" customWidth="1"/>
    <col min="11" max="11" width="12.7109375" style="1340" customWidth="1"/>
    <col min="12" max="12" width="10.42578125" style="1340" customWidth="1"/>
    <col min="13" max="250" width="9.140625" style="1340"/>
    <col min="251" max="251" width="2.140625" style="1340" customWidth="1"/>
    <col min="252" max="252" width="8.7109375" style="1340" customWidth="1"/>
    <col min="253" max="253" width="9.85546875" style="1340" customWidth="1"/>
    <col min="254" max="254" width="1" style="1340" customWidth="1"/>
    <col min="255" max="255" width="10.85546875" style="1340" customWidth="1"/>
    <col min="256" max="256" width="1" style="1340" customWidth="1"/>
    <col min="257" max="257" width="53.5703125" style="1340" customWidth="1"/>
    <col min="258" max="258" width="7.5703125" style="1340" customWidth="1"/>
    <col min="259" max="259" width="14.140625" style="1340" customWidth="1"/>
    <col min="260" max="260" width="1" style="1340" customWidth="1"/>
    <col min="261" max="506" width="9.140625" style="1340"/>
    <col min="507" max="507" width="2.140625" style="1340" customWidth="1"/>
    <col min="508" max="508" width="8.7109375" style="1340" customWidth="1"/>
    <col min="509" max="509" width="9.85546875" style="1340" customWidth="1"/>
    <col min="510" max="510" width="1" style="1340" customWidth="1"/>
    <col min="511" max="511" width="10.85546875" style="1340" customWidth="1"/>
    <col min="512" max="512" width="1" style="1340" customWidth="1"/>
    <col min="513" max="513" width="53.5703125" style="1340" customWidth="1"/>
    <col min="514" max="514" width="7.5703125" style="1340" customWidth="1"/>
    <col min="515" max="515" width="14.140625" style="1340" customWidth="1"/>
    <col min="516" max="516" width="1" style="1340" customWidth="1"/>
    <col min="517" max="762" width="9.140625" style="1340"/>
    <col min="763" max="763" width="2.140625" style="1340" customWidth="1"/>
    <col min="764" max="764" width="8.7109375" style="1340" customWidth="1"/>
    <col min="765" max="765" width="9.85546875" style="1340" customWidth="1"/>
    <col min="766" max="766" width="1" style="1340" customWidth="1"/>
    <col min="767" max="767" width="10.85546875" style="1340" customWidth="1"/>
    <col min="768" max="768" width="1" style="1340" customWidth="1"/>
    <col min="769" max="769" width="53.5703125" style="1340" customWidth="1"/>
    <col min="770" max="770" width="7.5703125" style="1340" customWidth="1"/>
    <col min="771" max="771" width="14.140625" style="1340" customWidth="1"/>
    <col min="772" max="772" width="1" style="1340" customWidth="1"/>
    <col min="773" max="1018" width="9.140625" style="1340"/>
    <col min="1019" max="1019" width="2.140625" style="1340" customWidth="1"/>
    <col min="1020" max="1020" width="8.7109375" style="1340" customWidth="1"/>
    <col min="1021" max="1021" width="9.85546875" style="1340" customWidth="1"/>
    <col min="1022" max="1022" width="1" style="1340" customWidth="1"/>
    <col min="1023" max="1023" width="10.85546875" style="1340" customWidth="1"/>
    <col min="1024" max="1024" width="1" style="1340" customWidth="1"/>
    <col min="1025" max="1025" width="53.5703125" style="1340" customWidth="1"/>
    <col min="1026" max="1026" width="7.5703125" style="1340" customWidth="1"/>
    <col min="1027" max="1027" width="14.140625" style="1340" customWidth="1"/>
    <col min="1028" max="1028" width="1" style="1340" customWidth="1"/>
    <col min="1029" max="1274" width="9.140625" style="1340"/>
    <col min="1275" max="1275" width="2.140625" style="1340" customWidth="1"/>
    <col min="1276" max="1276" width="8.7109375" style="1340" customWidth="1"/>
    <col min="1277" max="1277" width="9.85546875" style="1340" customWidth="1"/>
    <col min="1278" max="1278" width="1" style="1340" customWidth="1"/>
    <col min="1279" max="1279" width="10.85546875" style="1340" customWidth="1"/>
    <col min="1280" max="1280" width="1" style="1340" customWidth="1"/>
    <col min="1281" max="1281" width="53.5703125" style="1340" customWidth="1"/>
    <col min="1282" max="1282" width="7.5703125" style="1340" customWidth="1"/>
    <col min="1283" max="1283" width="14.140625" style="1340" customWidth="1"/>
    <col min="1284" max="1284" width="1" style="1340" customWidth="1"/>
    <col min="1285" max="1530" width="9.140625" style="1340"/>
    <col min="1531" max="1531" width="2.140625" style="1340" customWidth="1"/>
    <col min="1532" max="1532" width="8.7109375" style="1340" customWidth="1"/>
    <col min="1533" max="1533" width="9.85546875" style="1340" customWidth="1"/>
    <col min="1534" max="1534" width="1" style="1340" customWidth="1"/>
    <col min="1535" max="1535" width="10.85546875" style="1340" customWidth="1"/>
    <col min="1536" max="1536" width="1" style="1340" customWidth="1"/>
    <col min="1537" max="1537" width="53.5703125" style="1340" customWidth="1"/>
    <col min="1538" max="1538" width="7.5703125" style="1340" customWidth="1"/>
    <col min="1539" max="1539" width="14.140625" style="1340" customWidth="1"/>
    <col min="1540" max="1540" width="1" style="1340" customWidth="1"/>
    <col min="1541" max="1786" width="9.140625" style="1340"/>
    <col min="1787" max="1787" width="2.140625" style="1340" customWidth="1"/>
    <col min="1788" max="1788" width="8.7109375" style="1340" customWidth="1"/>
    <col min="1789" max="1789" width="9.85546875" style="1340" customWidth="1"/>
    <col min="1790" max="1790" width="1" style="1340" customWidth="1"/>
    <col min="1791" max="1791" width="10.85546875" style="1340" customWidth="1"/>
    <col min="1792" max="1792" width="1" style="1340" customWidth="1"/>
    <col min="1793" max="1793" width="53.5703125" style="1340" customWidth="1"/>
    <col min="1794" max="1794" width="7.5703125" style="1340" customWidth="1"/>
    <col min="1795" max="1795" width="14.140625" style="1340" customWidth="1"/>
    <col min="1796" max="1796" width="1" style="1340" customWidth="1"/>
    <col min="1797" max="2042" width="9.140625" style="1340"/>
    <col min="2043" max="2043" width="2.140625" style="1340" customWidth="1"/>
    <col min="2044" max="2044" width="8.7109375" style="1340" customWidth="1"/>
    <col min="2045" max="2045" width="9.85546875" style="1340" customWidth="1"/>
    <col min="2046" max="2046" width="1" style="1340" customWidth="1"/>
    <col min="2047" max="2047" width="10.85546875" style="1340" customWidth="1"/>
    <col min="2048" max="2048" width="1" style="1340" customWidth="1"/>
    <col min="2049" max="2049" width="53.5703125" style="1340" customWidth="1"/>
    <col min="2050" max="2050" width="7.5703125" style="1340" customWidth="1"/>
    <col min="2051" max="2051" width="14.140625" style="1340" customWidth="1"/>
    <col min="2052" max="2052" width="1" style="1340" customWidth="1"/>
    <col min="2053" max="2298" width="9.140625" style="1340"/>
    <col min="2299" max="2299" width="2.140625" style="1340" customWidth="1"/>
    <col min="2300" max="2300" width="8.7109375" style="1340" customWidth="1"/>
    <col min="2301" max="2301" width="9.85546875" style="1340" customWidth="1"/>
    <col min="2302" max="2302" width="1" style="1340" customWidth="1"/>
    <col min="2303" max="2303" width="10.85546875" style="1340" customWidth="1"/>
    <col min="2304" max="2304" width="1" style="1340" customWidth="1"/>
    <col min="2305" max="2305" width="53.5703125" style="1340" customWidth="1"/>
    <col min="2306" max="2306" width="7.5703125" style="1340" customWidth="1"/>
    <col min="2307" max="2307" width="14.140625" style="1340" customWidth="1"/>
    <col min="2308" max="2308" width="1" style="1340" customWidth="1"/>
    <col min="2309" max="2554" width="9.140625" style="1340"/>
    <col min="2555" max="2555" width="2.140625" style="1340" customWidth="1"/>
    <col min="2556" max="2556" width="8.7109375" style="1340" customWidth="1"/>
    <col min="2557" max="2557" width="9.85546875" style="1340" customWidth="1"/>
    <col min="2558" max="2558" width="1" style="1340" customWidth="1"/>
    <col min="2559" max="2559" width="10.85546875" style="1340" customWidth="1"/>
    <col min="2560" max="2560" width="1" style="1340" customWidth="1"/>
    <col min="2561" max="2561" width="53.5703125" style="1340" customWidth="1"/>
    <col min="2562" max="2562" width="7.5703125" style="1340" customWidth="1"/>
    <col min="2563" max="2563" width="14.140625" style="1340" customWidth="1"/>
    <col min="2564" max="2564" width="1" style="1340" customWidth="1"/>
    <col min="2565" max="2810" width="9.140625" style="1340"/>
    <col min="2811" max="2811" width="2.140625" style="1340" customWidth="1"/>
    <col min="2812" max="2812" width="8.7109375" style="1340" customWidth="1"/>
    <col min="2813" max="2813" width="9.85546875" style="1340" customWidth="1"/>
    <col min="2814" max="2814" width="1" style="1340" customWidth="1"/>
    <col min="2815" max="2815" width="10.85546875" style="1340" customWidth="1"/>
    <col min="2816" max="2816" width="1" style="1340" customWidth="1"/>
    <col min="2817" max="2817" width="53.5703125" style="1340" customWidth="1"/>
    <col min="2818" max="2818" width="7.5703125" style="1340" customWidth="1"/>
    <col min="2819" max="2819" width="14.140625" style="1340" customWidth="1"/>
    <col min="2820" max="2820" width="1" style="1340" customWidth="1"/>
    <col min="2821" max="3066" width="9.140625" style="1340"/>
    <col min="3067" max="3067" width="2.140625" style="1340" customWidth="1"/>
    <col min="3068" max="3068" width="8.7109375" style="1340" customWidth="1"/>
    <col min="3069" max="3069" width="9.85546875" style="1340" customWidth="1"/>
    <col min="3070" max="3070" width="1" style="1340" customWidth="1"/>
    <col min="3071" max="3071" width="10.85546875" style="1340" customWidth="1"/>
    <col min="3072" max="3072" width="1" style="1340" customWidth="1"/>
    <col min="3073" max="3073" width="53.5703125" style="1340" customWidth="1"/>
    <col min="3074" max="3074" width="7.5703125" style="1340" customWidth="1"/>
    <col min="3075" max="3075" width="14.140625" style="1340" customWidth="1"/>
    <col min="3076" max="3076" width="1" style="1340" customWidth="1"/>
    <col min="3077" max="3322" width="9.140625" style="1340"/>
    <col min="3323" max="3323" width="2.140625" style="1340" customWidth="1"/>
    <col min="3324" max="3324" width="8.7109375" style="1340" customWidth="1"/>
    <col min="3325" max="3325" width="9.85546875" style="1340" customWidth="1"/>
    <col min="3326" max="3326" width="1" style="1340" customWidth="1"/>
    <col min="3327" max="3327" width="10.85546875" style="1340" customWidth="1"/>
    <col min="3328" max="3328" width="1" style="1340" customWidth="1"/>
    <col min="3329" max="3329" width="53.5703125" style="1340" customWidth="1"/>
    <col min="3330" max="3330" width="7.5703125" style="1340" customWidth="1"/>
    <col min="3331" max="3331" width="14.140625" style="1340" customWidth="1"/>
    <col min="3332" max="3332" width="1" style="1340" customWidth="1"/>
    <col min="3333" max="3578" width="9.140625" style="1340"/>
    <col min="3579" max="3579" width="2.140625" style="1340" customWidth="1"/>
    <col min="3580" max="3580" width="8.7109375" style="1340" customWidth="1"/>
    <col min="3581" max="3581" width="9.85546875" style="1340" customWidth="1"/>
    <col min="3582" max="3582" width="1" style="1340" customWidth="1"/>
    <col min="3583" max="3583" width="10.85546875" style="1340" customWidth="1"/>
    <col min="3584" max="3584" width="1" style="1340" customWidth="1"/>
    <col min="3585" max="3585" width="53.5703125" style="1340" customWidth="1"/>
    <col min="3586" max="3586" width="7.5703125" style="1340" customWidth="1"/>
    <col min="3587" max="3587" width="14.140625" style="1340" customWidth="1"/>
    <col min="3588" max="3588" width="1" style="1340" customWidth="1"/>
    <col min="3589" max="3834" width="9.140625" style="1340"/>
    <col min="3835" max="3835" width="2.140625" style="1340" customWidth="1"/>
    <col min="3836" max="3836" width="8.7109375" style="1340" customWidth="1"/>
    <col min="3837" max="3837" width="9.85546875" style="1340" customWidth="1"/>
    <col min="3838" max="3838" width="1" style="1340" customWidth="1"/>
    <col min="3839" max="3839" width="10.85546875" style="1340" customWidth="1"/>
    <col min="3840" max="3840" width="1" style="1340" customWidth="1"/>
    <col min="3841" max="3841" width="53.5703125" style="1340" customWidth="1"/>
    <col min="3842" max="3842" width="7.5703125" style="1340" customWidth="1"/>
    <col min="3843" max="3843" width="14.140625" style="1340" customWidth="1"/>
    <col min="3844" max="3844" width="1" style="1340" customWidth="1"/>
    <col min="3845" max="4090" width="9.140625" style="1340"/>
    <col min="4091" max="4091" width="2.140625" style="1340" customWidth="1"/>
    <col min="4092" max="4092" width="8.7109375" style="1340" customWidth="1"/>
    <col min="4093" max="4093" width="9.85546875" style="1340" customWidth="1"/>
    <col min="4094" max="4094" width="1" style="1340" customWidth="1"/>
    <col min="4095" max="4095" width="10.85546875" style="1340" customWidth="1"/>
    <col min="4096" max="4096" width="1" style="1340" customWidth="1"/>
    <col min="4097" max="4097" width="53.5703125" style="1340" customWidth="1"/>
    <col min="4098" max="4098" width="7.5703125" style="1340" customWidth="1"/>
    <col min="4099" max="4099" width="14.140625" style="1340" customWidth="1"/>
    <col min="4100" max="4100" width="1" style="1340" customWidth="1"/>
    <col min="4101" max="4346" width="9.140625" style="1340"/>
    <col min="4347" max="4347" width="2.140625" style="1340" customWidth="1"/>
    <col min="4348" max="4348" width="8.7109375" style="1340" customWidth="1"/>
    <col min="4349" max="4349" width="9.85546875" style="1340" customWidth="1"/>
    <col min="4350" max="4350" width="1" style="1340" customWidth="1"/>
    <col min="4351" max="4351" width="10.85546875" style="1340" customWidth="1"/>
    <col min="4352" max="4352" width="1" style="1340" customWidth="1"/>
    <col min="4353" max="4353" width="53.5703125" style="1340" customWidth="1"/>
    <col min="4354" max="4354" width="7.5703125" style="1340" customWidth="1"/>
    <col min="4355" max="4355" width="14.140625" style="1340" customWidth="1"/>
    <col min="4356" max="4356" width="1" style="1340" customWidth="1"/>
    <col min="4357" max="4602" width="9.140625" style="1340"/>
    <col min="4603" max="4603" width="2.140625" style="1340" customWidth="1"/>
    <col min="4604" max="4604" width="8.7109375" style="1340" customWidth="1"/>
    <col min="4605" max="4605" width="9.85546875" style="1340" customWidth="1"/>
    <col min="4606" max="4606" width="1" style="1340" customWidth="1"/>
    <col min="4607" max="4607" width="10.85546875" style="1340" customWidth="1"/>
    <col min="4608" max="4608" width="1" style="1340" customWidth="1"/>
    <col min="4609" max="4609" width="53.5703125" style="1340" customWidth="1"/>
    <col min="4610" max="4610" width="7.5703125" style="1340" customWidth="1"/>
    <col min="4611" max="4611" width="14.140625" style="1340" customWidth="1"/>
    <col min="4612" max="4612" width="1" style="1340" customWidth="1"/>
    <col min="4613" max="4858" width="9.140625" style="1340"/>
    <col min="4859" max="4859" width="2.140625" style="1340" customWidth="1"/>
    <col min="4860" max="4860" width="8.7109375" style="1340" customWidth="1"/>
    <col min="4861" max="4861" width="9.85546875" style="1340" customWidth="1"/>
    <col min="4862" max="4862" width="1" style="1340" customWidth="1"/>
    <col min="4863" max="4863" width="10.85546875" style="1340" customWidth="1"/>
    <col min="4864" max="4864" width="1" style="1340" customWidth="1"/>
    <col min="4865" max="4865" width="53.5703125" style="1340" customWidth="1"/>
    <col min="4866" max="4866" width="7.5703125" style="1340" customWidth="1"/>
    <col min="4867" max="4867" width="14.140625" style="1340" customWidth="1"/>
    <col min="4868" max="4868" width="1" style="1340" customWidth="1"/>
    <col min="4869" max="5114" width="9.140625" style="1340"/>
    <col min="5115" max="5115" width="2.140625" style="1340" customWidth="1"/>
    <col min="5116" max="5116" width="8.7109375" style="1340" customWidth="1"/>
    <col min="5117" max="5117" width="9.85546875" style="1340" customWidth="1"/>
    <col min="5118" max="5118" width="1" style="1340" customWidth="1"/>
    <col min="5119" max="5119" width="10.85546875" style="1340" customWidth="1"/>
    <col min="5120" max="5120" width="1" style="1340" customWidth="1"/>
    <col min="5121" max="5121" width="53.5703125" style="1340" customWidth="1"/>
    <col min="5122" max="5122" width="7.5703125" style="1340" customWidth="1"/>
    <col min="5123" max="5123" width="14.140625" style="1340" customWidth="1"/>
    <col min="5124" max="5124" width="1" style="1340" customWidth="1"/>
    <col min="5125" max="5370" width="9.140625" style="1340"/>
    <col min="5371" max="5371" width="2.140625" style="1340" customWidth="1"/>
    <col min="5372" max="5372" width="8.7109375" style="1340" customWidth="1"/>
    <col min="5373" max="5373" width="9.85546875" style="1340" customWidth="1"/>
    <col min="5374" max="5374" width="1" style="1340" customWidth="1"/>
    <col min="5375" max="5375" width="10.85546875" style="1340" customWidth="1"/>
    <col min="5376" max="5376" width="1" style="1340" customWidth="1"/>
    <col min="5377" max="5377" width="53.5703125" style="1340" customWidth="1"/>
    <col min="5378" max="5378" width="7.5703125" style="1340" customWidth="1"/>
    <col min="5379" max="5379" width="14.140625" style="1340" customWidth="1"/>
    <col min="5380" max="5380" width="1" style="1340" customWidth="1"/>
    <col min="5381" max="5626" width="9.140625" style="1340"/>
    <col min="5627" max="5627" width="2.140625" style="1340" customWidth="1"/>
    <col min="5628" max="5628" width="8.7109375" style="1340" customWidth="1"/>
    <col min="5629" max="5629" width="9.85546875" style="1340" customWidth="1"/>
    <col min="5630" max="5630" width="1" style="1340" customWidth="1"/>
    <col min="5631" max="5631" width="10.85546875" style="1340" customWidth="1"/>
    <col min="5632" max="5632" width="1" style="1340" customWidth="1"/>
    <col min="5633" max="5633" width="53.5703125" style="1340" customWidth="1"/>
    <col min="5634" max="5634" width="7.5703125" style="1340" customWidth="1"/>
    <col min="5635" max="5635" width="14.140625" style="1340" customWidth="1"/>
    <col min="5636" max="5636" width="1" style="1340" customWidth="1"/>
    <col min="5637" max="5882" width="9.140625" style="1340"/>
    <col min="5883" max="5883" width="2.140625" style="1340" customWidth="1"/>
    <col min="5884" max="5884" width="8.7109375" style="1340" customWidth="1"/>
    <col min="5885" max="5885" width="9.85546875" style="1340" customWidth="1"/>
    <col min="5886" max="5886" width="1" style="1340" customWidth="1"/>
    <col min="5887" max="5887" width="10.85546875" style="1340" customWidth="1"/>
    <col min="5888" max="5888" width="1" style="1340" customWidth="1"/>
    <col min="5889" max="5889" width="53.5703125" style="1340" customWidth="1"/>
    <col min="5890" max="5890" width="7.5703125" style="1340" customWidth="1"/>
    <col min="5891" max="5891" width="14.140625" style="1340" customWidth="1"/>
    <col min="5892" max="5892" width="1" style="1340" customWidth="1"/>
    <col min="5893" max="6138" width="9.140625" style="1340"/>
    <col min="6139" max="6139" width="2.140625" style="1340" customWidth="1"/>
    <col min="6140" max="6140" width="8.7109375" style="1340" customWidth="1"/>
    <col min="6141" max="6141" width="9.85546875" style="1340" customWidth="1"/>
    <col min="6142" max="6142" width="1" style="1340" customWidth="1"/>
    <col min="6143" max="6143" width="10.85546875" style="1340" customWidth="1"/>
    <col min="6144" max="6144" width="1" style="1340" customWidth="1"/>
    <col min="6145" max="6145" width="53.5703125" style="1340" customWidth="1"/>
    <col min="6146" max="6146" width="7.5703125" style="1340" customWidth="1"/>
    <col min="6147" max="6147" width="14.140625" style="1340" customWidth="1"/>
    <col min="6148" max="6148" width="1" style="1340" customWidth="1"/>
    <col min="6149" max="6394" width="9.140625" style="1340"/>
    <col min="6395" max="6395" width="2.140625" style="1340" customWidth="1"/>
    <col min="6396" max="6396" width="8.7109375" style="1340" customWidth="1"/>
    <col min="6397" max="6397" width="9.85546875" style="1340" customWidth="1"/>
    <col min="6398" max="6398" width="1" style="1340" customWidth="1"/>
    <col min="6399" max="6399" width="10.85546875" style="1340" customWidth="1"/>
    <col min="6400" max="6400" width="1" style="1340" customWidth="1"/>
    <col min="6401" max="6401" width="53.5703125" style="1340" customWidth="1"/>
    <col min="6402" max="6402" width="7.5703125" style="1340" customWidth="1"/>
    <col min="6403" max="6403" width="14.140625" style="1340" customWidth="1"/>
    <col min="6404" max="6404" width="1" style="1340" customWidth="1"/>
    <col min="6405" max="6650" width="9.140625" style="1340"/>
    <col min="6651" max="6651" width="2.140625" style="1340" customWidth="1"/>
    <col min="6652" max="6652" width="8.7109375" style="1340" customWidth="1"/>
    <col min="6653" max="6653" width="9.85546875" style="1340" customWidth="1"/>
    <col min="6654" max="6654" width="1" style="1340" customWidth="1"/>
    <col min="6655" max="6655" width="10.85546875" style="1340" customWidth="1"/>
    <col min="6656" max="6656" width="1" style="1340" customWidth="1"/>
    <col min="6657" max="6657" width="53.5703125" style="1340" customWidth="1"/>
    <col min="6658" max="6658" width="7.5703125" style="1340" customWidth="1"/>
    <col min="6659" max="6659" width="14.140625" style="1340" customWidth="1"/>
    <col min="6660" max="6660" width="1" style="1340" customWidth="1"/>
    <col min="6661" max="6906" width="9.140625" style="1340"/>
    <col min="6907" max="6907" width="2.140625" style="1340" customWidth="1"/>
    <col min="6908" max="6908" width="8.7109375" style="1340" customWidth="1"/>
    <col min="6909" max="6909" width="9.85546875" style="1340" customWidth="1"/>
    <col min="6910" max="6910" width="1" style="1340" customWidth="1"/>
    <col min="6911" max="6911" width="10.85546875" style="1340" customWidth="1"/>
    <col min="6912" max="6912" width="1" style="1340" customWidth="1"/>
    <col min="6913" max="6913" width="53.5703125" style="1340" customWidth="1"/>
    <col min="6914" max="6914" width="7.5703125" style="1340" customWidth="1"/>
    <col min="6915" max="6915" width="14.140625" style="1340" customWidth="1"/>
    <col min="6916" max="6916" width="1" style="1340" customWidth="1"/>
    <col min="6917" max="7162" width="9.140625" style="1340"/>
    <col min="7163" max="7163" width="2.140625" style="1340" customWidth="1"/>
    <col min="7164" max="7164" width="8.7109375" style="1340" customWidth="1"/>
    <col min="7165" max="7165" width="9.85546875" style="1340" customWidth="1"/>
    <col min="7166" max="7166" width="1" style="1340" customWidth="1"/>
    <col min="7167" max="7167" width="10.85546875" style="1340" customWidth="1"/>
    <col min="7168" max="7168" width="1" style="1340" customWidth="1"/>
    <col min="7169" max="7169" width="53.5703125" style="1340" customWidth="1"/>
    <col min="7170" max="7170" width="7.5703125" style="1340" customWidth="1"/>
    <col min="7171" max="7171" width="14.140625" style="1340" customWidth="1"/>
    <col min="7172" max="7172" width="1" style="1340" customWidth="1"/>
    <col min="7173" max="7418" width="9.140625" style="1340"/>
    <col min="7419" max="7419" width="2.140625" style="1340" customWidth="1"/>
    <col min="7420" max="7420" width="8.7109375" style="1340" customWidth="1"/>
    <col min="7421" max="7421" width="9.85546875" style="1340" customWidth="1"/>
    <col min="7422" max="7422" width="1" style="1340" customWidth="1"/>
    <col min="7423" max="7423" width="10.85546875" style="1340" customWidth="1"/>
    <col min="7424" max="7424" width="1" style="1340" customWidth="1"/>
    <col min="7425" max="7425" width="53.5703125" style="1340" customWidth="1"/>
    <col min="7426" max="7426" width="7.5703125" style="1340" customWidth="1"/>
    <col min="7427" max="7427" width="14.140625" style="1340" customWidth="1"/>
    <col min="7428" max="7428" width="1" style="1340" customWidth="1"/>
    <col min="7429" max="7674" width="9.140625" style="1340"/>
    <col min="7675" max="7675" width="2.140625" style="1340" customWidth="1"/>
    <col min="7676" max="7676" width="8.7109375" style="1340" customWidth="1"/>
    <col min="7677" max="7677" width="9.85546875" style="1340" customWidth="1"/>
    <col min="7678" max="7678" width="1" style="1340" customWidth="1"/>
    <col min="7679" max="7679" width="10.85546875" style="1340" customWidth="1"/>
    <col min="7680" max="7680" width="1" style="1340" customWidth="1"/>
    <col min="7681" max="7681" width="53.5703125" style="1340" customWidth="1"/>
    <col min="7682" max="7682" width="7.5703125" style="1340" customWidth="1"/>
    <col min="7683" max="7683" width="14.140625" style="1340" customWidth="1"/>
    <col min="7684" max="7684" width="1" style="1340" customWidth="1"/>
    <col min="7685" max="7930" width="9.140625" style="1340"/>
    <col min="7931" max="7931" width="2.140625" style="1340" customWidth="1"/>
    <col min="7932" max="7932" width="8.7109375" style="1340" customWidth="1"/>
    <col min="7933" max="7933" width="9.85546875" style="1340" customWidth="1"/>
    <col min="7934" max="7934" width="1" style="1340" customWidth="1"/>
    <col min="7935" max="7935" width="10.85546875" style="1340" customWidth="1"/>
    <col min="7936" max="7936" width="1" style="1340" customWidth="1"/>
    <col min="7937" max="7937" width="53.5703125" style="1340" customWidth="1"/>
    <col min="7938" max="7938" width="7.5703125" style="1340" customWidth="1"/>
    <col min="7939" max="7939" width="14.140625" style="1340" customWidth="1"/>
    <col min="7940" max="7940" width="1" style="1340" customWidth="1"/>
    <col min="7941" max="8186" width="9.140625" style="1340"/>
    <col min="8187" max="8187" width="2.140625" style="1340" customWidth="1"/>
    <col min="8188" max="8188" width="8.7109375" style="1340" customWidth="1"/>
    <col min="8189" max="8189" width="9.85546875" style="1340" customWidth="1"/>
    <col min="8190" max="8190" width="1" style="1340" customWidth="1"/>
    <col min="8191" max="8191" width="10.85546875" style="1340" customWidth="1"/>
    <col min="8192" max="8192" width="1" style="1340" customWidth="1"/>
    <col min="8193" max="8193" width="53.5703125" style="1340" customWidth="1"/>
    <col min="8194" max="8194" width="7.5703125" style="1340" customWidth="1"/>
    <col min="8195" max="8195" width="14.140625" style="1340" customWidth="1"/>
    <col min="8196" max="8196" width="1" style="1340" customWidth="1"/>
    <col min="8197" max="8442" width="9.140625" style="1340"/>
    <col min="8443" max="8443" width="2.140625" style="1340" customWidth="1"/>
    <col min="8444" max="8444" width="8.7109375" style="1340" customWidth="1"/>
    <col min="8445" max="8445" width="9.85546875" style="1340" customWidth="1"/>
    <col min="8446" max="8446" width="1" style="1340" customWidth="1"/>
    <col min="8447" max="8447" width="10.85546875" style="1340" customWidth="1"/>
    <col min="8448" max="8448" width="1" style="1340" customWidth="1"/>
    <col min="8449" max="8449" width="53.5703125" style="1340" customWidth="1"/>
    <col min="8450" max="8450" width="7.5703125" style="1340" customWidth="1"/>
    <col min="8451" max="8451" width="14.140625" style="1340" customWidth="1"/>
    <col min="8452" max="8452" width="1" style="1340" customWidth="1"/>
    <col min="8453" max="8698" width="9.140625" style="1340"/>
    <col min="8699" max="8699" width="2.140625" style="1340" customWidth="1"/>
    <col min="8700" max="8700" width="8.7109375" style="1340" customWidth="1"/>
    <col min="8701" max="8701" width="9.85546875" style="1340" customWidth="1"/>
    <col min="8702" max="8702" width="1" style="1340" customWidth="1"/>
    <col min="8703" max="8703" width="10.85546875" style="1340" customWidth="1"/>
    <col min="8704" max="8704" width="1" style="1340" customWidth="1"/>
    <col min="8705" max="8705" width="53.5703125" style="1340" customWidth="1"/>
    <col min="8706" max="8706" width="7.5703125" style="1340" customWidth="1"/>
    <col min="8707" max="8707" width="14.140625" style="1340" customWidth="1"/>
    <col min="8708" max="8708" width="1" style="1340" customWidth="1"/>
    <col min="8709" max="8954" width="9.140625" style="1340"/>
    <col min="8955" max="8955" width="2.140625" style="1340" customWidth="1"/>
    <col min="8956" max="8956" width="8.7109375" style="1340" customWidth="1"/>
    <col min="8957" max="8957" width="9.85546875" style="1340" customWidth="1"/>
    <col min="8958" max="8958" width="1" style="1340" customWidth="1"/>
    <col min="8959" max="8959" width="10.85546875" style="1340" customWidth="1"/>
    <col min="8960" max="8960" width="1" style="1340" customWidth="1"/>
    <col min="8961" max="8961" width="53.5703125" style="1340" customWidth="1"/>
    <col min="8962" max="8962" width="7.5703125" style="1340" customWidth="1"/>
    <col min="8963" max="8963" width="14.140625" style="1340" customWidth="1"/>
    <col min="8964" max="8964" width="1" style="1340" customWidth="1"/>
    <col min="8965" max="9210" width="9.140625" style="1340"/>
    <col min="9211" max="9211" width="2.140625" style="1340" customWidth="1"/>
    <col min="9212" max="9212" width="8.7109375" style="1340" customWidth="1"/>
    <col min="9213" max="9213" width="9.85546875" style="1340" customWidth="1"/>
    <col min="9214" max="9214" width="1" style="1340" customWidth="1"/>
    <col min="9215" max="9215" width="10.85546875" style="1340" customWidth="1"/>
    <col min="9216" max="9216" width="1" style="1340" customWidth="1"/>
    <col min="9217" max="9217" width="53.5703125" style="1340" customWidth="1"/>
    <col min="9218" max="9218" width="7.5703125" style="1340" customWidth="1"/>
    <col min="9219" max="9219" width="14.140625" style="1340" customWidth="1"/>
    <col min="9220" max="9220" width="1" style="1340" customWidth="1"/>
    <col min="9221" max="9466" width="9.140625" style="1340"/>
    <col min="9467" max="9467" width="2.140625" style="1340" customWidth="1"/>
    <col min="9468" max="9468" width="8.7109375" style="1340" customWidth="1"/>
    <col min="9469" max="9469" width="9.85546875" style="1340" customWidth="1"/>
    <col min="9470" max="9470" width="1" style="1340" customWidth="1"/>
    <col min="9471" max="9471" width="10.85546875" style="1340" customWidth="1"/>
    <col min="9472" max="9472" width="1" style="1340" customWidth="1"/>
    <col min="9473" max="9473" width="53.5703125" style="1340" customWidth="1"/>
    <col min="9474" max="9474" width="7.5703125" style="1340" customWidth="1"/>
    <col min="9475" max="9475" width="14.140625" style="1340" customWidth="1"/>
    <col min="9476" max="9476" width="1" style="1340" customWidth="1"/>
    <col min="9477" max="9722" width="9.140625" style="1340"/>
    <col min="9723" max="9723" width="2.140625" style="1340" customWidth="1"/>
    <col min="9724" max="9724" width="8.7109375" style="1340" customWidth="1"/>
    <col min="9725" max="9725" width="9.85546875" style="1340" customWidth="1"/>
    <col min="9726" max="9726" width="1" style="1340" customWidth="1"/>
    <col min="9727" max="9727" width="10.85546875" style="1340" customWidth="1"/>
    <col min="9728" max="9728" width="1" style="1340" customWidth="1"/>
    <col min="9729" max="9729" width="53.5703125" style="1340" customWidth="1"/>
    <col min="9730" max="9730" width="7.5703125" style="1340" customWidth="1"/>
    <col min="9731" max="9731" width="14.140625" style="1340" customWidth="1"/>
    <col min="9732" max="9732" width="1" style="1340" customWidth="1"/>
    <col min="9733" max="9978" width="9.140625" style="1340"/>
    <col min="9979" max="9979" width="2.140625" style="1340" customWidth="1"/>
    <col min="9980" max="9980" width="8.7109375" style="1340" customWidth="1"/>
    <col min="9981" max="9981" width="9.85546875" style="1340" customWidth="1"/>
    <col min="9982" max="9982" width="1" style="1340" customWidth="1"/>
    <col min="9983" max="9983" width="10.85546875" style="1340" customWidth="1"/>
    <col min="9984" max="9984" width="1" style="1340" customWidth="1"/>
    <col min="9985" max="9985" width="53.5703125" style="1340" customWidth="1"/>
    <col min="9986" max="9986" width="7.5703125" style="1340" customWidth="1"/>
    <col min="9987" max="9987" width="14.140625" style="1340" customWidth="1"/>
    <col min="9988" max="9988" width="1" style="1340" customWidth="1"/>
    <col min="9989" max="10234" width="9.140625" style="1340"/>
    <col min="10235" max="10235" width="2.140625" style="1340" customWidth="1"/>
    <col min="10236" max="10236" width="8.7109375" style="1340" customWidth="1"/>
    <col min="10237" max="10237" width="9.85546875" style="1340" customWidth="1"/>
    <col min="10238" max="10238" width="1" style="1340" customWidth="1"/>
    <col min="10239" max="10239" width="10.85546875" style="1340" customWidth="1"/>
    <col min="10240" max="10240" width="1" style="1340" customWidth="1"/>
    <col min="10241" max="10241" width="53.5703125" style="1340" customWidth="1"/>
    <col min="10242" max="10242" width="7.5703125" style="1340" customWidth="1"/>
    <col min="10243" max="10243" width="14.140625" style="1340" customWidth="1"/>
    <col min="10244" max="10244" width="1" style="1340" customWidth="1"/>
    <col min="10245" max="10490" width="9.140625" style="1340"/>
    <col min="10491" max="10491" width="2.140625" style="1340" customWidth="1"/>
    <col min="10492" max="10492" width="8.7109375" style="1340" customWidth="1"/>
    <col min="10493" max="10493" width="9.85546875" style="1340" customWidth="1"/>
    <col min="10494" max="10494" width="1" style="1340" customWidth="1"/>
    <col min="10495" max="10495" width="10.85546875" style="1340" customWidth="1"/>
    <col min="10496" max="10496" width="1" style="1340" customWidth="1"/>
    <col min="10497" max="10497" width="53.5703125" style="1340" customWidth="1"/>
    <col min="10498" max="10498" width="7.5703125" style="1340" customWidth="1"/>
    <col min="10499" max="10499" width="14.140625" style="1340" customWidth="1"/>
    <col min="10500" max="10500" width="1" style="1340" customWidth="1"/>
    <col min="10501" max="10746" width="9.140625" style="1340"/>
    <col min="10747" max="10747" width="2.140625" style="1340" customWidth="1"/>
    <col min="10748" max="10748" width="8.7109375" style="1340" customWidth="1"/>
    <col min="10749" max="10749" width="9.85546875" style="1340" customWidth="1"/>
    <col min="10750" max="10750" width="1" style="1340" customWidth="1"/>
    <col min="10751" max="10751" width="10.85546875" style="1340" customWidth="1"/>
    <col min="10752" max="10752" width="1" style="1340" customWidth="1"/>
    <col min="10753" max="10753" width="53.5703125" style="1340" customWidth="1"/>
    <col min="10754" max="10754" width="7.5703125" style="1340" customWidth="1"/>
    <col min="10755" max="10755" width="14.140625" style="1340" customWidth="1"/>
    <col min="10756" max="10756" width="1" style="1340" customWidth="1"/>
    <col min="10757" max="11002" width="9.140625" style="1340"/>
    <col min="11003" max="11003" width="2.140625" style="1340" customWidth="1"/>
    <col min="11004" max="11004" width="8.7109375" style="1340" customWidth="1"/>
    <col min="11005" max="11005" width="9.85546875" style="1340" customWidth="1"/>
    <col min="11006" max="11006" width="1" style="1340" customWidth="1"/>
    <col min="11007" max="11007" width="10.85546875" style="1340" customWidth="1"/>
    <col min="11008" max="11008" width="1" style="1340" customWidth="1"/>
    <col min="11009" max="11009" width="53.5703125" style="1340" customWidth="1"/>
    <col min="11010" max="11010" width="7.5703125" style="1340" customWidth="1"/>
    <col min="11011" max="11011" width="14.140625" style="1340" customWidth="1"/>
    <col min="11012" max="11012" width="1" style="1340" customWidth="1"/>
    <col min="11013" max="11258" width="9.140625" style="1340"/>
    <col min="11259" max="11259" width="2.140625" style="1340" customWidth="1"/>
    <col min="11260" max="11260" width="8.7109375" style="1340" customWidth="1"/>
    <col min="11261" max="11261" width="9.85546875" style="1340" customWidth="1"/>
    <col min="11262" max="11262" width="1" style="1340" customWidth="1"/>
    <col min="11263" max="11263" width="10.85546875" style="1340" customWidth="1"/>
    <col min="11264" max="11264" width="1" style="1340" customWidth="1"/>
    <col min="11265" max="11265" width="53.5703125" style="1340" customWidth="1"/>
    <col min="11266" max="11266" width="7.5703125" style="1340" customWidth="1"/>
    <col min="11267" max="11267" width="14.140625" style="1340" customWidth="1"/>
    <col min="11268" max="11268" width="1" style="1340" customWidth="1"/>
    <col min="11269" max="11514" width="9.140625" style="1340"/>
    <col min="11515" max="11515" width="2.140625" style="1340" customWidth="1"/>
    <col min="11516" max="11516" width="8.7109375" style="1340" customWidth="1"/>
    <col min="11517" max="11517" width="9.85546875" style="1340" customWidth="1"/>
    <col min="11518" max="11518" width="1" style="1340" customWidth="1"/>
    <col min="11519" max="11519" width="10.85546875" style="1340" customWidth="1"/>
    <col min="11520" max="11520" width="1" style="1340" customWidth="1"/>
    <col min="11521" max="11521" width="53.5703125" style="1340" customWidth="1"/>
    <col min="11522" max="11522" width="7.5703125" style="1340" customWidth="1"/>
    <col min="11523" max="11523" width="14.140625" style="1340" customWidth="1"/>
    <col min="11524" max="11524" width="1" style="1340" customWidth="1"/>
    <col min="11525" max="11770" width="9.140625" style="1340"/>
    <col min="11771" max="11771" width="2.140625" style="1340" customWidth="1"/>
    <col min="11772" max="11772" width="8.7109375" style="1340" customWidth="1"/>
    <col min="11773" max="11773" width="9.85546875" style="1340" customWidth="1"/>
    <col min="11774" max="11774" width="1" style="1340" customWidth="1"/>
    <col min="11775" max="11775" width="10.85546875" style="1340" customWidth="1"/>
    <col min="11776" max="11776" width="1" style="1340" customWidth="1"/>
    <col min="11777" max="11777" width="53.5703125" style="1340" customWidth="1"/>
    <col min="11778" max="11778" width="7.5703125" style="1340" customWidth="1"/>
    <col min="11779" max="11779" width="14.140625" style="1340" customWidth="1"/>
    <col min="11780" max="11780" width="1" style="1340" customWidth="1"/>
    <col min="11781" max="12026" width="9.140625" style="1340"/>
    <col min="12027" max="12027" width="2.140625" style="1340" customWidth="1"/>
    <col min="12028" max="12028" width="8.7109375" style="1340" customWidth="1"/>
    <col min="12029" max="12029" width="9.85546875" style="1340" customWidth="1"/>
    <col min="12030" max="12030" width="1" style="1340" customWidth="1"/>
    <col min="12031" max="12031" width="10.85546875" style="1340" customWidth="1"/>
    <col min="12032" max="12032" width="1" style="1340" customWidth="1"/>
    <col min="12033" max="12033" width="53.5703125" style="1340" customWidth="1"/>
    <col min="12034" max="12034" width="7.5703125" style="1340" customWidth="1"/>
    <col min="12035" max="12035" width="14.140625" style="1340" customWidth="1"/>
    <col min="12036" max="12036" width="1" style="1340" customWidth="1"/>
    <col min="12037" max="12282" width="9.140625" style="1340"/>
    <col min="12283" max="12283" width="2.140625" style="1340" customWidth="1"/>
    <col min="12284" max="12284" width="8.7109375" style="1340" customWidth="1"/>
    <col min="12285" max="12285" width="9.85546875" style="1340" customWidth="1"/>
    <col min="12286" max="12286" width="1" style="1340" customWidth="1"/>
    <col min="12287" max="12287" width="10.85546875" style="1340" customWidth="1"/>
    <col min="12288" max="12288" width="1" style="1340" customWidth="1"/>
    <col min="12289" max="12289" width="53.5703125" style="1340" customWidth="1"/>
    <col min="12290" max="12290" width="7.5703125" style="1340" customWidth="1"/>
    <col min="12291" max="12291" width="14.140625" style="1340" customWidth="1"/>
    <col min="12292" max="12292" width="1" style="1340" customWidth="1"/>
    <col min="12293" max="12538" width="9.140625" style="1340"/>
    <col min="12539" max="12539" width="2.140625" style="1340" customWidth="1"/>
    <col min="12540" max="12540" width="8.7109375" style="1340" customWidth="1"/>
    <col min="12541" max="12541" width="9.85546875" style="1340" customWidth="1"/>
    <col min="12542" max="12542" width="1" style="1340" customWidth="1"/>
    <col min="12543" max="12543" width="10.85546875" style="1340" customWidth="1"/>
    <col min="12544" max="12544" width="1" style="1340" customWidth="1"/>
    <col min="12545" max="12545" width="53.5703125" style="1340" customWidth="1"/>
    <col min="12546" max="12546" width="7.5703125" style="1340" customWidth="1"/>
    <col min="12547" max="12547" width="14.140625" style="1340" customWidth="1"/>
    <col min="12548" max="12548" width="1" style="1340" customWidth="1"/>
    <col min="12549" max="12794" width="9.140625" style="1340"/>
    <col min="12795" max="12795" width="2.140625" style="1340" customWidth="1"/>
    <col min="12796" max="12796" width="8.7109375" style="1340" customWidth="1"/>
    <col min="12797" max="12797" width="9.85546875" style="1340" customWidth="1"/>
    <col min="12798" max="12798" width="1" style="1340" customWidth="1"/>
    <col min="12799" max="12799" width="10.85546875" style="1340" customWidth="1"/>
    <col min="12800" max="12800" width="1" style="1340" customWidth="1"/>
    <col min="12801" max="12801" width="53.5703125" style="1340" customWidth="1"/>
    <col min="12802" max="12802" width="7.5703125" style="1340" customWidth="1"/>
    <col min="12803" max="12803" width="14.140625" style="1340" customWidth="1"/>
    <col min="12804" max="12804" width="1" style="1340" customWidth="1"/>
    <col min="12805" max="13050" width="9.140625" style="1340"/>
    <col min="13051" max="13051" width="2.140625" style="1340" customWidth="1"/>
    <col min="13052" max="13052" width="8.7109375" style="1340" customWidth="1"/>
    <col min="13053" max="13053" width="9.85546875" style="1340" customWidth="1"/>
    <col min="13054" max="13054" width="1" style="1340" customWidth="1"/>
    <col min="13055" max="13055" width="10.85546875" style="1340" customWidth="1"/>
    <col min="13056" max="13056" width="1" style="1340" customWidth="1"/>
    <col min="13057" max="13057" width="53.5703125" style="1340" customWidth="1"/>
    <col min="13058" max="13058" width="7.5703125" style="1340" customWidth="1"/>
    <col min="13059" max="13059" width="14.140625" style="1340" customWidth="1"/>
    <col min="13060" max="13060" width="1" style="1340" customWidth="1"/>
    <col min="13061" max="13306" width="9.140625" style="1340"/>
    <col min="13307" max="13307" width="2.140625" style="1340" customWidth="1"/>
    <col min="13308" max="13308" width="8.7109375" style="1340" customWidth="1"/>
    <col min="13309" max="13309" width="9.85546875" style="1340" customWidth="1"/>
    <col min="13310" max="13310" width="1" style="1340" customWidth="1"/>
    <col min="13311" max="13311" width="10.85546875" style="1340" customWidth="1"/>
    <col min="13312" max="13312" width="1" style="1340" customWidth="1"/>
    <col min="13313" max="13313" width="53.5703125" style="1340" customWidth="1"/>
    <col min="13314" max="13314" width="7.5703125" style="1340" customWidth="1"/>
    <col min="13315" max="13315" width="14.140625" style="1340" customWidth="1"/>
    <col min="13316" max="13316" width="1" style="1340" customWidth="1"/>
    <col min="13317" max="13562" width="9.140625" style="1340"/>
    <col min="13563" max="13563" width="2.140625" style="1340" customWidth="1"/>
    <col min="13564" max="13564" width="8.7109375" style="1340" customWidth="1"/>
    <col min="13565" max="13565" width="9.85546875" style="1340" customWidth="1"/>
    <col min="13566" max="13566" width="1" style="1340" customWidth="1"/>
    <col min="13567" max="13567" width="10.85546875" style="1340" customWidth="1"/>
    <col min="13568" max="13568" width="1" style="1340" customWidth="1"/>
    <col min="13569" max="13569" width="53.5703125" style="1340" customWidth="1"/>
    <col min="13570" max="13570" width="7.5703125" style="1340" customWidth="1"/>
    <col min="13571" max="13571" width="14.140625" style="1340" customWidth="1"/>
    <col min="13572" max="13572" width="1" style="1340" customWidth="1"/>
    <col min="13573" max="13818" width="9.140625" style="1340"/>
    <col min="13819" max="13819" width="2.140625" style="1340" customWidth="1"/>
    <col min="13820" max="13820" width="8.7109375" style="1340" customWidth="1"/>
    <col min="13821" max="13821" width="9.85546875" style="1340" customWidth="1"/>
    <col min="13822" max="13822" width="1" style="1340" customWidth="1"/>
    <col min="13823" max="13823" width="10.85546875" style="1340" customWidth="1"/>
    <col min="13824" max="13824" width="1" style="1340" customWidth="1"/>
    <col min="13825" max="13825" width="53.5703125" style="1340" customWidth="1"/>
    <col min="13826" max="13826" width="7.5703125" style="1340" customWidth="1"/>
    <col min="13827" max="13827" width="14.140625" style="1340" customWidth="1"/>
    <col min="13828" max="13828" width="1" style="1340" customWidth="1"/>
    <col min="13829" max="14074" width="9.140625" style="1340"/>
    <col min="14075" max="14075" width="2.140625" style="1340" customWidth="1"/>
    <col min="14076" max="14076" width="8.7109375" style="1340" customWidth="1"/>
    <col min="14077" max="14077" width="9.85546875" style="1340" customWidth="1"/>
    <col min="14078" max="14078" width="1" style="1340" customWidth="1"/>
    <col min="14079" max="14079" width="10.85546875" style="1340" customWidth="1"/>
    <col min="14080" max="14080" width="1" style="1340" customWidth="1"/>
    <col min="14081" max="14081" width="53.5703125" style="1340" customWidth="1"/>
    <col min="14082" max="14082" width="7.5703125" style="1340" customWidth="1"/>
    <col min="14083" max="14083" width="14.140625" style="1340" customWidth="1"/>
    <col min="14084" max="14084" width="1" style="1340" customWidth="1"/>
    <col min="14085" max="14330" width="9.140625" style="1340"/>
    <col min="14331" max="14331" width="2.140625" style="1340" customWidth="1"/>
    <col min="14332" max="14332" width="8.7109375" style="1340" customWidth="1"/>
    <col min="14333" max="14333" width="9.85546875" style="1340" customWidth="1"/>
    <col min="14334" max="14334" width="1" style="1340" customWidth="1"/>
    <col min="14335" max="14335" width="10.85546875" style="1340" customWidth="1"/>
    <col min="14336" max="14336" width="1" style="1340" customWidth="1"/>
    <col min="14337" max="14337" width="53.5703125" style="1340" customWidth="1"/>
    <col min="14338" max="14338" width="7.5703125" style="1340" customWidth="1"/>
    <col min="14339" max="14339" width="14.140625" style="1340" customWidth="1"/>
    <col min="14340" max="14340" width="1" style="1340" customWidth="1"/>
    <col min="14341" max="14586" width="9.140625" style="1340"/>
    <col min="14587" max="14587" width="2.140625" style="1340" customWidth="1"/>
    <col min="14588" max="14588" width="8.7109375" style="1340" customWidth="1"/>
    <col min="14589" max="14589" width="9.85546875" style="1340" customWidth="1"/>
    <col min="14590" max="14590" width="1" style="1340" customWidth="1"/>
    <col min="14591" max="14591" width="10.85546875" style="1340" customWidth="1"/>
    <col min="14592" max="14592" width="1" style="1340" customWidth="1"/>
    <col min="14593" max="14593" width="53.5703125" style="1340" customWidth="1"/>
    <col min="14594" max="14594" width="7.5703125" style="1340" customWidth="1"/>
    <col min="14595" max="14595" width="14.140625" style="1340" customWidth="1"/>
    <col min="14596" max="14596" width="1" style="1340" customWidth="1"/>
    <col min="14597" max="14842" width="9.140625" style="1340"/>
    <col min="14843" max="14843" width="2.140625" style="1340" customWidth="1"/>
    <col min="14844" max="14844" width="8.7109375" style="1340" customWidth="1"/>
    <col min="14845" max="14845" width="9.85546875" style="1340" customWidth="1"/>
    <col min="14846" max="14846" width="1" style="1340" customWidth="1"/>
    <col min="14847" max="14847" width="10.85546875" style="1340" customWidth="1"/>
    <col min="14848" max="14848" width="1" style="1340" customWidth="1"/>
    <col min="14849" max="14849" width="53.5703125" style="1340" customWidth="1"/>
    <col min="14850" max="14850" width="7.5703125" style="1340" customWidth="1"/>
    <col min="14851" max="14851" width="14.140625" style="1340" customWidth="1"/>
    <col min="14852" max="14852" width="1" style="1340" customWidth="1"/>
    <col min="14853" max="15098" width="9.140625" style="1340"/>
    <col min="15099" max="15099" width="2.140625" style="1340" customWidth="1"/>
    <col min="15100" max="15100" width="8.7109375" style="1340" customWidth="1"/>
    <col min="15101" max="15101" width="9.85546875" style="1340" customWidth="1"/>
    <col min="15102" max="15102" width="1" style="1340" customWidth="1"/>
    <col min="15103" max="15103" width="10.85546875" style="1340" customWidth="1"/>
    <col min="15104" max="15104" width="1" style="1340" customWidth="1"/>
    <col min="15105" max="15105" width="53.5703125" style="1340" customWidth="1"/>
    <col min="15106" max="15106" width="7.5703125" style="1340" customWidth="1"/>
    <col min="15107" max="15107" width="14.140625" style="1340" customWidth="1"/>
    <col min="15108" max="15108" width="1" style="1340" customWidth="1"/>
    <col min="15109" max="15354" width="9.140625" style="1340"/>
    <col min="15355" max="15355" width="2.140625" style="1340" customWidth="1"/>
    <col min="15356" max="15356" width="8.7109375" style="1340" customWidth="1"/>
    <col min="15357" max="15357" width="9.85546875" style="1340" customWidth="1"/>
    <col min="15358" max="15358" width="1" style="1340" customWidth="1"/>
    <col min="15359" max="15359" width="10.85546875" style="1340" customWidth="1"/>
    <col min="15360" max="15360" width="1" style="1340" customWidth="1"/>
    <col min="15361" max="15361" width="53.5703125" style="1340" customWidth="1"/>
    <col min="15362" max="15362" width="7.5703125" style="1340" customWidth="1"/>
    <col min="15363" max="15363" width="14.140625" style="1340" customWidth="1"/>
    <col min="15364" max="15364" width="1" style="1340" customWidth="1"/>
    <col min="15365" max="15610" width="9.140625" style="1340"/>
    <col min="15611" max="15611" width="2.140625" style="1340" customWidth="1"/>
    <col min="15612" max="15612" width="8.7109375" style="1340" customWidth="1"/>
    <col min="15613" max="15613" width="9.85546875" style="1340" customWidth="1"/>
    <col min="15614" max="15614" width="1" style="1340" customWidth="1"/>
    <col min="15615" max="15615" width="10.85546875" style="1340" customWidth="1"/>
    <col min="15616" max="15616" width="1" style="1340" customWidth="1"/>
    <col min="15617" max="15617" width="53.5703125" style="1340" customWidth="1"/>
    <col min="15618" max="15618" width="7.5703125" style="1340" customWidth="1"/>
    <col min="15619" max="15619" width="14.140625" style="1340" customWidth="1"/>
    <col min="15620" max="15620" width="1" style="1340" customWidth="1"/>
    <col min="15621" max="15866" width="9.140625" style="1340"/>
    <col min="15867" max="15867" width="2.140625" style="1340" customWidth="1"/>
    <col min="15868" max="15868" width="8.7109375" style="1340" customWidth="1"/>
    <col min="15869" max="15869" width="9.85546875" style="1340" customWidth="1"/>
    <col min="15870" max="15870" width="1" style="1340" customWidth="1"/>
    <col min="15871" max="15871" width="10.85546875" style="1340" customWidth="1"/>
    <col min="15872" max="15872" width="1" style="1340" customWidth="1"/>
    <col min="15873" max="15873" width="53.5703125" style="1340" customWidth="1"/>
    <col min="15874" max="15874" width="7.5703125" style="1340" customWidth="1"/>
    <col min="15875" max="15875" width="14.140625" style="1340" customWidth="1"/>
    <col min="15876" max="15876" width="1" style="1340" customWidth="1"/>
    <col min="15877" max="16122" width="9.140625" style="1340"/>
    <col min="16123" max="16123" width="2.140625" style="1340" customWidth="1"/>
    <col min="16124" max="16124" width="8.7109375" style="1340" customWidth="1"/>
    <col min="16125" max="16125" width="9.85546875" style="1340" customWidth="1"/>
    <col min="16126" max="16126" width="1" style="1340" customWidth="1"/>
    <col min="16127" max="16127" width="10.85546875" style="1340" customWidth="1"/>
    <col min="16128" max="16128" width="1" style="1340" customWidth="1"/>
    <col min="16129" max="16129" width="53.5703125" style="1340" customWidth="1"/>
    <col min="16130" max="16130" width="7.5703125" style="1340" customWidth="1"/>
    <col min="16131" max="16131" width="14.140625" style="1340" customWidth="1"/>
    <col min="16132" max="16132" width="1" style="1340" customWidth="1"/>
    <col min="16133" max="16384" width="9.140625" style="1340"/>
  </cols>
  <sheetData>
    <row r="2" spans="1:13" x14ac:dyDescent="0.2">
      <c r="H2" s="1310" t="s">
        <v>1595</v>
      </c>
    </row>
    <row r="4" spans="1:13" ht="23.25" customHeight="1" x14ac:dyDescent="0.2">
      <c r="A4" s="2271" t="s">
        <v>1596</v>
      </c>
      <c r="B4" s="2271"/>
      <c r="C4" s="2271"/>
      <c r="D4" s="2271"/>
      <c r="E4" s="2271"/>
      <c r="F4" s="2271"/>
      <c r="G4" s="2271"/>
      <c r="H4" s="2271"/>
      <c r="I4" s="2271"/>
      <c r="J4" s="2271"/>
      <c r="K4" s="2271"/>
      <c r="L4" s="2271"/>
    </row>
    <row r="5" spans="1:13" ht="14.25" customHeight="1" x14ac:dyDescent="0.2">
      <c r="A5" s="2285" t="s">
        <v>1446</v>
      </c>
      <c r="B5" s="2285"/>
      <c r="C5" s="2285"/>
      <c r="D5" s="2285"/>
      <c r="E5" s="2285"/>
      <c r="F5" s="2285"/>
      <c r="G5" s="2285"/>
      <c r="H5" s="2285"/>
      <c r="I5" s="2285"/>
      <c r="J5" s="2285"/>
      <c r="K5" s="2285"/>
    </row>
    <row r="6" spans="1:13" ht="3.75" customHeight="1" x14ac:dyDescent="0.2">
      <c r="A6" s="1311"/>
      <c r="B6" s="1311"/>
      <c r="C6" s="1311"/>
      <c r="D6" s="1311"/>
      <c r="E6" s="1311"/>
      <c r="F6" s="1311"/>
      <c r="G6" s="1311"/>
      <c r="H6" s="1311"/>
      <c r="I6" s="1311"/>
      <c r="J6" s="1311"/>
      <c r="K6" s="1311"/>
    </row>
    <row r="7" spans="1:13" ht="34.9" customHeight="1" x14ac:dyDescent="0.2">
      <c r="A7" s="1969" t="s">
        <v>0</v>
      </c>
      <c r="B7" s="1969" t="s">
        <v>1</v>
      </c>
      <c r="C7" s="1969" t="s">
        <v>131</v>
      </c>
      <c r="D7" s="2012" t="s">
        <v>291</v>
      </c>
      <c r="E7" s="2286" t="s">
        <v>1439</v>
      </c>
      <c r="F7" s="2014" t="s">
        <v>1440</v>
      </c>
      <c r="G7" s="2287" t="s">
        <v>1438</v>
      </c>
      <c r="H7" s="2018" t="s">
        <v>1441</v>
      </c>
      <c r="I7" s="1831" t="s">
        <v>108</v>
      </c>
      <c r="J7" s="2011" t="s">
        <v>91</v>
      </c>
      <c r="K7" s="2020" t="s">
        <v>1443</v>
      </c>
      <c r="L7" s="2284" t="s">
        <v>1447</v>
      </c>
    </row>
    <row r="8" spans="1:13" ht="56.25" customHeight="1" x14ac:dyDescent="0.2">
      <c r="A8" s="1969"/>
      <c r="B8" s="1969"/>
      <c r="C8" s="1969"/>
      <c r="D8" s="2012"/>
      <c r="E8" s="2286"/>
      <c r="F8" s="2014"/>
      <c r="G8" s="2287"/>
      <c r="H8" s="2019"/>
      <c r="I8" s="1338" t="s">
        <v>1442</v>
      </c>
      <c r="J8" s="2011"/>
      <c r="K8" s="2020"/>
      <c r="L8" s="2284"/>
    </row>
    <row r="9" spans="1:13" x14ac:dyDescent="0.2">
      <c r="A9" s="1327" t="s">
        <v>8</v>
      </c>
      <c r="B9" s="1327"/>
      <c r="C9" s="1327"/>
      <c r="D9" s="1328" t="s">
        <v>9</v>
      </c>
      <c r="E9" s="1329">
        <f>E10</f>
        <v>0</v>
      </c>
      <c r="F9" s="1330">
        <f t="shared" ref="F9:L9" si="0">F10</f>
        <v>10901.9</v>
      </c>
      <c r="G9" s="1331">
        <f t="shared" si="0"/>
        <v>10901.9</v>
      </c>
      <c r="H9" s="1332">
        <f t="shared" si="0"/>
        <v>10901.9</v>
      </c>
      <c r="I9" s="1330">
        <f t="shared" si="0"/>
        <v>0</v>
      </c>
      <c r="J9" s="1333">
        <f>H9/G9</f>
        <v>1</v>
      </c>
      <c r="K9" s="1330">
        <f t="shared" si="0"/>
        <v>0</v>
      </c>
      <c r="L9" s="1330">
        <f t="shared" si="0"/>
        <v>0</v>
      </c>
      <c r="M9" s="1307"/>
    </row>
    <row r="10" spans="1:13" ht="15" x14ac:dyDescent="0.2">
      <c r="A10" s="1299"/>
      <c r="B10" s="1341" t="s">
        <v>10</v>
      </c>
      <c r="C10" s="1300"/>
      <c r="D10" s="1312" t="s">
        <v>11</v>
      </c>
      <c r="E10" s="1317">
        <f>E11+E12+E13+E14</f>
        <v>0</v>
      </c>
      <c r="F10" s="1321">
        <f t="shared" ref="F10:L10" si="1">F11+F12+F13+F14</f>
        <v>10901.9</v>
      </c>
      <c r="G10" s="1320">
        <f t="shared" si="1"/>
        <v>10901.9</v>
      </c>
      <c r="H10" s="1324">
        <f t="shared" si="1"/>
        <v>10901.9</v>
      </c>
      <c r="I10" s="1321">
        <f t="shared" si="1"/>
        <v>0</v>
      </c>
      <c r="J10" s="1326">
        <f>H10/G10</f>
        <v>1</v>
      </c>
      <c r="K10" s="1321">
        <f t="shared" si="1"/>
        <v>0</v>
      </c>
      <c r="L10" s="1321">
        <f t="shared" si="1"/>
        <v>0</v>
      </c>
      <c r="M10" s="1307"/>
    </row>
    <row r="11" spans="1:13" ht="22.5" x14ac:dyDescent="0.2">
      <c r="A11" s="1342"/>
      <c r="B11" s="1342"/>
      <c r="C11" s="1303" t="s">
        <v>890</v>
      </c>
      <c r="D11" s="1313" t="s">
        <v>13</v>
      </c>
      <c r="E11" s="1318">
        <v>0</v>
      </c>
      <c r="F11" s="1322">
        <f>G11-E11</f>
        <v>6919.5</v>
      </c>
      <c r="G11" s="1316" t="s">
        <v>891</v>
      </c>
      <c r="H11" s="1325">
        <v>6919.5</v>
      </c>
      <c r="I11" s="1308">
        <v>0</v>
      </c>
      <c r="J11" s="1658">
        <f>H11/G11</f>
        <v>1</v>
      </c>
      <c r="K11" s="1308">
        <v>0</v>
      </c>
      <c r="L11" s="1308">
        <v>0</v>
      </c>
      <c r="M11" s="1307"/>
    </row>
    <row r="12" spans="1:13" x14ac:dyDescent="0.2">
      <c r="A12" s="1342"/>
      <c r="B12" s="1342"/>
      <c r="C12" s="1303" t="s">
        <v>447</v>
      </c>
      <c r="D12" s="1313" t="s">
        <v>14</v>
      </c>
      <c r="E12" s="1318">
        <v>0</v>
      </c>
      <c r="F12" s="1322">
        <f t="shared" ref="F12:F14" si="2">G12-E12</f>
        <v>1562.84</v>
      </c>
      <c r="G12" s="1316" t="s">
        <v>892</v>
      </c>
      <c r="H12" s="1325">
        <v>1562.84</v>
      </c>
      <c r="I12" s="1308">
        <v>0</v>
      </c>
      <c r="J12" s="1658">
        <f t="shared" ref="J12:J75" si="3">H12/G12</f>
        <v>1</v>
      </c>
      <c r="K12" s="1308">
        <v>0</v>
      </c>
      <c r="L12" s="1308">
        <v>0</v>
      </c>
      <c r="M12" s="1307"/>
    </row>
    <row r="13" spans="1:13" x14ac:dyDescent="0.2">
      <c r="A13" s="1342"/>
      <c r="B13" s="1342"/>
      <c r="C13" s="1303" t="s">
        <v>450</v>
      </c>
      <c r="D13" s="1313" t="s">
        <v>15</v>
      </c>
      <c r="E13" s="1318">
        <v>0</v>
      </c>
      <c r="F13" s="1322">
        <f t="shared" si="2"/>
        <v>219.56</v>
      </c>
      <c r="G13" s="1316" t="s">
        <v>893</v>
      </c>
      <c r="H13" s="1325">
        <v>219.56</v>
      </c>
      <c r="I13" s="1308">
        <v>0</v>
      </c>
      <c r="J13" s="1658">
        <f t="shared" si="3"/>
        <v>1</v>
      </c>
      <c r="K13" s="1308">
        <v>0</v>
      </c>
      <c r="L13" s="1308">
        <v>0</v>
      </c>
      <c r="M13" s="1307"/>
    </row>
    <row r="14" spans="1:13" x14ac:dyDescent="0.2">
      <c r="A14" s="1342"/>
      <c r="B14" s="1342"/>
      <c r="C14" s="1303" t="s">
        <v>442</v>
      </c>
      <c r="D14" s="1313" t="s">
        <v>31</v>
      </c>
      <c r="E14" s="1318">
        <v>0</v>
      </c>
      <c r="F14" s="1322">
        <f t="shared" si="2"/>
        <v>2200</v>
      </c>
      <c r="G14" s="1316" t="s">
        <v>894</v>
      </c>
      <c r="H14" s="1325">
        <v>2200</v>
      </c>
      <c r="I14" s="1308">
        <v>0</v>
      </c>
      <c r="J14" s="1658">
        <f t="shared" si="3"/>
        <v>1</v>
      </c>
      <c r="K14" s="1308">
        <v>0</v>
      </c>
      <c r="L14" s="1308">
        <v>0</v>
      </c>
      <c r="M14" s="1307"/>
    </row>
    <row r="15" spans="1:13" x14ac:dyDescent="0.2">
      <c r="A15" s="1334" t="s">
        <v>643</v>
      </c>
      <c r="B15" s="1334"/>
      <c r="C15" s="1334"/>
      <c r="D15" s="1335" t="s">
        <v>644</v>
      </c>
      <c r="E15" s="1336">
        <f>E16</f>
        <v>5274</v>
      </c>
      <c r="F15" s="1330">
        <f t="shared" ref="F15:L15" si="4">F16</f>
        <v>0</v>
      </c>
      <c r="G15" s="1827">
        <f t="shared" si="4"/>
        <v>5274</v>
      </c>
      <c r="H15" s="1811">
        <f t="shared" si="4"/>
        <v>4684</v>
      </c>
      <c r="I15" s="1330">
        <f t="shared" si="4"/>
        <v>0</v>
      </c>
      <c r="J15" s="1333">
        <f t="shared" si="3"/>
        <v>0.88813045127038304</v>
      </c>
      <c r="K15" s="1330">
        <f t="shared" si="4"/>
        <v>0</v>
      </c>
      <c r="L15" s="1330">
        <f t="shared" si="4"/>
        <v>0</v>
      </c>
      <c r="M15" s="1307"/>
    </row>
    <row r="16" spans="1:13" ht="15" x14ac:dyDescent="0.2">
      <c r="A16" s="1299"/>
      <c r="B16" s="1341" t="s">
        <v>646</v>
      </c>
      <c r="C16" s="1300"/>
      <c r="D16" s="1312" t="s">
        <v>11</v>
      </c>
      <c r="E16" s="1317">
        <f>E17+E18</f>
        <v>5274</v>
      </c>
      <c r="F16" s="1321">
        <f t="shared" ref="F16:L16" si="5">F17+F18</f>
        <v>0</v>
      </c>
      <c r="G16" s="1320">
        <f t="shared" si="5"/>
        <v>5274</v>
      </c>
      <c r="H16" s="1324">
        <f t="shared" si="5"/>
        <v>4684</v>
      </c>
      <c r="I16" s="1321">
        <f t="shared" si="5"/>
        <v>0</v>
      </c>
      <c r="J16" s="1800">
        <f t="shared" si="3"/>
        <v>0.88813045127038304</v>
      </c>
      <c r="K16" s="1321">
        <f t="shared" si="5"/>
        <v>0</v>
      </c>
      <c r="L16" s="1321">
        <f t="shared" si="5"/>
        <v>0</v>
      </c>
      <c r="M16" s="1307"/>
    </row>
    <row r="17" spans="1:13" x14ac:dyDescent="0.2">
      <c r="A17" s="1342"/>
      <c r="B17" s="1342"/>
      <c r="C17" s="1303" t="s">
        <v>447</v>
      </c>
      <c r="D17" s="1313" t="s">
        <v>14</v>
      </c>
      <c r="E17" s="1318">
        <v>774</v>
      </c>
      <c r="F17" s="1322">
        <f>G17-E17</f>
        <v>0</v>
      </c>
      <c r="G17" s="1316" t="s">
        <v>899</v>
      </c>
      <c r="H17" s="1325">
        <v>684</v>
      </c>
      <c r="I17" s="1308">
        <v>0</v>
      </c>
      <c r="J17" s="1658">
        <f t="shared" si="3"/>
        <v>0.88372093023255816</v>
      </c>
      <c r="K17" s="1308">
        <v>0</v>
      </c>
      <c r="L17" s="1308">
        <v>0</v>
      </c>
      <c r="M17" s="1307"/>
    </row>
    <row r="18" spans="1:13" x14ac:dyDescent="0.2">
      <c r="A18" s="1342"/>
      <c r="B18" s="1342"/>
      <c r="C18" s="1303" t="s">
        <v>442</v>
      </c>
      <c r="D18" s="1313" t="s">
        <v>31</v>
      </c>
      <c r="E18" s="1318">
        <v>4500</v>
      </c>
      <c r="F18" s="1322">
        <f t="shared" ref="F18" si="6">G18-E18</f>
        <v>0</v>
      </c>
      <c r="G18" s="1316" t="s">
        <v>900</v>
      </c>
      <c r="H18" s="1325">
        <v>4000</v>
      </c>
      <c r="I18" s="1308">
        <v>0</v>
      </c>
      <c r="J18" s="1658">
        <f t="shared" si="3"/>
        <v>0.88888888888888884</v>
      </c>
      <c r="K18" s="1308">
        <v>0</v>
      </c>
      <c r="L18" s="1308">
        <v>0</v>
      </c>
      <c r="M18" s="1307"/>
    </row>
    <row r="19" spans="1:13" x14ac:dyDescent="0.2">
      <c r="A19" s="1334" t="s">
        <v>949</v>
      </c>
      <c r="B19" s="1334"/>
      <c r="C19" s="1334"/>
      <c r="D19" s="1335" t="s">
        <v>950</v>
      </c>
      <c r="E19" s="1336">
        <f>E20+E22</f>
        <v>45000</v>
      </c>
      <c r="F19" s="1330">
        <f>F20+F22</f>
        <v>0</v>
      </c>
      <c r="G19" s="1827">
        <f>G20+G22</f>
        <v>45000</v>
      </c>
      <c r="H19" s="1811">
        <f>H20+H22</f>
        <v>28056</v>
      </c>
      <c r="I19" s="1330">
        <f>I20+I22</f>
        <v>0</v>
      </c>
      <c r="J19" s="1333">
        <f t="shared" si="3"/>
        <v>0.62346666666666661</v>
      </c>
      <c r="K19" s="1330">
        <f>K20+K22</f>
        <v>0</v>
      </c>
      <c r="L19" s="1330">
        <f>L20+L22</f>
        <v>0</v>
      </c>
      <c r="M19" s="1307"/>
    </row>
    <row r="20" spans="1:13" ht="22.5" x14ac:dyDescent="0.2">
      <c r="A20" s="1299"/>
      <c r="B20" s="1341" t="s">
        <v>951</v>
      </c>
      <c r="C20" s="1300"/>
      <c r="D20" s="1312" t="s">
        <v>952</v>
      </c>
      <c r="E20" s="1317">
        <f>E21</f>
        <v>45000</v>
      </c>
      <c r="F20" s="1321">
        <f t="shared" ref="F20:L20" si="7">F21</f>
        <v>0</v>
      </c>
      <c r="G20" s="1320" t="str">
        <f t="shared" si="7"/>
        <v>45 000,00</v>
      </c>
      <c r="H20" s="1324">
        <f t="shared" si="7"/>
        <v>28056</v>
      </c>
      <c r="I20" s="1321">
        <f t="shared" si="7"/>
        <v>0</v>
      </c>
      <c r="J20" s="1800">
        <f t="shared" si="3"/>
        <v>0.62346666666666661</v>
      </c>
      <c r="K20" s="1321">
        <f t="shared" si="7"/>
        <v>0</v>
      </c>
      <c r="L20" s="1321">
        <f t="shared" si="7"/>
        <v>0</v>
      </c>
      <c r="M20" s="1307"/>
    </row>
    <row r="21" spans="1:13" x14ac:dyDescent="0.2">
      <c r="A21" s="1342"/>
      <c r="B21" s="1342"/>
      <c r="C21" s="1303" t="s">
        <v>442</v>
      </c>
      <c r="D21" s="1313" t="s">
        <v>31</v>
      </c>
      <c r="E21" s="1318">
        <v>45000</v>
      </c>
      <c r="F21" s="1322">
        <f>G21-E21</f>
        <v>0</v>
      </c>
      <c r="G21" s="1316" t="s">
        <v>953</v>
      </c>
      <c r="H21" s="1325">
        <v>28056</v>
      </c>
      <c r="I21" s="1308">
        <v>0</v>
      </c>
      <c r="J21" s="1658">
        <f t="shared" si="3"/>
        <v>0.62346666666666661</v>
      </c>
      <c r="K21" s="1308">
        <v>0</v>
      </c>
      <c r="L21" s="1308">
        <v>0</v>
      </c>
      <c r="M21" s="1307"/>
    </row>
    <row r="22" spans="1:13" ht="15" hidden="1" x14ac:dyDescent="0.2">
      <c r="A22" s="1299"/>
      <c r="B22" s="1341" t="s">
        <v>954</v>
      </c>
      <c r="C22" s="1300"/>
      <c r="D22" s="1312" t="s">
        <v>955</v>
      </c>
      <c r="E22" s="1317">
        <f>E23</f>
        <v>0</v>
      </c>
      <c r="F22" s="1321">
        <f t="shared" ref="F22:L22" si="8">F23</f>
        <v>0</v>
      </c>
      <c r="G22" s="1320" t="str">
        <f t="shared" si="8"/>
        <v>0,00</v>
      </c>
      <c r="H22" s="1324">
        <f t="shared" si="8"/>
        <v>0</v>
      </c>
      <c r="I22" s="1321">
        <f t="shared" si="8"/>
        <v>0</v>
      </c>
      <c r="J22" s="1800">
        <v>0</v>
      </c>
      <c r="K22" s="1321">
        <f t="shared" si="8"/>
        <v>0</v>
      </c>
      <c r="L22" s="1321">
        <f t="shared" si="8"/>
        <v>0</v>
      </c>
      <c r="M22" s="1307"/>
    </row>
    <row r="23" spans="1:13" hidden="1" x14ac:dyDescent="0.2">
      <c r="A23" s="1342"/>
      <c r="B23" s="1342"/>
      <c r="C23" s="1303" t="s">
        <v>442</v>
      </c>
      <c r="D23" s="1313" t="s">
        <v>31</v>
      </c>
      <c r="E23" s="1318">
        <v>0</v>
      </c>
      <c r="F23" s="1322">
        <f>G23-E23</f>
        <v>0</v>
      </c>
      <c r="G23" s="1316" t="s">
        <v>636</v>
      </c>
      <c r="H23" s="1325">
        <v>0</v>
      </c>
      <c r="I23" s="1308">
        <v>0</v>
      </c>
      <c r="J23" s="1658">
        <v>0</v>
      </c>
      <c r="K23" s="1308">
        <v>0</v>
      </c>
      <c r="L23" s="1308">
        <v>0</v>
      </c>
      <c r="M23" s="1307"/>
    </row>
    <row r="24" spans="1:13" x14ac:dyDescent="0.2">
      <c r="A24" s="1334" t="s">
        <v>192</v>
      </c>
      <c r="B24" s="1334"/>
      <c r="C24" s="1334"/>
      <c r="D24" s="1335" t="s">
        <v>20</v>
      </c>
      <c r="E24" s="1336">
        <f>E25+E30+E36+E39+E45</f>
        <v>4440839.5699999994</v>
      </c>
      <c r="F24" s="1330">
        <f t="shared" ref="F24:L24" si="9">F25+F30+F36+F39+F45</f>
        <v>-23160.76999999964</v>
      </c>
      <c r="G24" s="1827">
        <f t="shared" si="9"/>
        <v>4417678.8000000007</v>
      </c>
      <c r="H24" s="1811">
        <f t="shared" si="9"/>
        <v>4164217.9099999997</v>
      </c>
      <c r="I24" s="1330">
        <f t="shared" si="9"/>
        <v>0</v>
      </c>
      <c r="J24" s="1333">
        <f t="shared" si="3"/>
        <v>0.94262577668616354</v>
      </c>
      <c r="K24" s="1330">
        <f t="shared" si="9"/>
        <v>368872.66</v>
      </c>
      <c r="L24" s="1330">
        <f t="shared" si="9"/>
        <v>0</v>
      </c>
      <c r="M24" s="1307"/>
    </row>
    <row r="25" spans="1:13" ht="15" x14ac:dyDescent="0.2">
      <c r="A25" s="1299"/>
      <c r="B25" s="1341" t="s">
        <v>675</v>
      </c>
      <c r="C25" s="1300"/>
      <c r="D25" s="1312" t="s">
        <v>21</v>
      </c>
      <c r="E25" s="1317">
        <f>E26+E27+E28+E29</f>
        <v>138430</v>
      </c>
      <c r="F25" s="1321">
        <f t="shared" ref="F25:L25" si="10">F26+F27+F28+F29</f>
        <v>19895.999999999993</v>
      </c>
      <c r="G25" s="1320">
        <f t="shared" si="10"/>
        <v>158326</v>
      </c>
      <c r="H25" s="1324">
        <f t="shared" si="10"/>
        <v>154109.91999999998</v>
      </c>
      <c r="I25" s="1321">
        <f t="shared" si="10"/>
        <v>0</v>
      </c>
      <c r="J25" s="1800">
        <f t="shared" si="3"/>
        <v>0.97337089296767421</v>
      </c>
      <c r="K25" s="1321">
        <f t="shared" si="10"/>
        <v>0</v>
      </c>
      <c r="L25" s="1321">
        <f t="shared" si="10"/>
        <v>0</v>
      </c>
      <c r="M25" s="1307"/>
    </row>
    <row r="26" spans="1:13" ht="22.5" x14ac:dyDescent="0.2">
      <c r="A26" s="1342"/>
      <c r="B26" s="1342"/>
      <c r="C26" s="1303" t="s">
        <v>890</v>
      </c>
      <c r="D26" s="1313" t="s">
        <v>13</v>
      </c>
      <c r="E26" s="1318">
        <v>108934.8</v>
      </c>
      <c r="F26" s="1322">
        <f t="shared" ref="F26:F29" si="11">G26-E26</f>
        <v>16776.839999999997</v>
      </c>
      <c r="G26" s="1316" t="s">
        <v>958</v>
      </c>
      <c r="H26" s="1325">
        <v>121870.89</v>
      </c>
      <c r="I26" s="1308">
        <v>0</v>
      </c>
      <c r="J26" s="1658">
        <f t="shared" si="3"/>
        <v>0.96944793656339223</v>
      </c>
      <c r="K26" s="1308">
        <v>0</v>
      </c>
      <c r="L26" s="1308">
        <v>0</v>
      </c>
      <c r="M26" s="1307"/>
    </row>
    <row r="27" spans="1:13" x14ac:dyDescent="0.2">
      <c r="A27" s="1342"/>
      <c r="B27" s="1342"/>
      <c r="C27" s="1303" t="s">
        <v>959</v>
      </c>
      <c r="D27" s="1313" t="s">
        <v>960</v>
      </c>
      <c r="E27" s="1318">
        <v>7663.58</v>
      </c>
      <c r="F27" s="1322">
        <f t="shared" si="11"/>
        <v>0</v>
      </c>
      <c r="G27" s="1316" t="s">
        <v>961</v>
      </c>
      <c r="H27" s="1325">
        <v>7663.58</v>
      </c>
      <c r="I27" s="1308">
        <v>0</v>
      </c>
      <c r="J27" s="1658">
        <f t="shared" si="3"/>
        <v>1</v>
      </c>
      <c r="K27" s="1308">
        <v>0</v>
      </c>
      <c r="L27" s="1308">
        <v>0</v>
      </c>
      <c r="M27" s="1307"/>
    </row>
    <row r="28" spans="1:13" x14ac:dyDescent="0.2">
      <c r="A28" s="1342"/>
      <c r="B28" s="1342"/>
      <c r="C28" s="1303" t="s">
        <v>447</v>
      </c>
      <c r="D28" s="1313" t="s">
        <v>14</v>
      </c>
      <c r="E28" s="1318">
        <v>19547.400000000001</v>
      </c>
      <c r="F28" s="1322">
        <f t="shared" si="11"/>
        <v>2795.0199999999968</v>
      </c>
      <c r="G28" s="1316" t="s">
        <v>962</v>
      </c>
      <c r="H28" s="1325">
        <v>21967.09</v>
      </c>
      <c r="I28" s="1308">
        <v>0</v>
      </c>
      <c r="J28" s="1658">
        <f t="shared" si="3"/>
        <v>0.98320101403518512</v>
      </c>
      <c r="K28" s="1308">
        <v>0</v>
      </c>
      <c r="L28" s="1308">
        <v>0</v>
      </c>
      <c r="M28" s="1307"/>
    </row>
    <row r="29" spans="1:13" x14ac:dyDescent="0.2">
      <c r="A29" s="1342"/>
      <c r="B29" s="1342"/>
      <c r="C29" s="1303" t="s">
        <v>450</v>
      </c>
      <c r="D29" s="1313" t="s">
        <v>15</v>
      </c>
      <c r="E29" s="1318">
        <v>2284.2199999999998</v>
      </c>
      <c r="F29" s="1322">
        <f t="shared" si="11"/>
        <v>324.14000000000033</v>
      </c>
      <c r="G29" s="1316" t="s">
        <v>963</v>
      </c>
      <c r="H29" s="1325">
        <v>2608.36</v>
      </c>
      <c r="I29" s="1308">
        <v>0</v>
      </c>
      <c r="J29" s="1658">
        <f t="shared" si="3"/>
        <v>1</v>
      </c>
      <c r="K29" s="1308">
        <v>0</v>
      </c>
      <c r="L29" s="1308">
        <v>0</v>
      </c>
      <c r="M29" s="1307"/>
    </row>
    <row r="30" spans="1:13" ht="22.5" x14ac:dyDescent="0.2">
      <c r="A30" s="1299"/>
      <c r="B30" s="1341" t="s">
        <v>196</v>
      </c>
      <c r="C30" s="1300"/>
      <c r="D30" s="1312" t="s">
        <v>677</v>
      </c>
      <c r="E30" s="1317">
        <f>E31+E32+E33+E34+E35</f>
        <v>3497974.5699999994</v>
      </c>
      <c r="F30" s="1321">
        <f t="shared" ref="F30:L30" si="12">F31+F32+F33+F34+F35</f>
        <v>-14412.769999999589</v>
      </c>
      <c r="G30" s="1320">
        <f t="shared" si="12"/>
        <v>3483561.8000000003</v>
      </c>
      <c r="H30" s="1324">
        <f t="shared" si="12"/>
        <v>3238912.5</v>
      </c>
      <c r="I30" s="1321">
        <f t="shared" si="12"/>
        <v>0</v>
      </c>
      <c r="J30" s="1800">
        <f t="shared" si="3"/>
        <v>0.9297703574542584</v>
      </c>
      <c r="K30" s="1321">
        <f t="shared" si="12"/>
        <v>293895.53999999998</v>
      </c>
      <c r="L30" s="1321">
        <f t="shared" si="12"/>
        <v>0</v>
      </c>
      <c r="M30" s="1307"/>
    </row>
    <row r="31" spans="1:13" ht="22.5" x14ac:dyDescent="0.2">
      <c r="A31" s="1342"/>
      <c r="B31" s="1342"/>
      <c r="C31" s="1303" t="s">
        <v>890</v>
      </c>
      <c r="D31" s="1313" t="s">
        <v>13</v>
      </c>
      <c r="E31" s="1318">
        <v>2777374.28</v>
      </c>
      <c r="F31" s="1322">
        <f t="shared" ref="F31:F35" si="13">G31-E31</f>
        <v>-231.07999999960884</v>
      </c>
      <c r="G31" s="1316" t="s">
        <v>981</v>
      </c>
      <c r="H31" s="1325">
        <v>2614767.85</v>
      </c>
      <c r="I31" s="1308">
        <v>0</v>
      </c>
      <c r="J31" s="1658">
        <f t="shared" si="3"/>
        <v>0.94153151699199378</v>
      </c>
      <c r="K31" s="1308">
        <v>1494.47</v>
      </c>
      <c r="L31" s="1308">
        <v>0</v>
      </c>
      <c r="M31" s="1307"/>
    </row>
    <row r="32" spans="1:13" x14ac:dyDescent="0.2">
      <c r="A32" s="1342"/>
      <c r="B32" s="1342"/>
      <c r="C32" s="1303" t="s">
        <v>959</v>
      </c>
      <c r="D32" s="1313" t="s">
        <v>960</v>
      </c>
      <c r="E32" s="1318">
        <v>194598.9</v>
      </c>
      <c r="F32" s="1322">
        <f t="shared" si="13"/>
        <v>-11149.799999999988</v>
      </c>
      <c r="G32" s="1316" t="s">
        <v>982</v>
      </c>
      <c r="H32" s="1325">
        <v>183449.1</v>
      </c>
      <c r="I32" s="1308">
        <v>0</v>
      </c>
      <c r="J32" s="1658">
        <f t="shared" si="3"/>
        <v>1</v>
      </c>
      <c r="K32" s="1308">
        <v>205532.03</v>
      </c>
      <c r="L32" s="1308">
        <v>0</v>
      </c>
      <c r="M32" s="1307"/>
    </row>
    <row r="33" spans="1:13" x14ac:dyDescent="0.2">
      <c r="A33" s="1342"/>
      <c r="B33" s="1342"/>
      <c r="C33" s="1303" t="s">
        <v>447</v>
      </c>
      <c r="D33" s="1313" t="s">
        <v>14</v>
      </c>
      <c r="E33" s="1318">
        <v>450079.88</v>
      </c>
      <c r="F33" s="1322">
        <f t="shared" si="13"/>
        <v>-92.049999999988358</v>
      </c>
      <c r="G33" s="1316" t="s">
        <v>983</v>
      </c>
      <c r="H33" s="1325">
        <v>395303.9</v>
      </c>
      <c r="I33" s="1308">
        <v>0</v>
      </c>
      <c r="J33" s="1658">
        <f t="shared" si="3"/>
        <v>0.87847686902999134</v>
      </c>
      <c r="K33" s="1308">
        <v>79843.3</v>
      </c>
      <c r="L33" s="1308">
        <v>0</v>
      </c>
      <c r="M33" s="1307"/>
    </row>
    <row r="34" spans="1:13" x14ac:dyDescent="0.2">
      <c r="A34" s="1342"/>
      <c r="B34" s="1342"/>
      <c r="C34" s="1303" t="s">
        <v>450</v>
      </c>
      <c r="D34" s="1313" t="s">
        <v>15</v>
      </c>
      <c r="E34" s="1318">
        <v>51536.51</v>
      </c>
      <c r="F34" s="1322">
        <f t="shared" si="13"/>
        <v>60.159999999996217</v>
      </c>
      <c r="G34" s="1316" t="s">
        <v>984</v>
      </c>
      <c r="H34" s="1325">
        <v>32594.15</v>
      </c>
      <c r="I34" s="1308">
        <v>0</v>
      </c>
      <c r="J34" s="1658">
        <f t="shared" si="3"/>
        <v>0.63171034099681245</v>
      </c>
      <c r="K34" s="1308">
        <v>7025.74</v>
      </c>
      <c r="L34" s="1308">
        <v>0</v>
      </c>
      <c r="M34" s="1307"/>
    </row>
    <row r="35" spans="1:13" x14ac:dyDescent="0.2">
      <c r="A35" s="1342"/>
      <c r="B35" s="1342"/>
      <c r="C35" s="1303" t="s">
        <v>442</v>
      </c>
      <c r="D35" s="1313" t="s">
        <v>31</v>
      </c>
      <c r="E35" s="1318">
        <v>24385</v>
      </c>
      <c r="F35" s="1322">
        <f t="shared" si="13"/>
        <v>-3000</v>
      </c>
      <c r="G35" s="1316" t="s">
        <v>988</v>
      </c>
      <c r="H35" s="1325">
        <v>12797.5</v>
      </c>
      <c r="I35" s="1308">
        <v>0</v>
      </c>
      <c r="J35" s="1658">
        <f t="shared" si="3"/>
        <v>0.59843348141220487</v>
      </c>
      <c r="K35" s="1308">
        <v>0</v>
      </c>
      <c r="L35" s="1308">
        <v>0</v>
      </c>
      <c r="M35" s="1307"/>
    </row>
    <row r="36" spans="1:13" ht="22.5" x14ac:dyDescent="0.2">
      <c r="A36" s="1299"/>
      <c r="B36" s="1341" t="s">
        <v>682</v>
      </c>
      <c r="C36" s="1300"/>
      <c r="D36" s="1312" t="s">
        <v>76</v>
      </c>
      <c r="E36" s="1317">
        <f>E37+E38</f>
        <v>4500</v>
      </c>
      <c r="F36" s="1321">
        <f t="shared" ref="F36:L36" si="14">F37+F38</f>
        <v>18840</v>
      </c>
      <c r="G36" s="1320">
        <f t="shared" si="14"/>
        <v>23340</v>
      </c>
      <c r="H36" s="1324">
        <f t="shared" si="14"/>
        <v>20204.59</v>
      </c>
      <c r="I36" s="1321">
        <f t="shared" si="14"/>
        <v>0</v>
      </c>
      <c r="J36" s="1800">
        <f t="shared" si="3"/>
        <v>0.86566366752356472</v>
      </c>
      <c r="K36" s="1321">
        <f t="shared" si="14"/>
        <v>0</v>
      </c>
      <c r="L36" s="1321">
        <f t="shared" si="14"/>
        <v>0</v>
      </c>
      <c r="M36" s="1307"/>
    </row>
    <row r="37" spans="1:13" x14ac:dyDescent="0.2">
      <c r="A37" s="1342"/>
      <c r="B37" s="1342"/>
      <c r="C37" s="1303" t="s">
        <v>447</v>
      </c>
      <c r="D37" s="1313" t="s">
        <v>14</v>
      </c>
      <c r="E37" s="1318">
        <v>0</v>
      </c>
      <c r="F37" s="1322">
        <f>G37-E37</f>
        <v>1488</v>
      </c>
      <c r="G37" s="1316" t="s">
        <v>1009</v>
      </c>
      <c r="H37" s="1325">
        <v>1480.59</v>
      </c>
      <c r="I37" s="1308">
        <v>0</v>
      </c>
      <c r="J37" s="1658">
        <f t="shared" si="3"/>
        <v>0.99502016129032256</v>
      </c>
      <c r="K37" s="1308">
        <v>0</v>
      </c>
      <c r="L37" s="1308">
        <v>0</v>
      </c>
      <c r="M37" s="1307"/>
    </row>
    <row r="38" spans="1:13" x14ac:dyDescent="0.2">
      <c r="A38" s="1342"/>
      <c r="B38" s="1342"/>
      <c r="C38" s="1303" t="s">
        <v>442</v>
      </c>
      <c r="D38" s="1313" t="s">
        <v>31</v>
      </c>
      <c r="E38" s="1318">
        <v>4500</v>
      </c>
      <c r="F38" s="1322">
        <f t="shared" ref="F38" si="15">G38-E38</f>
        <v>17352</v>
      </c>
      <c r="G38" s="1316" t="s">
        <v>1010</v>
      </c>
      <c r="H38" s="1325">
        <v>18724</v>
      </c>
      <c r="I38" s="1308">
        <v>0</v>
      </c>
      <c r="J38" s="1658">
        <f t="shared" si="3"/>
        <v>0.85685520776130331</v>
      </c>
      <c r="K38" s="1308">
        <v>0</v>
      </c>
      <c r="L38" s="1308">
        <v>0</v>
      </c>
      <c r="M38" s="1307"/>
    </row>
    <row r="39" spans="1:13" ht="22.5" x14ac:dyDescent="0.2">
      <c r="A39" s="1299"/>
      <c r="B39" s="1341" t="s">
        <v>1014</v>
      </c>
      <c r="C39" s="1300"/>
      <c r="D39" s="1312" t="s">
        <v>1015</v>
      </c>
      <c r="E39" s="1317">
        <f>E40+E41+E42+E43+E44</f>
        <v>796935</v>
      </c>
      <c r="F39" s="1321">
        <f t="shared" ref="F39:L39" si="16">F40+F41+F42+F43+F44</f>
        <v>-47484.000000000044</v>
      </c>
      <c r="G39" s="1320">
        <f t="shared" si="16"/>
        <v>749451</v>
      </c>
      <c r="H39" s="1324">
        <f t="shared" si="16"/>
        <v>749450.9</v>
      </c>
      <c r="I39" s="1321">
        <f t="shared" si="16"/>
        <v>0</v>
      </c>
      <c r="J39" s="1800">
        <f t="shared" si="3"/>
        <v>0.9999998665689952</v>
      </c>
      <c r="K39" s="1321">
        <f t="shared" si="16"/>
        <v>74977.119999999995</v>
      </c>
      <c r="L39" s="1321">
        <f t="shared" si="16"/>
        <v>0</v>
      </c>
      <c r="M39" s="1307"/>
    </row>
    <row r="40" spans="1:13" ht="22.5" x14ac:dyDescent="0.2">
      <c r="A40" s="1342"/>
      <c r="B40" s="1342"/>
      <c r="C40" s="1303" t="s">
        <v>890</v>
      </c>
      <c r="D40" s="1313" t="s">
        <v>13</v>
      </c>
      <c r="E40" s="1318">
        <v>629000</v>
      </c>
      <c r="F40" s="1322">
        <f t="shared" ref="F40:F44" si="17">G40-E40</f>
        <v>-31817.920000000042</v>
      </c>
      <c r="G40" s="1316" t="s">
        <v>1017</v>
      </c>
      <c r="H40" s="1325">
        <v>597181.98</v>
      </c>
      <c r="I40" s="1308">
        <v>0</v>
      </c>
      <c r="J40" s="1658">
        <f t="shared" si="3"/>
        <v>0.99999983254688418</v>
      </c>
      <c r="K40" s="1308">
        <v>13888.05</v>
      </c>
      <c r="L40" s="1308">
        <v>0</v>
      </c>
      <c r="M40" s="1307"/>
    </row>
    <row r="41" spans="1:13" x14ac:dyDescent="0.2">
      <c r="A41" s="1342"/>
      <c r="B41" s="1342"/>
      <c r="C41" s="1303" t="s">
        <v>959</v>
      </c>
      <c r="D41" s="1313" t="s">
        <v>960</v>
      </c>
      <c r="E41" s="1318">
        <v>46669</v>
      </c>
      <c r="F41" s="1322">
        <f t="shared" si="17"/>
        <v>-4182.0800000000017</v>
      </c>
      <c r="G41" s="1316" t="s">
        <v>1018</v>
      </c>
      <c r="H41" s="1325">
        <v>42486.92</v>
      </c>
      <c r="I41" s="1308">
        <v>0</v>
      </c>
      <c r="J41" s="1658">
        <f t="shared" si="3"/>
        <v>1</v>
      </c>
      <c r="K41" s="1308">
        <v>43711.65</v>
      </c>
      <c r="L41" s="1308">
        <v>0</v>
      </c>
      <c r="M41" s="1307"/>
    </row>
    <row r="42" spans="1:13" x14ac:dyDescent="0.2">
      <c r="A42" s="1342"/>
      <c r="B42" s="1342"/>
      <c r="C42" s="1303" t="s">
        <v>447</v>
      </c>
      <c r="D42" s="1313" t="s">
        <v>14</v>
      </c>
      <c r="E42" s="1318">
        <v>103512</v>
      </c>
      <c r="F42" s="1322">
        <f t="shared" si="17"/>
        <v>-3400</v>
      </c>
      <c r="G42" s="1316" t="s">
        <v>1019</v>
      </c>
      <c r="H42" s="1325">
        <v>100112</v>
      </c>
      <c r="I42" s="1308">
        <v>0</v>
      </c>
      <c r="J42" s="1658">
        <f t="shared" si="3"/>
        <v>1</v>
      </c>
      <c r="K42" s="1308">
        <v>16123.06</v>
      </c>
      <c r="L42" s="1308">
        <v>0</v>
      </c>
      <c r="M42" s="1307"/>
    </row>
    <row r="43" spans="1:13" x14ac:dyDescent="0.2">
      <c r="A43" s="1342"/>
      <c r="B43" s="1342"/>
      <c r="C43" s="1303" t="s">
        <v>450</v>
      </c>
      <c r="D43" s="1313" t="s">
        <v>15</v>
      </c>
      <c r="E43" s="1318">
        <v>14754</v>
      </c>
      <c r="F43" s="1322">
        <f t="shared" si="17"/>
        <v>-5100</v>
      </c>
      <c r="G43" s="1316" t="s">
        <v>1020</v>
      </c>
      <c r="H43" s="1325">
        <v>9654</v>
      </c>
      <c r="I43" s="1308">
        <v>0</v>
      </c>
      <c r="J43" s="1658">
        <f t="shared" si="3"/>
        <v>1</v>
      </c>
      <c r="K43" s="1308">
        <v>1254.3599999999999</v>
      </c>
      <c r="L43" s="1308">
        <v>0</v>
      </c>
      <c r="M43" s="1307"/>
    </row>
    <row r="44" spans="1:13" x14ac:dyDescent="0.2">
      <c r="A44" s="1342"/>
      <c r="B44" s="1342"/>
      <c r="C44" s="1303" t="s">
        <v>442</v>
      </c>
      <c r="D44" s="1313" t="s">
        <v>31</v>
      </c>
      <c r="E44" s="1318">
        <v>3000</v>
      </c>
      <c r="F44" s="1322">
        <f t="shared" si="17"/>
        <v>-2984</v>
      </c>
      <c r="G44" s="1316" t="s">
        <v>1021</v>
      </c>
      <c r="H44" s="1325">
        <v>16</v>
      </c>
      <c r="I44" s="1308">
        <v>0</v>
      </c>
      <c r="J44" s="1658">
        <f t="shared" si="3"/>
        <v>1</v>
      </c>
      <c r="K44" s="1308">
        <v>0</v>
      </c>
      <c r="L44" s="1308">
        <v>0</v>
      </c>
      <c r="M44" s="1307"/>
    </row>
    <row r="45" spans="1:13" ht="15" x14ac:dyDescent="0.2">
      <c r="A45" s="1299"/>
      <c r="B45" s="1341" t="s">
        <v>1032</v>
      </c>
      <c r="C45" s="1300"/>
      <c r="D45" s="1312" t="s">
        <v>11</v>
      </c>
      <c r="E45" s="1317">
        <f>E46</f>
        <v>3000</v>
      </c>
      <c r="F45" s="1321">
        <f t="shared" ref="F45:L45" si="18">F46</f>
        <v>0</v>
      </c>
      <c r="G45" s="1320" t="str">
        <f t="shared" si="18"/>
        <v>3 000,00</v>
      </c>
      <c r="H45" s="1324">
        <f t="shared" si="18"/>
        <v>1540</v>
      </c>
      <c r="I45" s="1321">
        <f t="shared" si="18"/>
        <v>0</v>
      </c>
      <c r="J45" s="1800">
        <f t="shared" si="3"/>
        <v>0.51333333333333331</v>
      </c>
      <c r="K45" s="1321">
        <f t="shared" si="18"/>
        <v>0</v>
      </c>
      <c r="L45" s="1321">
        <f t="shared" si="18"/>
        <v>0</v>
      </c>
      <c r="M45" s="1307"/>
    </row>
    <row r="46" spans="1:13" x14ac:dyDescent="0.2">
      <c r="A46" s="1342"/>
      <c r="B46" s="1342"/>
      <c r="C46" s="1303" t="s">
        <v>1034</v>
      </c>
      <c r="D46" s="1313" t="s">
        <v>1035</v>
      </c>
      <c r="E46" s="1318">
        <v>3000</v>
      </c>
      <c r="F46" s="1322">
        <f t="shared" ref="F46" si="19">G46-E46</f>
        <v>0</v>
      </c>
      <c r="G46" s="1316" t="s">
        <v>1028</v>
      </c>
      <c r="H46" s="1325">
        <v>1540</v>
      </c>
      <c r="I46" s="1308">
        <v>0</v>
      </c>
      <c r="J46" s="1658">
        <f t="shared" si="3"/>
        <v>0.51333333333333331</v>
      </c>
      <c r="K46" s="1308">
        <v>0</v>
      </c>
      <c r="L46" s="1308">
        <v>0</v>
      </c>
      <c r="M46" s="1307"/>
    </row>
    <row r="47" spans="1:13" ht="33.75" x14ac:dyDescent="0.2">
      <c r="A47" s="1334" t="s">
        <v>683</v>
      </c>
      <c r="B47" s="1334"/>
      <c r="C47" s="1334"/>
      <c r="D47" s="1335" t="s">
        <v>684</v>
      </c>
      <c r="E47" s="1336">
        <f>E48+E52</f>
        <v>3500</v>
      </c>
      <c r="F47" s="1330">
        <f t="shared" ref="F47:L47" si="20">F48+F52</f>
        <v>37591.25</v>
      </c>
      <c r="G47" s="1819">
        <f t="shared" si="20"/>
        <v>41091.25</v>
      </c>
      <c r="H47" s="1336">
        <f t="shared" si="20"/>
        <v>36254.050000000003</v>
      </c>
      <c r="I47" s="1330">
        <f t="shared" si="20"/>
        <v>0</v>
      </c>
      <c r="J47" s="1333">
        <f t="shared" si="3"/>
        <v>0.88228150762023549</v>
      </c>
      <c r="K47" s="1330">
        <f t="shared" si="20"/>
        <v>0</v>
      </c>
      <c r="L47" s="1330">
        <f t="shared" si="20"/>
        <v>0</v>
      </c>
      <c r="M47" s="1307"/>
    </row>
    <row r="48" spans="1:13" ht="22.5" x14ac:dyDescent="0.2">
      <c r="A48" s="1299"/>
      <c r="B48" s="1341" t="s">
        <v>685</v>
      </c>
      <c r="C48" s="1300"/>
      <c r="D48" s="1312" t="s">
        <v>686</v>
      </c>
      <c r="E48" s="1317">
        <f>E49+E50+E51</f>
        <v>3500</v>
      </c>
      <c r="F48" s="1321">
        <f t="shared" ref="F48:L48" si="21">F49+F50+F51</f>
        <v>0</v>
      </c>
      <c r="G48" s="1320">
        <f t="shared" si="21"/>
        <v>3500</v>
      </c>
      <c r="H48" s="1324">
        <f t="shared" si="21"/>
        <v>3500</v>
      </c>
      <c r="I48" s="1321">
        <f t="shared" si="21"/>
        <v>0</v>
      </c>
      <c r="J48" s="1800">
        <f t="shared" si="3"/>
        <v>1</v>
      </c>
      <c r="K48" s="1321">
        <f t="shared" si="21"/>
        <v>0</v>
      </c>
      <c r="L48" s="1321">
        <f t="shared" si="21"/>
        <v>0</v>
      </c>
      <c r="M48" s="1307"/>
    </row>
    <row r="49" spans="1:13" ht="22.5" x14ac:dyDescent="0.2">
      <c r="A49" s="1342"/>
      <c r="B49" s="1342"/>
      <c r="C49" s="1303" t="s">
        <v>890</v>
      </c>
      <c r="D49" s="1313" t="s">
        <v>13</v>
      </c>
      <c r="E49" s="1318">
        <v>2955.23</v>
      </c>
      <c r="F49" s="1322">
        <f>G49-E49</f>
        <v>0</v>
      </c>
      <c r="G49" s="1316" t="s">
        <v>1037</v>
      </c>
      <c r="H49" s="1325">
        <v>2955.23</v>
      </c>
      <c r="I49" s="1308">
        <v>0</v>
      </c>
      <c r="J49" s="1658">
        <f t="shared" si="3"/>
        <v>1</v>
      </c>
      <c r="K49" s="1308">
        <v>0</v>
      </c>
      <c r="L49" s="1308">
        <v>0</v>
      </c>
      <c r="M49" s="1307"/>
    </row>
    <row r="50" spans="1:13" x14ac:dyDescent="0.2">
      <c r="A50" s="1342"/>
      <c r="B50" s="1342"/>
      <c r="C50" s="1303" t="s">
        <v>447</v>
      </c>
      <c r="D50" s="1313" t="s">
        <v>14</v>
      </c>
      <c r="E50" s="1318">
        <v>508</v>
      </c>
      <c r="F50" s="1322">
        <f t="shared" ref="F50:F51" si="22">G50-E50</f>
        <v>0</v>
      </c>
      <c r="G50" s="1316" t="s">
        <v>1038</v>
      </c>
      <c r="H50" s="1325">
        <v>508</v>
      </c>
      <c r="I50" s="1308">
        <v>0</v>
      </c>
      <c r="J50" s="1658">
        <f t="shared" si="3"/>
        <v>1</v>
      </c>
      <c r="K50" s="1308">
        <v>0</v>
      </c>
      <c r="L50" s="1308">
        <v>0</v>
      </c>
      <c r="M50" s="1307"/>
    </row>
    <row r="51" spans="1:13" x14ac:dyDescent="0.2">
      <c r="A51" s="1342"/>
      <c r="B51" s="1342"/>
      <c r="C51" s="1303" t="s">
        <v>450</v>
      </c>
      <c r="D51" s="1313" t="s">
        <v>15</v>
      </c>
      <c r="E51" s="1318">
        <v>36.770000000000003</v>
      </c>
      <c r="F51" s="1322">
        <f t="shared" si="22"/>
        <v>0</v>
      </c>
      <c r="G51" s="1316" t="s">
        <v>1039</v>
      </c>
      <c r="H51" s="1325">
        <v>36.770000000000003</v>
      </c>
      <c r="I51" s="1308">
        <v>0</v>
      </c>
      <c r="J51" s="1658">
        <f t="shared" si="3"/>
        <v>1</v>
      </c>
      <c r="K51" s="1308">
        <v>0</v>
      </c>
      <c r="L51" s="1308">
        <v>0</v>
      </c>
      <c r="M51" s="1307"/>
    </row>
    <row r="52" spans="1:13" ht="56.25" x14ac:dyDescent="0.2">
      <c r="A52" s="1299"/>
      <c r="B52" s="1341" t="s">
        <v>688</v>
      </c>
      <c r="C52" s="1300"/>
      <c r="D52" s="1312" t="s">
        <v>29</v>
      </c>
      <c r="E52" s="1317">
        <f>E53+E54+E55</f>
        <v>0</v>
      </c>
      <c r="F52" s="1321">
        <f t="shared" ref="F52:L52" si="23">F53+F54+F55</f>
        <v>37591.25</v>
      </c>
      <c r="G52" s="1320">
        <f t="shared" si="23"/>
        <v>37591.25</v>
      </c>
      <c r="H52" s="1324">
        <f t="shared" si="23"/>
        <v>32754.050000000003</v>
      </c>
      <c r="I52" s="1321">
        <f t="shared" si="23"/>
        <v>0</v>
      </c>
      <c r="J52" s="1800">
        <f t="shared" si="3"/>
        <v>0.87132111861137906</v>
      </c>
      <c r="K52" s="1321">
        <f t="shared" si="23"/>
        <v>0</v>
      </c>
      <c r="L52" s="1321">
        <f t="shared" si="23"/>
        <v>0</v>
      </c>
      <c r="M52" s="1307"/>
    </row>
    <row r="53" spans="1:13" x14ac:dyDescent="0.2">
      <c r="A53" s="1342"/>
      <c r="B53" s="1342"/>
      <c r="C53" s="1303" t="s">
        <v>447</v>
      </c>
      <c r="D53" s="1313" t="s">
        <v>14</v>
      </c>
      <c r="E53" s="1318">
        <v>0</v>
      </c>
      <c r="F53" s="1322">
        <f t="shared" ref="F53:F55" si="24">G53-E53</f>
        <v>2562.5</v>
      </c>
      <c r="G53" s="1316" t="s">
        <v>1041</v>
      </c>
      <c r="H53" s="1325">
        <v>2519.73</v>
      </c>
      <c r="I53" s="1308">
        <v>0</v>
      </c>
      <c r="J53" s="1658">
        <f t="shared" si="3"/>
        <v>0.98330926829268295</v>
      </c>
      <c r="K53" s="1308">
        <v>0</v>
      </c>
      <c r="L53" s="1308">
        <v>0</v>
      </c>
      <c r="M53" s="1307"/>
    </row>
    <row r="54" spans="1:13" x14ac:dyDescent="0.2">
      <c r="A54" s="1342"/>
      <c r="B54" s="1342"/>
      <c r="C54" s="1303" t="s">
        <v>450</v>
      </c>
      <c r="D54" s="1313" t="s">
        <v>15</v>
      </c>
      <c r="E54" s="1318">
        <v>0</v>
      </c>
      <c r="F54" s="1322">
        <f t="shared" si="24"/>
        <v>281.75</v>
      </c>
      <c r="G54" s="1316" t="s">
        <v>1042</v>
      </c>
      <c r="H54" s="1325">
        <v>257.58</v>
      </c>
      <c r="I54" s="1308">
        <v>0</v>
      </c>
      <c r="J54" s="1658">
        <f t="shared" si="3"/>
        <v>0.91421472937000881</v>
      </c>
      <c r="K54" s="1308">
        <v>0</v>
      </c>
      <c r="L54" s="1308">
        <v>0</v>
      </c>
      <c r="M54" s="1307"/>
    </row>
    <row r="55" spans="1:13" x14ac:dyDescent="0.2">
      <c r="A55" s="1342"/>
      <c r="B55" s="1342"/>
      <c r="C55" s="1303" t="s">
        <v>442</v>
      </c>
      <c r="D55" s="1313" t="s">
        <v>31</v>
      </c>
      <c r="E55" s="1318">
        <v>0</v>
      </c>
      <c r="F55" s="1322">
        <f t="shared" si="24"/>
        <v>34747</v>
      </c>
      <c r="G55" s="1316" t="s">
        <v>1043</v>
      </c>
      <c r="H55" s="1325">
        <v>29976.74</v>
      </c>
      <c r="I55" s="1308">
        <v>0</v>
      </c>
      <c r="J55" s="1658">
        <f t="shared" si="3"/>
        <v>0.86271447894782283</v>
      </c>
      <c r="K55" s="1308">
        <v>0</v>
      </c>
      <c r="L55" s="1308">
        <v>0</v>
      </c>
      <c r="M55" s="1307"/>
    </row>
    <row r="56" spans="1:13" ht="22.5" x14ac:dyDescent="0.2">
      <c r="A56" s="1334" t="s">
        <v>200</v>
      </c>
      <c r="B56" s="1334"/>
      <c r="C56" s="1334"/>
      <c r="D56" s="1335" t="s">
        <v>328</v>
      </c>
      <c r="E56" s="1336">
        <f>E57+E61</f>
        <v>48620.36</v>
      </c>
      <c r="F56" s="1330">
        <f t="shared" ref="F56:L56" si="25">F57+F61</f>
        <v>48608</v>
      </c>
      <c r="G56" s="1827">
        <f t="shared" si="25"/>
        <v>97228.36</v>
      </c>
      <c r="H56" s="1811">
        <f t="shared" si="25"/>
        <v>94126.38</v>
      </c>
      <c r="I56" s="1330">
        <f t="shared" si="25"/>
        <v>0</v>
      </c>
      <c r="J56" s="1333">
        <f t="shared" si="3"/>
        <v>0.96809593414925443</v>
      </c>
      <c r="K56" s="1330">
        <f t="shared" si="25"/>
        <v>638.66</v>
      </c>
      <c r="L56" s="1330">
        <f t="shared" si="25"/>
        <v>0</v>
      </c>
      <c r="M56" s="1307"/>
    </row>
    <row r="57" spans="1:13" ht="15" x14ac:dyDescent="0.2">
      <c r="A57" s="1299"/>
      <c r="B57" s="1341" t="s">
        <v>204</v>
      </c>
      <c r="C57" s="1300"/>
      <c r="D57" s="1312" t="s">
        <v>329</v>
      </c>
      <c r="E57" s="1317">
        <f>E58+E59+E60</f>
        <v>48620.36</v>
      </c>
      <c r="F57" s="1321">
        <f t="shared" ref="F57:L57" si="26">F58+F59+F60</f>
        <v>0</v>
      </c>
      <c r="G57" s="1320">
        <f t="shared" si="26"/>
        <v>48620.36</v>
      </c>
      <c r="H57" s="1324">
        <f t="shared" si="26"/>
        <v>45521.46</v>
      </c>
      <c r="I57" s="1321">
        <f t="shared" si="26"/>
        <v>0</v>
      </c>
      <c r="J57" s="1800">
        <f t="shared" si="3"/>
        <v>0.93626332672156276</v>
      </c>
      <c r="K57" s="1321">
        <f t="shared" si="26"/>
        <v>638.66</v>
      </c>
      <c r="L57" s="1321">
        <f t="shared" si="26"/>
        <v>0</v>
      </c>
      <c r="M57" s="1307"/>
    </row>
    <row r="58" spans="1:13" x14ac:dyDescent="0.2">
      <c r="A58" s="1342"/>
      <c r="B58" s="1342"/>
      <c r="C58" s="1303" t="s">
        <v>447</v>
      </c>
      <c r="D58" s="1313" t="s">
        <v>14</v>
      </c>
      <c r="E58" s="1318">
        <v>6997.02</v>
      </c>
      <c r="F58" s="1322">
        <f t="shared" ref="F58:F60" si="27">G58-E58</f>
        <v>0</v>
      </c>
      <c r="G58" s="1316" t="s">
        <v>1055</v>
      </c>
      <c r="H58" s="1325">
        <v>6054.19</v>
      </c>
      <c r="I58" s="1308">
        <v>0</v>
      </c>
      <c r="J58" s="1658">
        <f t="shared" si="3"/>
        <v>0.8652526361222348</v>
      </c>
      <c r="K58" s="1308">
        <v>569.77</v>
      </c>
      <c r="L58" s="1308">
        <v>0</v>
      </c>
      <c r="M58" s="1307"/>
    </row>
    <row r="59" spans="1:13" x14ac:dyDescent="0.2">
      <c r="A59" s="1342"/>
      <c r="B59" s="1342"/>
      <c r="C59" s="1303" t="s">
        <v>450</v>
      </c>
      <c r="D59" s="1313" t="s">
        <v>15</v>
      </c>
      <c r="E59" s="1318">
        <v>919.34</v>
      </c>
      <c r="F59" s="1322">
        <f t="shared" si="27"/>
        <v>0</v>
      </c>
      <c r="G59" s="1316" t="s">
        <v>1056</v>
      </c>
      <c r="H59" s="1325">
        <v>783.27</v>
      </c>
      <c r="I59" s="1308">
        <v>0</v>
      </c>
      <c r="J59" s="1658">
        <f t="shared" si="3"/>
        <v>0.85199164618095591</v>
      </c>
      <c r="K59" s="1308">
        <v>68.89</v>
      </c>
      <c r="L59" s="1308">
        <v>0</v>
      </c>
      <c r="M59" s="1307"/>
    </row>
    <row r="60" spans="1:13" x14ac:dyDescent="0.2">
      <c r="A60" s="1342"/>
      <c r="B60" s="1342"/>
      <c r="C60" s="1303" t="s">
        <v>442</v>
      </c>
      <c r="D60" s="1313" t="s">
        <v>31</v>
      </c>
      <c r="E60" s="1318">
        <v>40704</v>
      </c>
      <c r="F60" s="1322">
        <f t="shared" si="27"/>
        <v>0</v>
      </c>
      <c r="G60" s="1316" t="s">
        <v>1057</v>
      </c>
      <c r="H60" s="1325">
        <v>38684</v>
      </c>
      <c r="I60" s="1308">
        <v>0</v>
      </c>
      <c r="J60" s="1658">
        <f t="shared" si="3"/>
        <v>0.95037342767295596</v>
      </c>
      <c r="K60" s="1308">
        <v>0</v>
      </c>
      <c r="L60" s="1308">
        <v>0</v>
      </c>
      <c r="M60" s="1307"/>
    </row>
    <row r="61" spans="1:13" ht="22.5" x14ac:dyDescent="0.2">
      <c r="A61" s="1299"/>
      <c r="B61" s="1341" t="s">
        <v>1068</v>
      </c>
      <c r="C61" s="1300"/>
      <c r="D61" s="1312" t="s">
        <v>330</v>
      </c>
      <c r="E61" s="1317">
        <f>E62+E63+E64</f>
        <v>0</v>
      </c>
      <c r="F61" s="1321">
        <f t="shared" ref="F61:L61" si="28">F62+F63+F64</f>
        <v>48608</v>
      </c>
      <c r="G61" s="1320">
        <f t="shared" si="28"/>
        <v>48608</v>
      </c>
      <c r="H61" s="1324">
        <f t="shared" si="28"/>
        <v>48604.92</v>
      </c>
      <c r="I61" s="1321">
        <f t="shared" si="28"/>
        <v>0</v>
      </c>
      <c r="J61" s="1800">
        <f t="shared" si="3"/>
        <v>0.99993663594470039</v>
      </c>
      <c r="K61" s="1321">
        <f t="shared" si="28"/>
        <v>0</v>
      </c>
      <c r="L61" s="1321">
        <f t="shared" si="28"/>
        <v>0</v>
      </c>
      <c r="M61" s="1307"/>
    </row>
    <row r="62" spans="1:13" x14ac:dyDescent="0.2">
      <c r="A62" s="1342"/>
      <c r="B62" s="1342"/>
      <c r="C62" s="1303" t="s">
        <v>447</v>
      </c>
      <c r="D62" s="1313" t="s">
        <v>14</v>
      </c>
      <c r="E62" s="1318">
        <v>0</v>
      </c>
      <c r="F62" s="1322">
        <f>G62-E62</f>
        <v>2704</v>
      </c>
      <c r="G62" s="1316" t="s">
        <v>1070</v>
      </c>
      <c r="H62" s="1325">
        <v>2701.8</v>
      </c>
      <c r="I62" s="1308">
        <v>0</v>
      </c>
      <c r="J62" s="1658">
        <f t="shared" si="3"/>
        <v>0.99918639053254443</v>
      </c>
      <c r="K62" s="1308">
        <v>0</v>
      </c>
      <c r="L62" s="1308">
        <v>0</v>
      </c>
      <c r="M62" s="1307"/>
    </row>
    <row r="63" spans="1:13" x14ac:dyDescent="0.2">
      <c r="A63" s="1342"/>
      <c r="B63" s="1342"/>
      <c r="C63" s="1303" t="s">
        <v>450</v>
      </c>
      <c r="D63" s="1313" t="s">
        <v>15</v>
      </c>
      <c r="E63" s="1318">
        <v>0</v>
      </c>
      <c r="F63" s="1322">
        <f>G63-E63</f>
        <v>388</v>
      </c>
      <c r="G63" s="1316" t="s">
        <v>1071</v>
      </c>
      <c r="H63" s="1325">
        <v>387.12</v>
      </c>
      <c r="I63" s="1308">
        <v>0</v>
      </c>
      <c r="J63" s="1658">
        <f t="shared" si="3"/>
        <v>0.99773195876288656</v>
      </c>
      <c r="K63" s="1308">
        <v>0</v>
      </c>
      <c r="L63" s="1308">
        <v>0</v>
      </c>
      <c r="M63" s="1307"/>
    </row>
    <row r="64" spans="1:13" x14ac:dyDescent="0.2">
      <c r="A64" s="1342"/>
      <c r="B64" s="1342"/>
      <c r="C64" s="1303" t="s">
        <v>442</v>
      </c>
      <c r="D64" s="1313" t="s">
        <v>31</v>
      </c>
      <c r="E64" s="1318">
        <v>0</v>
      </c>
      <c r="F64" s="1322">
        <f>G64-E64</f>
        <v>45516</v>
      </c>
      <c r="G64" s="1316" t="s">
        <v>1072</v>
      </c>
      <c r="H64" s="1325">
        <v>45516</v>
      </c>
      <c r="I64" s="1308">
        <v>0</v>
      </c>
      <c r="J64" s="1658">
        <f t="shared" si="3"/>
        <v>1</v>
      </c>
      <c r="K64" s="1308">
        <v>0</v>
      </c>
      <c r="L64" s="1308">
        <v>0</v>
      </c>
      <c r="M64" s="1307"/>
    </row>
    <row r="65" spans="1:13" x14ac:dyDescent="0.2">
      <c r="A65" s="1334" t="s">
        <v>218</v>
      </c>
      <c r="B65" s="1334"/>
      <c r="C65" s="1334"/>
      <c r="D65" s="1335" t="s">
        <v>33</v>
      </c>
      <c r="E65" s="1336">
        <f>E66+E72+E77+E83+E89+E95+E100+E105+E109</f>
        <v>16986550.379999999</v>
      </c>
      <c r="F65" s="1330">
        <f t="shared" ref="F65:L65" si="29">F66+F72+F77+F83+F89+F95+F100+F105+F109</f>
        <v>725876.98999999976</v>
      </c>
      <c r="G65" s="1827">
        <f t="shared" si="29"/>
        <v>17712427.370000001</v>
      </c>
      <c r="H65" s="1811">
        <f t="shared" si="29"/>
        <v>17655544.780000005</v>
      </c>
      <c r="I65" s="1330">
        <f t="shared" si="29"/>
        <v>0</v>
      </c>
      <c r="J65" s="1333">
        <f t="shared" si="3"/>
        <v>0.99678854914621473</v>
      </c>
      <c r="K65" s="1330">
        <f t="shared" si="29"/>
        <v>1667480.8800000001</v>
      </c>
      <c r="L65" s="1330">
        <f t="shared" si="29"/>
        <v>0</v>
      </c>
      <c r="M65" s="1307"/>
    </row>
    <row r="66" spans="1:13" ht="15" x14ac:dyDescent="0.2">
      <c r="A66" s="1299"/>
      <c r="B66" s="1341" t="s">
        <v>219</v>
      </c>
      <c r="C66" s="1300"/>
      <c r="D66" s="1312" t="s">
        <v>77</v>
      </c>
      <c r="E66" s="1317">
        <f>E67+E68+E69+E70+E71</f>
        <v>10261835</v>
      </c>
      <c r="F66" s="1321">
        <f t="shared" ref="F66:L66" si="30">F67+F68+F69+F70+F71</f>
        <v>787325.93999999983</v>
      </c>
      <c r="G66" s="1320">
        <f t="shared" si="30"/>
        <v>11049160.939999999</v>
      </c>
      <c r="H66" s="1324">
        <f t="shared" si="30"/>
        <v>11039999.119999999</v>
      </c>
      <c r="I66" s="1321">
        <f t="shared" si="30"/>
        <v>0</v>
      </c>
      <c r="J66" s="1800">
        <f t="shared" si="3"/>
        <v>0.99917081305542099</v>
      </c>
      <c r="K66" s="1321">
        <f t="shared" si="30"/>
        <v>1162915.4800000002</v>
      </c>
      <c r="L66" s="1321">
        <f t="shared" si="30"/>
        <v>0</v>
      </c>
      <c r="M66" s="1307"/>
    </row>
    <row r="67" spans="1:13" ht="22.5" x14ac:dyDescent="0.2">
      <c r="A67" s="1342"/>
      <c r="B67" s="1342"/>
      <c r="C67" s="1303" t="s">
        <v>890</v>
      </c>
      <c r="D67" s="1313" t="s">
        <v>13</v>
      </c>
      <c r="E67" s="1318">
        <v>7908800</v>
      </c>
      <c r="F67" s="1322">
        <f t="shared" ref="F67:F71" si="31">G67-E67</f>
        <v>782523.58999999985</v>
      </c>
      <c r="G67" s="1316" t="s">
        <v>1096</v>
      </c>
      <c r="H67" s="1325">
        <v>8690582.0399999991</v>
      </c>
      <c r="I67" s="1308">
        <v>0</v>
      </c>
      <c r="J67" s="1658">
        <f t="shared" si="3"/>
        <v>0.99991467927844113</v>
      </c>
      <c r="K67" s="1308">
        <v>170114.55</v>
      </c>
      <c r="L67" s="1308">
        <v>0</v>
      </c>
      <c r="M67" s="1307"/>
    </row>
    <row r="68" spans="1:13" x14ac:dyDescent="0.2">
      <c r="A68" s="1342"/>
      <c r="B68" s="1342"/>
      <c r="C68" s="1303" t="s">
        <v>959</v>
      </c>
      <c r="D68" s="1313" t="s">
        <v>960</v>
      </c>
      <c r="E68" s="1318">
        <v>581128</v>
      </c>
      <c r="F68" s="1322">
        <f t="shared" si="31"/>
        <v>-29677.25</v>
      </c>
      <c r="G68" s="1316" t="s">
        <v>1097</v>
      </c>
      <c r="H68" s="1325">
        <v>551450.75</v>
      </c>
      <c r="I68" s="1308">
        <v>0</v>
      </c>
      <c r="J68" s="1658">
        <f t="shared" si="3"/>
        <v>1</v>
      </c>
      <c r="K68" s="1308">
        <v>750358.94</v>
      </c>
      <c r="L68" s="1308">
        <v>0</v>
      </c>
      <c r="M68" s="1307"/>
    </row>
    <row r="69" spans="1:13" x14ac:dyDescent="0.2">
      <c r="A69" s="1342"/>
      <c r="B69" s="1342"/>
      <c r="C69" s="1303" t="s">
        <v>447</v>
      </c>
      <c r="D69" s="1313" t="s">
        <v>14</v>
      </c>
      <c r="E69" s="1318">
        <v>1502480</v>
      </c>
      <c r="F69" s="1322">
        <f t="shared" si="31"/>
        <v>70497.739999999991</v>
      </c>
      <c r="G69" s="1316" t="s">
        <v>1098</v>
      </c>
      <c r="H69" s="1325">
        <v>1572977.74</v>
      </c>
      <c r="I69" s="1308">
        <v>0</v>
      </c>
      <c r="J69" s="1658">
        <f t="shared" si="3"/>
        <v>1</v>
      </c>
      <c r="K69" s="1308">
        <v>216934.63</v>
      </c>
      <c r="L69" s="1308">
        <v>0</v>
      </c>
      <c r="M69" s="1307"/>
    </row>
    <row r="70" spans="1:13" x14ac:dyDescent="0.2">
      <c r="A70" s="1342"/>
      <c r="B70" s="1342"/>
      <c r="C70" s="1303" t="s">
        <v>450</v>
      </c>
      <c r="D70" s="1313" t="s">
        <v>15</v>
      </c>
      <c r="E70" s="1318">
        <v>214711</v>
      </c>
      <c r="F70" s="1322">
        <f t="shared" si="31"/>
        <v>-32018.140000000014</v>
      </c>
      <c r="G70" s="1316" t="s">
        <v>1099</v>
      </c>
      <c r="H70" s="1325">
        <v>182692.86</v>
      </c>
      <c r="I70" s="1308">
        <v>0</v>
      </c>
      <c r="J70" s="1658">
        <f t="shared" si="3"/>
        <v>1</v>
      </c>
      <c r="K70" s="1308">
        <v>24972.09</v>
      </c>
      <c r="L70" s="1308">
        <v>0</v>
      </c>
      <c r="M70" s="1307"/>
    </row>
    <row r="71" spans="1:13" x14ac:dyDescent="0.2">
      <c r="A71" s="1342"/>
      <c r="B71" s="1342"/>
      <c r="C71" s="1303" t="s">
        <v>442</v>
      </c>
      <c r="D71" s="1313" t="s">
        <v>31</v>
      </c>
      <c r="E71" s="1318">
        <v>54716</v>
      </c>
      <c r="F71" s="1322">
        <f t="shared" si="31"/>
        <v>-4000</v>
      </c>
      <c r="G71" s="1316" t="s">
        <v>1100</v>
      </c>
      <c r="H71" s="1325">
        <v>42295.73</v>
      </c>
      <c r="I71" s="1308">
        <v>0</v>
      </c>
      <c r="J71" s="1658">
        <f t="shared" si="3"/>
        <v>0.83397211925230708</v>
      </c>
      <c r="K71" s="1308">
        <v>535.27</v>
      </c>
      <c r="L71" s="1308">
        <v>0</v>
      </c>
      <c r="M71" s="1307"/>
    </row>
    <row r="72" spans="1:13" ht="22.5" x14ac:dyDescent="0.2">
      <c r="A72" s="1299"/>
      <c r="B72" s="1341" t="s">
        <v>782</v>
      </c>
      <c r="C72" s="1300"/>
      <c r="D72" s="1312" t="s">
        <v>783</v>
      </c>
      <c r="E72" s="1317">
        <f>E73+E74+E75+E76</f>
        <v>654754</v>
      </c>
      <c r="F72" s="1321">
        <f t="shared" ref="F72:L72" si="32">F73+F74+F75+F76</f>
        <v>37119.140000000036</v>
      </c>
      <c r="G72" s="1320">
        <f t="shared" si="32"/>
        <v>691873.14</v>
      </c>
      <c r="H72" s="1324">
        <f t="shared" si="32"/>
        <v>691435.04</v>
      </c>
      <c r="I72" s="1321">
        <f t="shared" si="32"/>
        <v>0</v>
      </c>
      <c r="J72" s="1800">
        <f t="shared" si="3"/>
        <v>0.99936679143231377</v>
      </c>
      <c r="K72" s="1321">
        <f t="shared" si="32"/>
        <v>59779.58</v>
      </c>
      <c r="L72" s="1321">
        <f t="shared" si="32"/>
        <v>0</v>
      </c>
      <c r="M72" s="1307"/>
    </row>
    <row r="73" spans="1:13" ht="22.5" x14ac:dyDescent="0.2">
      <c r="A73" s="1342"/>
      <c r="B73" s="1342"/>
      <c r="C73" s="1303" t="s">
        <v>890</v>
      </c>
      <c r="D73" s="1313" t="s">
        <v>13</v>
      </c>
      <c r="E73" s="1318">
        <v>511200</v>
      </c>
      <c r="F73" s="1322">
        <f t="shared" ref="F73:F76" si="33">G73-E73</f>
        <v>35876.660000000033</v>
      </c>
      <c r="G73" s="1316" t="s">
        <v>1120</v>
      </c>
      <c r="H73" s="1325">
        <v>546638.56000000006</v>
      </c>
      <c r="I73" s="1308">
        <v>0</v>
      </c>
      <c r="J73" s="1658">
        <f t="shared" si="3"/>
        <v>0.99919919815259528</v>
      </c>
      <c r="K73" s="1308">
        <v>8193.8700000000008</v>
      </c>
      <c r="L73" s="1308">
        <v>0</v>
      </c>
      <c r="M73" s="1307"/>
    </row>
    <row r="74" spans="1:13" x14ac:dyDescent="0.2">
      <c r="A74" s="1342"/>
      <c r="B74" s="1342"/>
      <c r="C74" s="1303" t="s">
        <v>959</v>
      </c>
      <c r="D74" s="1313" t="s">
        <v>960</v>
      </c>
      <c r="E74" s="1318">
        <v>38094</v>
      </c>
      <c r="F74" s="1322">
        <f t="shared" si="33"/>
        <v>-3641.5199999999968</v>
      </c>
      <c r="G74" s="1316" t="s">
        <v>1121</v>
      </c>
      <c r="H74" s="1325">
        <v>34452.480000000003</v>
      </c>
      <c r="I74" s="1308">
        <v>0</v>
      </c>
      <c r="J74" s="1658">
        <f t="shared" si="3"/>
        <v>1</v>
      </c>
      <c r="K74" s="1308">
        <v>38816.449999999997</v>
      </c>
      <c r="L74" s="1308">
        <v>0</v>
      </c>
      <c r="M74" s="1307"/>
    </row>
    <row r="75" spans="1:13" x14ac:dyDescent="0.2">
      <c r="A75" s="1342"/>
      <c r="B75" s="1342"/>
      <c r="C75" s="1303" t="s">
        <v>447</v>
      </c>
      <c r="D75" s="1313" t="s">
        <v>14</v>
      </c>
      <c r="E75" s="1318">
        <v>92244</v>
      </c>
      <c r="F75" s="1322">
        <f t="shared" si="33"/>
        <v>6872</v>
      </c>
      <c r="G75" s="1316" t="s">
        <v>1122</v>
      </c>
      <c r="H75" s="1325">
        <v>99116</v>
      </c>
      <c r="I75" s="1308">
        <v>0</v>
      </c>
      <c r="J75" s="1658">
        <f t="shared" si="3"/>
        <v>1</v>
      </c>
      <c r="K75" s="1308">
        <v>11667.11</v>
      </c>
      <c r="L75" s="1308">
        <v>0</v>
      </c>
      <c r="M75" s="1307"/>
    </row>
    <row r="76" spans="1:13" x14ac:dyDescent="0.2">
      <c r="A76" s="1342"/>
      <c r="B76" s="1342"/>
      <c r="C76" s="1303" t="s">
        <v>450</v>
      </c>
      <c r="D76" s="1313" t="s">
        <v>15</v>
      </c>
      <c r="E76" s="1318">
        <v>13216</v>
      </c>
      <c r="F76" s="1322">
        <f t="shared" si="33"/>
        <v>-1988</v>
      </c>
      <c r="G76" s="1316" t="s">
        <v>1123</v>
      </c>
      <c r="H76" s="1325">
        <v>11228</v>
      </c>
      <c r="I76" s="1308">
        <v>0</v>
      </c>
      <c r="J76" s="1658">
        <f t="shared" ref="J76:J137" si="34">H76/G76</f>
        <v>1</v>
      </c>
      <c r="K76" s="1308">
        <v>1102.1500000000001</v>
      </c>
      <c r="L76" s="1308">
        <v>0</v>
      </c>
      <c r="M76" s="1307"/>
    </row>
    <row r="77" spans="1:13" ht="15" x14ac:dyDescent="0.2">
      <c r="A77" s="1299"/>
      <c r="B77" s="1341" t="s">
        <v>427</v>
      </c>
      <c r="C77" s="1300"/>
      <c r="D77" s="1312" t="s">
        <v>785</v>
      </c>
      <c r="E77" s="1317">
        <f>E78+E79+E80+E81+E82</f>
        <v>3161654</v>
      </c>
      <c r="F77" s="1321">
        <f t="shared" ref="F77:L77" si="35">F78+F79+F80+F81+F82</f>
        <v>2717.1399999999558</v>
      </c>
      <c r="G77" s="1320">
        <f t="shared" si="35"/>
        <v>3164371.14</v>
      </c>
      <c r="H77" s="1324">
        <f t="shared" si="35"/>
        <v>3162758.4400000004</v>
      </c>
      <c r="I77" s="1321">
        <f t="shared" si="35"/>
        <v>0</v>
      </c>
      <c r="J77" s="1800">
        <f t="shared" si="34"/>
        <v>0.99949035687387799</v>
      </c>
      <c r="K77" s="1321">
        <f t="shared" si="35"/>
        <v>296972.02</v>
      </c>
      <c r="L77" s="1321">
        <f t="shared" si="35"/>
        <v>0</v>
      </c>
      <c r="M77" s="1307"/>
    </row>
    <row r="78" spans="1:13" ht="22.5" x14ac:dyDescent="0.2">
      <c r="A78" s="1342"/>
      <c r="B78" s="1342"/>
      <c r="C78" s="1303" t="s">
        <v>890</v>
      </c>
      <c r="D78" s="1313" t="s">
        <v>13</v>
      </c>
      <c r="E78" s="1318">
        <v>2446600</v>
      </c>
      <c r="F78" s="1322">
        <f t="shared" ref="F78:F82" si="36">G78-E78</f>
        <v>12482.939999999944</v>
      </c>
      <c r="G78" s="1316" t="s">
        <v>1134</v>
      </c>
      <c r="H78" s="1325">
        <v>2459082.94</v>
      </c>
      <c r="I78" s="1308">
        <v>0</v>
      </c>
      <c r="J78" s="1658">
        <f t="shared" si="34"/>
        <v>1</v>
      </c>
      <c r="K78" s="1308">
        <v>37593.35</v>
      </c>
      <c r="L78" s="1308">
        <v>0</v>
      </c>
      <c r="M78" s="1307"/>
    </row>
    <row r="79" spans="1:13" x14ac:dyDescent="0.2">
      <c r="A79" s="1342"/>
      <c r="B79" s="1342"/>
      <c r="C79" s="1303" t="s">
        <v>959</v>
      </c>
      <c r="D79" s="1313" t="s">
        <v>960</v>
      </c>
      <c r="E79" s="1318">
        <v>184632</v>
      </c>
      <c r="F79" s="1322">
        <f t="shared" si="36"/>
        <v>-8477.9400000000023</v>
      </c>
      <c r="G79" s="1316" t="s">
        <v>1135</v>
      </c>
      <c r="H79" s="1325">
        <v>176153.26</v>
      </c>
      <c r="I79" s="1308">
        <v>0</v>
      </c>
      <c r="J79" s="1658">
        <f t="shared" si="34"/>
        <v>0.99999545852079719</v>
      </c>
      <c r="K79" s="1308">
        <v>198322.45</v>
      </c>
      <c r="L79" s="1308">
        <v>0</v>
      </c>
      <c r="M79" s="1307"/>
    </row>
    <row r="80" spans="1:13" x14ac:dyDescent="0.2">
      <c r="A80" s="1342"/>
      <c r="B80" s="1342"/>
      <c r="C80" s="1303" t="s">
        <v>447</v>
      </c>
      <c r="D80" s="1313" t="s">
        <v>14</v>
      </c>
      <c r="E80" s="1318">
        <v>459213</v>
      </c>
      <c r="F80" s="1322">
        <f t="shared" si="36"/>
        <v>6712.140000000014</v>
      </c>
      <c r="G80" s="1316" t="s">
        <v>1136</v>
      </c>
      <c r="H80" s="1325">
        <v>465925.14</v>
      </c>
      <c r="I80" s="1308">
        <v>0</v>
      </c>
      <c r="J80" s="1658">
        <f t="shared" si="34"/>
        <v>1</v>
      </c>
      <c r="K80" s="1308">
        <v>55240.58</v>
      </c>
      <c r="L80" s="1308">
        <v>0</v>
      </c>
      <c r="M80" s="1307"/>
    </row>
    <row r="81" spans="1:13" x14ac:dyDescent="0.2">
      <c r="A81" s="1342"/>
      <c r="B81" s="1342"/>
      <c r="C81" s="1303" t="s">
        <v>450</v>
      </c>
      <c r="D81" s="1313" t="s">
        <v>15</v>
      </c>
      <c r="E81" s="1318">
        <v>65209</v>
      </c>
      <c r="F81" s="1322">
        <f t="shared" si="36"/>
        <v>-8000</v>
      </c>
      <c r="G81" s="1316" t="s">
        <v>1137</v>
      </c>
      <c r="H81" s="1325">
        <v>56667.58</v>
      </c>
      <c r="I81" s="1308">
        <v>0</v>
      </c>
      <c r="J81" s="1658">
        <f t="shared" si="34"/>
        <v>0.99053610445908868</v>
      </c>
      <c r="K81" s="1308">
        <v>5815.64</v>
      </c>
      <c r="L81" s="1308">
        <v>0</v>
      </c>
      <c r="M81" s="1307"/>
    </row>
    <row r="82" spans="1:13" x14ac:dyDescent="0.2">
      <c r="A82" s="1342"/>
      <c r="B82" s="1342"/>
      <c r="C82" s="1303" t="s">
        <v>442</v>
      </c>
      <c r="D82" s="1313" t="s">
        <v>31</v>
      </c>
      <c r="E82" s="1318">
        <v>6000</v>
      </c>
      <c r="F82" s="1322">
        <f t="shared" si="36"/>
        <v>0</v>
      </c>
      <c r="G82" s="1316" t="s">
        <v>716</v>
      </c>
      <c r="H82" s="1325">
        <v>4929.5200000000004</v>
      </c>
      <c r="I82" s="1308">
        <v>0</v>
      </c>
      <c r="J82" s="1658">
        <f t="shared" si="34"/>
        <v>0.82158666666666669</v>
      </c>
      <c r="K82" s="1308">
        <v>0</v>
      </c>
      <c r="L82" s="1308">
        <v>0</v>
      </c>
      <c r="M82" s="1307"/>
    </row>
    <row r="83" spans="1:13" ht="15" x14ac:dyDescent="0.2">
      <c r="A83" s="1299"/>
      <c r="B83" s="1341" t="s">
        <v>1149</v>
      </c>
      <c r="C83" s="1300"/>
      <c r="D83" s="1312" t="s">
        <v>306</v>
      </c>
      <c r="E83" s="1317">
        <f>E84+E85+E86+E87+E88</f>
        <v>1585983</v>
      </c>
      <c r="F83" s="1321">
        <f t="shared" ref="F83:L83" si="37">F84+F85+F86+F87+F88</f>
        <v>-219821.52000000002</v>
      </c>
      <c r="G83" s="1320">
        <f t="shared" si="37"/>
        <v>1366161.48</v>
      </c>
      <c r="H83" s="1324">
        <f t="shared" si="37"/>
        <v>1365981.48</v>
      </c>
      <c r="I83" s="1321">
        <f t="shared" si="37"/>
        <v>0</v>
      </c>
      <c r="J83" s="1800">
        <f t="shared" si="34"/>
        <v>0.99986824397947449</v>
      </c>
      <c r="K83" s="1321">
        <f t="shared" si="37"/>
        <v>91031.12</v>
      </c>
      <c r="L83" s="1321">
        <f t="shared" si="37"/>
        <v>0</v>
      </c>
      <c r="M83" s="1307"/>
    </row>
    <row r="84" spans="1:13" ht="22.5" x14ac:dyDescent="0.2">
      <c r="A84" s="1342"/>
      <c r="B84" s="1342"/>
      <c r="C84" s="1303" t="s">
        <v>890</v>
      </c>
      <c r="D84" s="1313" t="s">
        <v>13</v>
      </c>
      <c r="E84" s="1318">
        <v>1199700</v>
      </c>
      <c r="F84" s="1322">
        <f t="shared" ref="F84:F88" si="38">G84-E84</f>
        <v>-182188</v>
      </c>
      <c r="G84" s="1316" t="s">
        <v>1155</v>
      </c>
      <c r="H84" s="1325">
        <v>1017512</v>
      </c>
      <c r="I84" s="1308">
        <v>0</v>
      </c>
      <c r="J84" s="1658">
        <f t="shared" si="34"/>
        <v>1</v>
      </c>
      <c r="K84" s="1308">
        <v>5971.09</v>
      </c>
      <c r="L84" s="1308">
        <v>0</v>
      </c>
      <c r="M84" s="1307"/>
    </row>
    <row r="85" spans="1:13" x14ac:dyDescent="0.2">
      <c r="A85" s="1342"/>
      <c r="B85" s="1342"/>
      <c r="C85" s="1303" t="s">
        <v>959</v>
      </c>
      <c r="D85" s="1313" t="s">
        <v>960</v>
      </c>
      <c r="E85" s="1318">
        <v>125654</v>
      </c>
      <c r="F85" s="1322">
        <f t="shared" si="38"/>
        <v>543.47999999999593</v>
      </c>
      <c r="G85" s="1316" t="s">
        <v>1156</v>
      </c>
      <c r="H85" s="1325">
        <v>126197.48</v>
      </c>
      <c r="I85" s="1308">
        <v>0</v>
      </c>
      <c r="J85" s="1658">
        <f t="shared" si="34"/>
        <v>1</v>
      </c>
      <c r="K85" s="1308">
        <v>65699.679999999993</v>
      </c>
      <c r="L85" s="1308">
        <v>0</v>
      </c>
      <c r="M85" s="1307"/>
    </row>
    <row r="86" spans="1:13" x14ac:dyDescent="0.2">
      <c r="A86" s="1342"/>
      <c r="B86" s="1342"/>
      <c r="C86" s="1303" t="s">
        <v>447</v>
      </c>
      <c r="D86" s="1313" t="s">
        <v>14</v>
      </c>
      <c r="E86" s="1318">
        <v>225465</v>
      </c>
      <c r="F86" s="1322">
        <f t="shared" si="38"/>
        <v>-29449</v>
      </c>
      <c r="G86" s="1316" t="s">
        <v>1157</v>
      </c>
      <c r="H86" s="1325">
        <v>196016</v>
      </c>
      <c r="I86" s="1308">
        <v>0</v>
      </c>
      <c r="J86" s="1658">
        <f t="shared" si="34"/>
        <v>1</v>
      </c>
      <c r="K86" s="1308">
        <v>17290.89</v>
      </c>
      <c r="L86" s="1308">
        <v>0</v>
      </c>
      <c r="M86" s="1307"/>
    </row>
    <row r="87" spans="1:13" x14ac:dyDescent="0.2">
      <c r="A87" s="1342"/>
      <c r="B87" s="1342"/>
      <c r="C87" s="1303" t="s">
        <v>450</v>
      </c>
      <c r="D87" s="1313" t="s">
        <v>15</v>
      </c>
      <c r="E87" s="1318">
        <v>32164</v>
      </c>
      <c r="F87" s="1322">
        <f t="shared" si="38"/>
        <v>-8728</v>
      </c>
      <c r="G87" s="1316" t="s">
        <v>1158</v>
      </c>
      <c r="H87" s="1325">
        <v>23436</v>
      </c>
      <c r="I87" s="1308">
        <v>0</v>
      </c>
      <c r="J87" s="1658">
        <f t="shared" si="34"/>
        <v>1</v>
      </c>
      <c r="K87" s="1308">
        <v>2069.46</v>
      </c>
      <c r="L87" s="1308">
        <v>0</v>
      </c>
      <c r="M87" s="1307"/>
    </row>
    <row r="88" spans="1:13" x14ac:dyDescent="0.2">
      <c r="A88" s="1342"/>
      <c r="B88" s="1342"/>
      <c r="C88" s="1303" t="s">
        <v>442</v>
      </c>
      <c r="D88" s="1313" t="s">
        <v>31</v>
      </c>
      <c r="E88" s="1318">
        <v>3000</v>
      </c>
      <c r="F88" s="1322">
        <f t="shared" si="38"/>
        <v>0</v>
      </c>
      <c r="G88" s="1316" t="s">
        <v>1028</v>
      </c>
      <c r="H88" s="1325">
        <v>2820</v>
      </c>
      <c r="I88" s="1308">
        <v>0</v>
      </c>
      <c r="J88" s="1658">
        <f t="shared" si="34"/>
        <v>0.94</v>
      </c>
      <c r="K88" s="1308">
        <v>0</v>
      </c>
      <c r="L88" s="1308">
        <v>0</v>
      </c>
      <c r="M88" s="1307"/>
    </row>
    <row r="89" spans="1:13" ht="15" x14ac:dyDescent="0.2">
      <c r="A89" s="1299"/>
      <c r="B89" s="1341" t="s">
        <v>226</v>
      </c>
      <c r="C89" s="1300"/>
      <c r="D89" s="1312" t="s">
        <v>796</v>
      </c>
      <c r="E89" s="1317">
        <f>E90+E91+E92+E93+E94</f>
        <v>349271</v>
      </c>
      <c r="F89" s="1321">
        <f t="shared" ref="F89:L89" si="39">F90+F91+F92+F93+F94</f>
        <v>-8201.3300000000017</v>
      </c>
      <c r="G89" s="1320">
        <f t="shared" si="39"/>
        <v>341069.67</v>
      </c>
      <c r="H89" s="1324">
        <f t="shared" si="39"/>
        <v>340069.67</v>
      </c>
      <c r="I89" s="1321">
        <f t="shared" si="39"/>
        <v>0</v>
      </c>
      <c r="J89" s="1800">
        <f t="shared" si="34"/>
        <v>0.99706804771001767</v>
      </c>
      <c r="K89" s="1321">
        <f t="shared" si="39"/>
        <v>29832.410000000003</v>
      </c>
      <c r="L89" s="1321">
        <f t="shared" si="39"/>
        <v>0</v>
      </c>
      <c r="M89" s="1307"/>
    </row>
    <row r="90" spans="1:13" ht="22.5" x14ac:dyDescent="0.2">
      <c r="A90" s="1342"/>
      <c r="B90" s="1342"/>
      <c r="C90" s="1303" t="s">
        <v>890</v>
      </c>
      <c r="D90" s="1313" t="s">
        <v>13</v>
      </c>
      <c r="E90" s="1318">
        <v>273700</v>
      </c>
      <c r="F90" s="1322">
        <f t="shared" ref="F90:F94" si="40">G90-E90</f>
        <v>-2300</v>
      </c>
      <c r="G90" s="1316" t="s">
        <v>1171</v>
      </c>
      <c r="H90" s="1325">
        <v>271400</v>
      </c>
      <c r="I90" s="1308">
        <v>0</v>
      </c>
      <c r="J90" s="1658">
        <f t="shared" si="34"/>
        <v>1</v>
      </c>
      <c r="K90" s="1308">
        <v>4050.58</v>
      </c>
      <c r="L90" s="1308">
        <v>0</v>
      </c>
      <c r="M90" s="1307"/>
    </row>
    <row r="91" spans="1:13" x14ac:dyDescent="0.2">
      <c r="A91" s="1342"/>
      <c r="B91" s="1342"/>
      <c r="C91" s="1303" t="s">
        <v>959</v>
      </c>
      <c r="D91" s="1313" t="s">
        <v>960</v>
      </c>
      <c r="E91" s="1318">
        <v>20247</v>
      </c>
      <c r="F91" s="1322">
        <f t="shared" si="40"/>
        <v>-1201.3300000000017</v>
      </c>
      <c r="G91" s="1316" t="s">
        <v>1172</v>
      </c>
      <c r="H91" s="1325">
        <v>19045.669999999998</v>
      </c>
      <c r="I91" s="1308">
        <v>0</v>
      </c>
      <c r="J91" s="1658">
        <f t="shared" si="34"/>
        <v>1</v>
      </c>
      <c r="K91" s="1308">
        <v>19723</v>
      </c>
      <c r="L91" s="1308">
        <v>0</v>
      </c>
      <c r="M91" s="1307"/>
    </row>
    <row r="92" spans="1:13" x14ac:dyDescent="0.2">
      <c r="A92" s="1342"/>
      <c r="B92" s="1342"/>
      <c r="C92" s="1303" t="s">
        <v>447</v>
      </c>
      <c r="D92" s="1313" t="s">
        <v>14</v>
      </c>
      <c r="E92" s="1318">
        <v>47562</v>
      </c>
      <c r="F92" s="1322">
        <f t="shared" si="40"/>
        <v>-2000</v>
      </c>
      <c r="G92" s="1316" t="s">
        <v>1173</v>
      </c>
      <c r="H92" s="1325">
        <v>45562</v>
      </c>
      <c r="I92" s="1308">
        <v>0</v>
      </c>
      <c r="J92" s="1658">
        <f t="shared" si="34"/>
        <v>1</v>
      </c>
      <c r="K92" s="1308">
        <v>5442.09</v>
      </c>
      <c r="L92" s="1308">
        <v>0</v>
      </c>
      <c r="M92" s="1307"/>
    </row>
    <row r="93" spans="1:13" x14ac:dyDescent="0.2">
      <c r="A93" s="1342"/>
      <c r="B93" s="1342"/>
      <c r="C93" s="1303" t="s">
        <v>450</v>
      </c>
      <c r="D93" s="1313" t="s">
        <v>15</v>
      </c>
      <c r="E93" s="1318">
        <v>6762</v>
      </c>
      <c r="F93" s="1322">
        <f t="shared" si="40"/>
        <v>-2700</v>
      </c>
      <c r="G93" s="1316" t="s">
        <v>1174</v>
      </c>
      <c r="H93" s="1325">
        <v>4062</v>
      </c>
      <c r="I93" s="1308">
        <v>0</v>
      </c>
      <c r="J93" s="1658">
        <f t="shared" si="34"/>
        <v>1</v>
      </c>
      <c r="K93" s="1308">
        <v>616.74</v>
      </c>
      <c r="L93" s="1308">
        <v>0</v>
      </c>
      <c r="M93" s="1307"/>
    </row>
    <row r="94" spans="1:13" x14ac:dyDescent="0.2">
      <c r="A94" s="1342"/>
      <c r="B94" s="1342"/>
      <c r="C94" s="1303" t="s">
        <v>442</v>
      </c>
      <c r="D94" s="1313" t="s">
        <v>31</v>
      </c>
      <c r="E94" s="1318">
        <v>1000</v>
      </c>
      <c r="F94" s="1322">
        <f t="shared" si="40"/>
        <v>0</v>
      </c>
      <c r="G94" s="1316" t="s">
        <v>680</v>
      </c>
      <c r="H94" s="1325">
        <v>0</v>
      </c>
      <c r="I94" s="1308">
        <v>0</v>
      </c>
      <c r="J94" s="1658">
        <f t="shared" si="34"/>
        <v>0</v>
      </c>
      <c r="K94" s="1308">
        <v>0</v>
      </c>
      <c r="L94" s="1308">
        <v>0</v>
      </c>
      <c r="M94" s="1307"/>
    </row>
    <row r="95" spans="1:13" ht="78.75" x14ac:dyDescent="0.2">
      <c r="A95" s="1299"/>
      <c r="B95" s="1341" t="s">
        <v>1178</v>
      </c>
      <c r="C95" s="1300"/>
      <c r="D95" s="1312" t="s">
        <v>1179</v>
      </c>
      <c r="E95" s="1317">
        <f>E96+E97+E98+E99</f>
        <v>229199</v>
      </c>
      <c r="F95" s="1321">
        <f t="shared" ref="F95:L95" si="41">F96+F97+F98+F99</f>
        <v>-16684.320000000014</v>
      </c>
      <c r="G95" s="1320">
        <f t="shared" si="41"/>
        <v>212514.68</v>
      </c>
      <c r="H95" s="1324">
        <f t="shared" si="41"/>
        <v>207981.53</v>
      </c>
      <c r="I95" s="1321">
        <f t="shared" si="41"/>
        <v>0</v>
      </c>
      <c r="J95" s="1800">
        <f t="shared" si="34"/>
        <v>0.97866900300722759</v>
      </c>
      <c r="K95" s="1321">
        <f t="shared" si="41"/>
        <v>12095.510000000002</v>
      </c>
      <c r="L95" s="1321">
        <f t="shared" si="41"/>
        <v>0</v>
      </c>
      <c r="M95" s="1307"/>
    </row>
    <row r="96" spans="1:13" ht="22.5" x14ac:dyDescent="0.2">
      <c r="A96" s="1342"/>
      <c r="B96" s="1342"/>
      <c r="C96" s="1303" t="s">
        <v>890</v>
      </c>
      <c r="D96" s="1313" t="s">
        <v>13</v>
      </c>
      <c r="E96" s="1318">
        <v>177800</v>
      </c>
      <c r="F96" s="1322">
        <f t="shared" ref="F96:F99" si="42">G96-E96</f>
        <v>-13325.890000000014</v>
      </c>
      <c r="G96" s="1316" t="s">
        <v>1182</v>
      </c>
      <c r="H96" s="1325">
        <v>163496.49</v>
      </c>
      <c r="I96" s="1308">
        <v>0</v>
      </c>
      <c r="J96" s="1658">
        <f t="shared" si="34"/>
        <v>0.99405608578760518</v>
      </c>
      <c r="K96" s="1308">
        <v>870.28</v>
      </c>
      <c r="L96" s="1308">
        <v>0</v>
      </c>
      <c r="M96" s="1307"/>
    </row>
    <row r="97" spans="1:13" x14ac:dyDescent="0.2">
      <c r="A97" s="1342"/>
      <c r="B97" s="1342"/>
      <c r="C97" s="1303" t="s">
        <v>959</v>
      </c>
      <c r="D97" s="1313" t="s">
        <v>960</v>
      </c>
      <c r="E97" s="1318">
        <v>12610</v>
      </c>
      <c r="F97" s="1322">
        <f t="shared" si="42"/>
        <v>-1814.1100000000006</v>
      </c>
      <c r="G97" s="1316" t="s">
        <v>1183</v>
      </c>
      <c r="H97" s="1325">
        <v>10795.89</v>
      </c>
      <c r="I97" s="1308">
        <v>0</v>
      </c>
      <c r="J97" s="1658">
        <f t="shared" si="34"/>
        <v>1</v>
      </c>
      <c r="K97" s="1308">
        <v>9340</v>
      </c>
      <c r="L97" s="1308">
        <v>0</v>
      </c>
      <c r="M97" s="1307"/>
    </row>
    <row r="98" spans="1:13" x14ac:dyDescent="0.2">
      <c r="A98" s="1342"/>
      <c r="B98" s="1342"/>
      <c r="C98" s="1303" t="s">
        <v>447</v>
      </c>
      <c r="D98" s="1313" t="s">
        <v>14</v>
      </c>
      <c r="E98" s="1318">
        <v>33780</v>
      </c>
      <c r="F98" s="1322">
        <f t="shared" si="42"/>
        <v>-1930.369999999999</v>
      </c>
      <c r="G98" s="1316" t="s">
        <v>1184</v>
      </c>
      <c r="H98" s="1325">
        <v>30001.27</v>
      </c>
      <c r="I98" s="1308">
        <v>0</v>
      </c>
      <c r="J98" s="1658">
        <f t="shared" si="34"/>
        <v>0.94196604481747515</v>
      </c>
      <c r="K98" s="1308">
        <v>1613.96</v>
      </c>
      <c r="L98" s="1308">
        <v>0</v>
      </c>
      <c r="M98" s="1307"/>
    </row>
    <row r="99" spans="1:13" x14ac:dyDescent="0.2">
      <c r="A99" s="1342"/>
      <c r="B99" s="1342"/>
      <c r="C99" s="1303" t="s">
        <v>450</v>
      </c>
      <c r="D99" s="1313" t="s">
        <v>15</v>
      </c>
      <c r="E99" s="1318">
        <v>5009</v>
      </c>
      <c r="F99" s="1322">
        <f t="shared" si="42"/>
        <v>386.05000000000018</v>
      </c>
      <c r="G99" s="1316" t="s">
        <v>1185</v>
      </c>
      <c r="H99" s="1325">
        <v>3687.88</v>
      </c>
      <c r="I99" s="1308">
        <v>0</v>
      </c>
      <c r="J99" s="1658">
        <f t="shared" si="34"/>
        <v>0.68356734413953535</v>
      </c>
      <c r="K99" s="1308">
        <v>271.27</v>
      </c>
      <c r="L99" s="1308">
        <v>0</v>
      </c>
      <c r="M99" s="1307"/>
    </row>
    <row r="100" spans="1:13" ht="45" x14ac:dyDescent="0.2">
      <c r="A100" s="1299"/>
      <c r="B100" s="1341" t="s">
        <v>1188</v>
      </c>
      <c r="C100" s="1300"/>
      <c r="D100" s="1312" t="s">
        <v>1189</v>
      </c>
      <c r="E100" s="1317">
        <f>E101+E102+E103+E104</f>
        <v>391728</v>
      </c>
      <c r="F100" s="1321">
        <f t="shared" ref="F100:L100" si="43">F101+F102+F103+F104</f>
        <v>84044.340000000026</v>
      </c>
      <c r="G100" s="1320">
        <f t="shared" si="43"/>
        <v>475772.34</v>
      </c>
      <c r="H100" s="1324">
        <f t="shared" si="43"/>
        <v>474620.52999999997</v>
      </c>
      <c r="I100" s="1321">
        <f t="shared" si="43"/>
        <v>0</v>
      </c>
      <c r="J100" s="1800">
        <f t="shared" si="34"/>
        <v>0.9975790732180857</v>
      </c>
      <c r="K100" s="1321">
        <f t="shared" si="43"/>
        <v>14854.759999999998</v>
      </c>
      <c r="L100" s="1321">
        <f t="shared" si="43"/>
        <v>0</v>
      </c>
      <c r="M100" s="1307"/>
    </row>
    <row r="101" spans="1:13" ht="22.5" x14ac:dyDescent="0.2">
      <c r="A101" s="1342"/>
      <c r="B101" s="1342"/>
      <c r="C101" s="1303" t="s">
        <v>890</v>
      </c>
      <c r="D101" s="1313" t="s">
        <v>13</v>
      </c>
      <c r="E101" s="1318">
        <v>309800</v>
      </c>
      <c r="F101" s="1322">
        <f t="shared" ref="F101:F104" si="44">G101-E101</f>
        <v>80496.340000000026</v>
      </c>
      <c r="G101" s="1316" t="s">
        <v>1191</v>
      </c>
      <c r="H101" s="1325">
        <v>389251.95</v>
      </c>
      <c r="I101" s="1308"/>
      <c r="J101" s="1658">
        <f t="shared" si="34"/>
        <v>0.99732411018765887</v>
      </c>
      <c r="K101" s="1308">
        <v>7587.82</v>
      </c>
      <c r="L101" s="1308">
        <v>0</v>
      </c>
      <c r="M101" s="1307"/>
    </row>
    <row r="102" spans="1:13" x14ac:dyDescent="0.2">
      <c r="A102" s="1342"/>
      <c r="B102" s="1342"/>
      <c r="C102" s="1303" t="s">
        <v>959</v>
      </c>
      <c r="D102" s="1313" t="s">
        <v>960</v>
      </c>
      <c r="E102" s="1318">
        <v>17387</v>
      </c>
      <c r="F102" s="1322">
        <f t="shared" si="44"/>
        <v>-944</v>
      </c>
      <c r="G102" s="1316" t="s">
        <v>1192</v>
      </c>
      <c r="H102" s="1325">
        <v>16443</v>
      </c>
      <c r="I102" s="1308"/>
      <c r="J102" s="1658">
        <f t="shared" si="34"/>
        <v>1</v>
      </c>
      <c r="K102" s="1308">
        <v>0</v>
      </c>
      <c r="L102" s="1308">
        <v>0</v>
      </c>
      <c r="M102" s="1307"/>
    </row>
    <row r="103" spans="1:13" x14ac:dyDescent="0.2">
      <c r="A103" s="1342"/>
      <c r="B103" s="1342"/>
      <c r="C103" s="1303" t="s">
        <v>447</v>
      </c>
      <c r="D103" s="1313" t="s">
        <v>14</v>
      </c>
      <c r="E103" s="1318">
        <v>56458</v>
      </c>
      <c r="F103" s="1322">
        <f t="shared" si="44"/>
        <v>4083</v>
      </c>
      <c r="G103" s="1316" t="s">
        <v>1193</v>
      </c>
      <c r="H103" s="1325">
        <v>60444.17</v>
      </c>
      <c r="I103" s="1308"/>
      <c r="J103" s="1658">
        <f t="shared" si="34"/>
        <v>0.99840058803125153</v>
      </c>
      <c r="K103" s="1308">
        <v>6377.19</v>
      </c>
      <c r="L103" s="1308">
        <v>0</v>
      </c>
      <c r="M103" s="1307"/>
    </row>
    <row r="104" spans="1:13" x14ac:dyDescent="0.2">
      <c r="A104" s="1342"/>
      <c r="B104" s="1342"/>
      <c r="C104" s="1303" t="s">
        <v>450</v>
      </c>
      <c r="D104" s="1313" t="s">
        <v>15</v>
      </c>
      <c r="E104" s="1318">
        <v>8083</v>
      </c>
      <c r="F104" s="1322">
        <f t="shared" si="44"/>
        <v>409</v>
      </c>
      <c r="G104" s="1316" t="s">
        <v>1194</v>
      </c>
      <c r="H104" s="1325">
        <v>8481.41</v>
      </c>
      <c r="I104" s="1308"/>
      <c r="J104" s="1658">
        <f t="shared" si="34"/>
        <v>0.99875294394724445</v>
      </c>
      <c r="K104" s="1308">
        <v>889.75</v>
      </c>
      <c r="L104" s="1308">
        <v>0</v>
      </c>
      <c r="M104" s="1307"/>
    </row>
    <row r="105" spans="1:13" ht="146.25" x14ac:dyDescent="0.2">
      <c r="A105" s="1299"/>
      <c r="B105" s="1341" t="s">
        <v>1198</v>
      </c>
      <c r="C105" s="1300"/>
      <c r="D105" s="1928" t="s">
        <v>1199</v>
      </c>
      <c r="E105" s="1317">
        <f>E106+E107+E108</f>
        <v>24155</v>
      </c>
      <c r="F105" s="1321">
        <f t="shared" ref="F105:L105" si="45">F106+F107+F108</f>
        <v>-18651.63</v>
      </c>
      <c r="G105" s="1320">
        <f t="shared" si="45"/>
        <v>5503.37</v>
      </c>
      <c r="H105" s="1324">
        <f t="shared" si="45"/>
        <v>5503.37</v>
      </c>
      <c r="I105" s="1321">
        <f t="shared" si="45"/>
        <v>0</v>
      </c>
      <c r="J105" s="1800">
        <f t="shared" si="34"/>
        <v>1</v>
      </c>
      <c r="K105" s="1321">
        <f t="shared" si="45"/>
        <v>0</v>
      </c>
      <c r="L105" s="1321">
        <f t="shared" si="45"/>
        <v>0</v>
      </c>
      <c r="M105" s="1307"/>
    </row>
    <row r="106" spans="1:13" ht="22.5" x14ac:dyDescent="0.2">
      <c r="A106" s="1342"/>
      <c r="B106" s="1342"/>
      <c r="C106" s="1303" t="s">
        <v>890</v>
      </c>
      <c r="D106" s="1313" t="s">
        <v>13</v>
      </c>
      <c r="E106" s="1318">
        <v>20200</v>
      </c>
      <c r="F106" s="1322">
        <f t="shared" ref="F106:F108" si="46">G106-E106</f>
        <v>-15600.09</v>
      </c>
      <c r="G106" s="1316" t="s">
        <v>1200</v>
      </c>
      <c r="H106" s="1325">
        <v>4599.91</v>
      </c>
      <c r="I106" s="1308">
        <v>0</v>
      </c>
      <c r="J106" s="1658">
        <f t="shared" si="34"/>
        <v>1</v>
      </c>
      <c r="K106" s="1308">
        <v>0</v>
      </c>
      <c r="L106" s="1308">
        <v>0</v>
      </c>
      <c r="M106" s="1307"/>
    </row>
    <row r="107" spans="1:13" x14ac:dyDescent="0.2">
      <c r="A107" s="1342"/>
      <c r="B107" s="1342"/>
      <c r="C107" s="1303" t="s">
        <v>447</v>
      </c>
      <c r="D107" s="1313" t="s">
        <v>14</v>
      </c>
      <c r="E107" s="1318">
        <v>3462</v>
      </c>
      <c r="F107" s="1322">
        <f t="shared" si="46"/>
        <v>-2671.25</v>
      </c>
      <c r="G107" s="1316" t="s">
        <v>1201</v>
      </c>
      <c r="H107" s="1325">
        <v>790.75</v>
      </c>
      <c r="I107" s="1308">
        <v>0</v>
      </c>
      <c r="J107" s="1658">
        <f t="shared" si="34"/>
        <v>1</v>
      </c>
      <c r="K107" s="1308">
        <v>0</v>
      </c>
      <c r="L107" s="1308">
        <v>0</v>
      </c>
      <c r="M107" s="1307"/>
    </row>
    <row r="108" spans="1:13" x14ac:dyDescent="0.2">
      <c r="A108" s="1342"/>
      <c r="B108" s="1342"/>
      <c r="C108" s="1303" t="s">
        <v>450</v>
      </c>
      <c r="D108" s="1313" t="s">
        <v>15</v>
      </c>
      <c r="E108" s="1318">
        <v>493</v>
      </c>
      <c r="F108" s="1322">
        <f t="shared" si="46"/>
        <v>-380.29</v>
      </c>
      <c r="G108" s="1316" t="s">
        <v>1202</v>
      </c>
      <c r="H108" s="1325">
        <v>112.71</v>
      </c>
      <c r="I108" s="1308">
        <v>0</v>
      </c>
      <c r="J108" s="1658">
        <f t="shared" si="34"/>
        <v>1</v>
      </c>
      <c r="K108" s="1308">
        <v>0</v>
      </c>
      <c r="L108" s="1308">
        <v>0</v>
      </c>
      <c r="M108" s="1307"/>
    </row>
    <row r="109" spans="1:13" ht="15" x14ac:dyDescent="0.2">
      <c r="A109" s="1299"/>
      <c r="B109" s="1341" t="s">
        <v>428</v>
      </c>
      <c r="C109" s="1300"/>
      <c r="D109" s="1312" t="s">
        <v>11</v>
      </c>
      <c r="E109" s="1317">
        <f>E110+E111+E112+E113+E114+E115+E116+E117+E118</f>
        <v>327971.38000000006</v>
      </c>
      <c r="F109" s="1321">
        <f t="shared" ref="F109:L109" si="47">F110+F111+F112+F113+F114+F115+F116+F117+F118</f>
        <v>78029.23000000004</v>
      </c>
      <c r="G109" s="1320">
        <f t="shared" si="47"/>
        <v>406000.61000000004</v>
      </c>
      <c r="H109" s="1324">
        <f t="shared" si="47"/>
        <v>367195.60000000003</v>
      </c>
      <c r="I109" s="1321">
        <f t="shared" si="47"/>
        <v>0</v>
      </c>
      <c r="J109" s="1800">
        <f t="shared" si="34"/>
        <v>0.90442130123893161</v>
      </c>
      <c r="K109" s="1321">
        <f t="shared" si="47"/>
        <v>0</v>
      </c>
      <c r="L109" s="1321">
        <f t="shared" si="47"/>
        <v>0</v>
      </c>
      <c r="M109" s="1307"/>
    </row>
    <row r="110" spans="1:13" ht="22.5" x14ac:dyDescent="0.2">
      <c r="A110" s="1342"/>
      <c r="B110" s="1342"/>
      <c r="C110" s="1303" t="s">
        <v>1215</v>
      </c>
      <c r="D110" s="1313" t="s">
        <v>13</v>
      </c>
      <c r="E110" s="1318">
        <v>240552.34</v>
      </c>
      <c r="F110" s="1322">
        <f t="shared" ref="F110:F118" si="48">G110-E110</f>
        <v>44373.250000000029</v>
      </c>
      <c r="G110" s="1316" t="s">
        <v>1216</v>
      </c>
      <c r="H110" s="1325">
        <v>270492.78000000003</v>
      </c>
      <c r="I110" s="1308">
        <v>0</v>
      </c>
      <c r="J110" s="1658">
        <f t="shared" si="34"/>
        <v>0.94934533609283744</v>
      </c>
      <c r="K110" s="1308">
        <v>0</v>
      </c>
      <c r="L110" s="1308">
        <v>0</v>
      </c>
      <c r="M110" s="1307"/>
    </row>
    <row r="111" spans="1:13" ht="22.5" x14ac:dyDescent="0.2">
      <c r="A111" s="1342"/>
      <c r="B111" s="1342"/>
      <c r="C111" s="1303" t="s">
        <v>1217</v>
      </c>
      <c r="D111" s="1313" t="s">
        <v>13</v>
      </c>
      <c r="E111" s="1318">
        <v>28041.54</v>
      </c>
      <c r="F111" s="1322">
        <f t="shared" si="48"/>
        <v>5172.2099999999991</v>
      </c>
      <c r="G111" s="1316" t="s">
        <v>1218</v>
      </c>
      <c r="H111" s="1325">
        <v>31298.18</v>
      </c>
      <c r="I111" s="1308">
        <v>0</v>
      </c>
      <c r="J111" s="1658">
        <f t="shared" si="34"/>
        <v>0.94232599450528776</v>
      </c>
      <c r="K111" s="1308">
        <v>0</v>
      </c>
      <c r="L111" s="1308">
        <v>0</v>
      </c>
      <c r="M111" s="1307"/>
    </row>
    <row r="112" spans="1:13" x14ac:dyDescent="0.2">
      <c r="A112" s="1342"/>
      <c r="B112" s="1342"/>
      <c r="C112" s="1303" t="s">
        <v>447</v>
      </c>
      <c r="D112" s="1313" t="s">
        <v>14</v>
      </c>
      <c r="E112" s="1318">
        <v>983</v>
      </c>
      <c r="F112" s="1322">
        <f t="shared" si="48"/>
        <v>0.25999999999999091</v>
      </c>
      <c r="G112" s="1316" t="s">
        <v>1219</v>
      </c>
      <c r="H112" s="1325">
        <v>983.26</v>
      </c>
      <c r="I112" s="1308">
        <v>0</v>
      </c>
      <c r="J112" s="1658">
        <f t="shared" si="34"/>
        <v>1</v>
      </c>
      <c r="K112" s="1308">
        <v>0</v>
      </c>
      <c r="L112" s="1308">
        <v>0</v>
      </c>
      <c r="M112" s="1307"/>
    </row>
    <row r="113" spans="1:13" x14ac:dyDescent="0.2">
      <c r="A113" s="1342"/>
      <c r="B113" s="1342"/>
      <c r="C113" s="1303" t="s">
        <v>1220</v>
      </c>
      <c r="D113" s="1313" t="s">
        <v>14</v>
      </c>
      <c r="E113" s="1318">
        <v>41156.28</v>
      </c>
      <c r="F113" s="1322">
        <f t="shared" si="48"/>
        <v>22144.92</v>
      </c>
      <c r="G113" s="1316" t="s">
        <v>1221</v>
      </c>
      <c r="H113" s="1325">
        <v>47138.36</v>
      </c>
      <c r="I113" s="1308">
        <v>0</v>
      </c>
      <c r="J113" s="1658">
        <f t="shared" si="34"/>
        <v>0.74466771561992506</v>
      </c>
      <c r="K113" s="1308">
        <v>0</v>
      </c>
      <c r="L113" s="1308">
        <v>0</v>
      </c>
      <c r="M113" s="1307"/>
    </row>
    <row r="114" spans="1:13" x14ac:dyDescent="0.2">
      <c r="A114" s="1342"/>
      <c r="B114" s="1342"/>
      <c r="C114" s="1303" t="s">
        <v>1222</v>
      </c>
      <c r="D114" s="1313" t="s">
        <v>14</v>
      </c>
      <c r="E114" s="1318">
        <v>4797.6499999999996</v>
      </c>
      <c r="F114" s="1322">
        <f t="shared" si="48"/>
        <v>2581.3500000000004</v>
      </c>
      <c r="G114" s="1316" t="s">
        <v>1223</v>
      </c>
      <c r="H114" s="1325">
        <v>5473.61</v>
      </c>
      <c r="I114" s="1308">
        <v>0</v>
      </c>
      <c r="J114" s="1658">
        <f t="shared" si="34"/>
        <v>0.74178208429326464</v>
      </c>
      <c r="K114" s="1308">
        <v>0</v>
      </c>
      <c r="L114" s="1308">
        <v>0</v>
      </c>
      <c r="M114" s="1307"/>
    </row>
    <row r="115" spans="1:13" x14ac:dyDescent="0.2">
      <c r="A115" s="1342"/>
      <c r="B115" s="1342"/>
      <c r="C115" s="1303" t="s">
        <v>450</v>
      </c>
      <c r="D115" s="1313" t="s">
        <v>15</v>
      </c>
      <c r="E115" s="1318">
        <v>140</v>
      </c>
      <c r="F115" s="1322">
        <f t="shared" si="48"/>
        <v>0.13999999999998636</v>
      </c>
      <c r="G115" s="1316" t="s">
        <v>1224</v>
      </c>
      <c r="H115" s="1325">
        <v>140.13999999999999</v>
      </c>
      <c r="I115" s="1308">
        <v>0</v>
      </c>
      <c r="J115" s="1658">
        <f t="shared" si="34"/>
        <v>1</v>
      </c>
      <c r="K115" s="1308">
        <v>0</v>
      </c>
      <c r="L115" s="1308">
        <v>0</v>
      </c>
      <c r="M115" s="1307"/>
    </row>
    <row r="116" spans="1:13" x14ac:dyDescent="0.2">
      <c r="A116" s="1342"/>
      <c r="B116" s="1342"/>
      <c r="C116" s="1303" t="s">
        <v>1225</v>
      </c>
      <c r="D116" s="1313" t="s">
        <v>15</v>
      </c>
      <c r="E116" s="1318">
        <v>5893.54</v>
      </c>
      <c r="F116" s="1322">
        <f t="shared" si="48"/>
        <v>3364.8900000000003</v>
      </c>
      <c r="G116" s="1316" t="s">
        <v>1226</v>
      </c>
      <c r="H116" s="1325">
        <v>5331.21</v>
      </c>
      <c r="I116" s="1308">
        <v>0</v>
      </c>
      <c r="J116" s="1658">
        <f t="shared" si="34"/>
        <v>0.57582225064076742</v>
      </c>
      <c r="K116" s="1308">
        <v>0</v>
      </c>
      <c r="L116" s="1308">
        <v>0</v>
      </c>
      <c r="M116" s="1307"/>
    </row>
    <row r="117" spans="1:13" x14ac:dyDescent="0.2">
      <c r="A117" s="1342"/>
      <c r="B117" s="1342"/>
      <c r="C117" s="1303" t="s">
        <v>1227</v>
      </c>
      <c r="D117" s="1313" t="s">
        <v>15</v>
      </c>
      <c r="E117" s="1318">
        <v>687.03</v>
      </c>
      <c r="F117" s="1322">
        <f t="shared" si="48"/>
        <v>392.21000000000004</v>
      </c>
      <c r="G117" s="1316" t="s">
        <v>1228</v>
      </c>
      <c r="H117" s="1325">
        <v>618.05999999999995</v>
      </c>
      <c r="I117" s="1308">
        <v>0</v>
      </c>
      <c r="J117" s="1658">
        <f t="shared" si="34"/>
        <v>0.57268077536043882</v>
      </c>
      <c r="K117" s="1308">
        <v>0</v>
      </c>
      <c r="L117" s="1308">
        <v>0</v>
      </c>
      <c r="M117" s="1307"/>
    </row>
    <row r="118" spans="1:13" x14ac:dyDescent="0.2">
      <c r="A118" s="1342"/>
      <c r="B118" s="1342"/>
      <c r="C118" s="1303" t="s">
        <v>442</v>
      </c>
      <c r="D118" s="1313" t="s">
        <v>31</v>
      </c>
      <c r="E118" s="1318">
        <v>5720</v>
      </c>
      <c r="F118" s="1322">
        <f t="shared" si="48"/>
        <v>0</v>
      </c>
      <c r="G118" s="1316" t="s">
        <v>1229</v>
      </c>
      <c r="H118" s="1325">
        <v>5720</v>
      </c>
      <c r="I118" s="1308">
        <v>0</v>
      </c>
      <c r="J118" s="1658">
        <f t="shared" si="34"/>
        <v>1</v>
      </c>
      <c r="K118" s="1308">
        <v>0</v>
      </c>
      <c r="L118" s="1308">
        <v>0</v>
      </c>
      <c r="M118" s="1307"/>
    </row>
    <row r="119" spans="1:13" x14ac:dyDescent="0.2">
      <c r="A119" s="1334" t="s">
        <v>230</v>
      </c>
      <c r="B119" s="1334"/>
      <c r="C119" s="1334"/>
      <c r="D119" s="1335" t="s">
        <v>309</v>
      </c>
      <c r="E119" s="1336">
        <f>E120+E122</f>
        <v>148693</v>
      </c>
      <c r="F119" s="1330">
        <f t="shared" ref="F119:L119" si="49">F120+F122</f>
        <v>5400</v>
      </c>
      <c r="G119" s="1819">
        <f t="shared" si="49"/>
        <v>154093</v>
      </c>
      <c r="H119" s="1336">
        <f t="shared" si="49"/>
        <v>141608.78</v>
      </c>
      <c r="I119" s="1330">
        <f t="shared" si="49"/>
        <v>0</v>
      </c>
      <c r="J119" s="1333">
        <f t="shared" si="34"/>
        <v>0.91898256247850318</v>
      </c>
      <c r="K119" s="1330">
        <f t="shared" si="49"/>
        <v>261.69</v>
      </c>
      <c r="L119" s="1330">
        <f t="shared" si="49"/>
        <v>0</v>
      </c>
      <c r="M119" s="1307"/>
    </row>
    <row r="120" spans="1:13" ht="15" x14ac:dyDescent="0.2">
      <c r="A120" s="1299"/>
      <c r="B120" s="1341" t="s">
        <v>1246</v>
      </c>
      <c r="C120" s="1300"/>
      <c r="D120" s="1312" t="s">
        <v>374</v>
      </c>
      <c r="E120" s="1317">
        <f>E121</f>
        <v>2240</v>
      </c>
      <c r="F120" s="1321">
        <f t="shared" ref="F120:L120" si="50">F121</f>
        <v>0</v>
      </c>
      <c r="G120" s="1320" t="str">
        <f t="shared" si="50"/>
        <v>2 240,00</v>
      </c>
      <c r="H120" s="1324">
        <f t="shared" si="50"/>
        <v>1120</v>
      </c>
      <c r="I120" s="1321">
        <f t="shared" si="50"/>
        <v>0</v>
      </c>
      <c r="J120" s="1800">
        <f t="shared" si="34"/>
        <v>0.5</v>
      </c>
      <c r="K120" s="1321">
        <f t="shared" si="50"/>
        <v>0</v>
      </c>
      <c r="L120" s="1321">
        <f t="shared" si="50"/>
        <v>0</v>
      </c>
      <c r="M120" s="1307"/>
    </row>
    <row r="121" spans="1:13" x14ac:dyDescent="0.2">
      <c r="A121" s="1342"/>
      <c r="B121" s="1342"/>
      <c r="C121" s="1303" t="s">
        <v>442</v>
      </c>
      <c r="D121" s="1313" t="s">
        <v>31</v>
      </c>
      <c r="E121" s="1318">
        <v>2240</v>
      </c>
      <c r="F121" s="1322">
        <f>G121-E121</f>
        <v>0</v>
      </c>
      <c r="G121" s="1316" t="s">
        <v>1247</v>
      </c>
      <c r="H121" s="1325">
        <v>1120</v>
      </c>
      <c r="I121" s="1308">
        <v>0</v>
      </c>
      <c r="J121" s="1658">
        <f t="shared" si="34"/>
        <v>0.5</v>
      </c>
      <c r="K121" s="1308">
        <v>0</v>
      </c>
      <c r="L121" s="1308">
        <v>0</v>
      </c>
      <c r="M121" s="1307"/>
    </row>
    <row r="122" spans="1:13" ht="15" x14ac:dyDescent="0.2">
      <c r="A122" s="1299"/>
      <c r="B122" s="1341" t="s">
        <v>1249</v>
      </c>
      <c r="C122" s="1300"/>
      <c r="D122" s="1312" t="s">
        <v>310</v>
      </c>
      <c r="E122" s="1317">
        <f>E123+E124+E125</f>
        <v>146453</v>
      </c>
      <c r="F122" s="1321">
        <f t="shared" ref="F122:L122" si="51">F123+F124+F125</f>
        <v>5400</v>
      </c>
      <c r="G122" s="1320">
        <f t="shared" si="51"/>
        <v>151853</v>
      </c>
      <c r="H122" s="1324">
        <f t="shared" si="51"/>
        <v>140488.78</v>
      </c>
      <c r="I122" s="1321">
        <f t="shared" si="51"/>
        <v>0</v>
      </c>
      <c r="J122" s="1800">
        <f t="shared" si="34"/>
        <v>0.92516301949912083</v>
      </c>
      <c r="K122" s="1321">
        <f t="shared" si="51"/>
        <v>261.69</v>
      </c>
      <c r="L122" s="1321">
        <f t="shared" si="51"/>
        <v>0</v>
      </c>
      <c r="M122" s="1307"/>
    </row>
    <row r="123" spans="1:13" x14ac:dyDescent="0.2">
      <c r="A123" s="1342"/>
      <c r="B123" s="1342"/>
      <c r="C123" s="1303" t="s">
        <v>447</v>
      </c>
      <c r="D123" s="1313" t="s">
        <v>14</v>
      </c>
      <c r="E123" s="1318">
        <v>3714</v>
      </c>
      <c r="F123" s="1322">
        <f t="shared" ref="F123:F125" si="52">G123-E123</f>
        <v>718.60999999999967</v>
      </c>
      <c r="G123" s="1316" t="s">
        <v>1252</v>
      </c>
      <c r="H123" s="1325">
        <v>3374.25</v>
      </c>
      <c r="I123" s="1308">
        <v>0</v>
      </c>
      <c r="J123" s="1658">
        <f t="shared" si="34"/>
        <v>0.76123322376658453</v>
      </c>
      <c r="K123" s="1308">
        <v>237.19</v>
      </c>
      <c r="L123" s="1308">
        <v>0</v>
      </c>
      <c r="M123" s="1307"/>
    </row>
    <row r="124" spans="1:13" x14ac:dyDescent="0.2">
      <c r="A124" s="1342"/>
      <c r="B124" s="1342"/>
      <c r="C124" s="1303" t="s">
        <v>450</v>
      </c>
      <c r="D124" s="1313" t="s">
        <v>15</v>
      </c>
      <c r="E124" s="1318">
        <v>379</v>
      </c>
      <c r="F124" s="1322">
        <f t="shared" si="52"/>
        <v>102.38999999999999</v>
      </c>
      <c r="G124" s="1316" t="s">
        <v>1253</v>
      </c>
      <c r="H124" s="1325">
        <v>291.02999999999997</v>
      </c>
      <c r="I124" s="1308">
        <v>0</v>
      </c>
      <c r="J124" s="1658">
        <f t="shared" si="34"/>
        <v>0.60456178981698827</v>
      </c>
      <c r="K124" s="1308">
        <v>24.5</v>
      </c>
      <c r="L124" s="1308">
        <v>0</v>
      </c>
      <c r="M124" s="1307"/>
    </row>
    <row r="125" spans="1:13" x14ac:dyDescent="0.2">
      <c r="A125" s="1342"/>
      <c r="B125" s="1342"/>
      <c r="C125" s="1303" t="s">
        <v>442</v>
      </c>
      <c r="D125" s="1313" t="s">
        <v>31</v>
      </c>
      <c r="E125" s="1318">
        <v>142360</v>
      </c>
      <c r="F125" s="1322">
        <f t="shared" si="52"/>
        <v>4579</v>
      </c>
      <c r="G125" s="1316" t="s">
        <v>1254</v>
      </c>
      <c r="H125" s="1325">
        <v>136823.5</v>
      </c>
      <c r="I125" s="1308">
        <v>0</v>
      </c>
      <c r="J125" s="1658">
        <f t="shared" si="34"/>
        <v>0.9311585079522795</v>
      </c>
      <c r="K125" s="1308">
        <v>0</v>
      </c>
      <c r="L125" s="1308">
        <v>0</v>
      </c>
      <c r="M125" s="1307"/>
    </row>
    <row r="126" spans="1:13" x14ac:dyDescent="0.2">
      <c r="A126" s="1334" t="s">
        <v>241</v>
      </c>
      <c r="B126" s="1334"/>
      <c r="C126" s="1334"/>
      <c r="D126" s="1335" t="s">
        <v>37</v>
      </c>
      <c r="E126" s="1336">
        <f>E127+E132+E138</f>
        <v>1121252</v>
      </c>
      <c r="F126" s="1330">
        <f t="shared" ref="F126:L126" si="53">F127+F132+F138</f>
        <v>108936.66</v>
      </c>
      <c r="G126" s="1827">
        <f t="shared" si="53"/>
        <v>1230188.6599999999</v>
      </c>
      <c r="H126" s="1811">
        <f t="shared" si="53"/>
        <v>1200633.8800000001</v>
      </c>
      <c r="I126" s="1330">
        <f t="shared" si="53"/>
        <v>0</v>
      </c>
      <c r="J126" s="1333">
        <f t="shared" si="34"/>
        <v>0.97597540851986087</v>
      </c>
      <c r="K126" s="1330">
        <f t="shared" si="53"/>
        <v>74160.36</v>
      </c>
      <c r="L126" s="1330">
        <f t="shared" si="53"/>
        <v>0</v>
      </c>
      <c r="M126" s="1307"/>
    </row>
    <row r="127" spans="1:13" ht="15" x14ac:dyDescent="0.2">
      <c r="A127" s="1299"/>
      <c r="B127" s="1341" t="s">
        <v>242</v>
      </c>
      <c r="C127" s="1300"/>
      <c r="D127" s="1312" t="s">
        <v>38</v>
      </c>
      <c r="E127" s="1317">
        <f>E128+E129+E130+E131</f>
        <v>0</v>
      </c>
      <c r="F127" s="1321">
        <f t="shared" ref="F127:L127" si="54">F128+F129+F130+F131</f>
        <v>26638.5</v>
      </c>
      <c r="G127" s="1320">
        <f t="shared" si="54"/>
        <v>26638.5</v>
      </c>
      <c r="H127" s="1324">
        <f t="shared" si="54"/>
        <v>11352.52</v>
      </c>
      <c r="I127" s="1321">
        <f t="shared" si="54"/>
        <v>0</v>
      </c>
      <c r="J127" s="1800">
        <f t="shared" si="34"/>
        <v>0.42616964168402877</v>
      </c>
      <c r="K127" s="1321">
        <f t="shared" si="54"/>
        <v>0</v>
      </c>
      <c r="L127" s="1321">
        <f t="shared" si="54"/>
        <v>0</v>
      </c>
      <c r="M127" s="1307"/>
    </row>
    <row r="128" spans="1:13" ht="22.5" x14ac:dyDescent="0.2">
      <c r="A128" s="1342"/>
      <c r="B128" s="1342"/>
      <c r="C128" s="1303" t="s">
        <v>890</v>
      </c>
      <c r="D128" s="1313" t="s">
        <v>13</v>
      </c>
      <c r="E128" s="1318">
        <v>0</v>
      </c>
      <c r="F128" s="1322">
        <f>G128-E128</f>
        <v>20300</v>
      </c>
      <c r="G128" s="1316" t="s">
        <v>1264</v>
      </c>
      <c r="H128" s="1325">
        <v>9539.9</v>
      </c>
      <c r="I128" s="1308">
        <v>0</v>
      </c>
      <c r="J128" s="1658">
        <f t="shared" si="34"/>
        <v>0.46994581280788178</v>
      </c>
      <c r="K128" s="1308">
        <v>0</v>
      </c>
      <c r="L128" s="1308">
        <v>0</v>
      </c>
      <c r="M128" s="1307"/>
    </row>
    <row r="129" spans="1:13" x14ac:dyDescent="0.2">
      <c r="A129" s="1342"/>
      <c r="B129" s="1342"/>
      <c r="C129" s="1303" t="s">
        <v>447</v>
      </c>
      <c r="D129" s="1313" t="s">
        <v>14</v>
      </c>
      <c r="E129" s="1318">
        <v>0</v>
      </c>
      <c r="F129" s="1322">
        <f t="shared" ref="F129:F131" si="55">G129-E129</f>
        <v>3471</v>
      </c>
      <c r="G129" s="1316" t="s">
        <v>1265</v>
      </c>
      <c r="H129" s="1325">
        <v>1665.67</v>
      </c>
      <c r="I129" s="1308">
        <v>0</v>
      </c>
      <c r="J129" s="1658">
        <f t="shared" si="34"/>
        <v>0.47988187842120428</v>
      </c>
      <c r="K129" s="1308">
        <v>0</v>
      </c>
      <c r="L129" s="1308">
        <v>0</v>
      </c>
      <c r="M129" s="1307"/>
    </row>
    <row r="130" spans="1:13" x14ac:dyDescent="0.2">
      <c r="A130" s="1342"/>
      <c r="B130" s="1342"/>
      <c r="C130" s="1303" t="s">
        <v>450</v>
      </c>
      <c r="D130" s="1313" t="s">
        <v>15</v>
      </c>
      <c r="E130" s="1318">
        <v>0</v>
      </c>
      <c r="F130" s="1322">
        <f t="shared" si="55"/>
        <v>367.5</v>
      </c>
      <c r="G130" s="1316" t="s">
        <v>1266</v>
      </c>
      <c r="H130" s="1325">
        <v>146.94999999999999</v>
      </c>
      <c r="I130" s="1308">
        <v>0</v>
      </c>
      <c r="J130" s="1658">
        <f t="shared" si="34"/>
        <v>0.39986394557823124</v>
      </c>
      <c r="K130" s="1308">
        <v>0</v>
      </c>
      <c r="L130" s="1308">
        <v>0</v>
      </c>
      <c r="M130" s="1307"/>
    </row>
    <row r="131" spans="1:13" x14ac:dyDescent="0.2">
      <c r="A131" s="1342"/>
      <c r="B131" s="1342"/>
      <c r="C131" s="1303" t="s">
        <v>442</v>
      </c>
      <c r="D131" s="1313" t="s">
        <v>31</v>
      </c>
      <c r="E131" s="1318">
        <v>0</v>
      </c>
      <c r="F131" s="1322">
        <f t="shared" si="55"/>
        <v>2500</v>
      </c>
      <c r="G131" s="1316" t="s">
        <v>1077</v>
      </c>
      <c r="H131" s="1325">
        <v>0</v>
      </c>
      <c r="I131" s="1308">
        <v>0</v>
      </c>
      <c r="J131" s="1658">
        <f t="shared" si="34"/>
        <v>0</v>
      </c>
      <c r="K131" s="1308">
        <v>0</v>
      </c>
      <c r="L131" s="1308">
        <v>0</v>
      </c>
      <c r="M131" s="1307"/>
    </row>
    <row r="132" spans="1:13" ht="15" x14ac:dyDescent="0.2">
      <c r="A132" s="1299"/>
      <c r="B132" s="1341" t="s">
        <v>829</v>
      </c>
      <c r="C132" s="1300"/>
      <c r="D132" s="1312" t="s">
        <v>84</v>
      </c>
      <c r="E132" s="1317">
        <f>E133+E134+E135+E136+E137</f>
        <v>1121252</v>
      </c>
      <c r="F132" s="1321">
        <f t="shared" ref="F132:L132" si="56">F133+F134+F135+F136+F137</f>
        <v>82298.16</v>
      </c>
      <c r="G132" s="1320">
        <f t="shared" si="56"/>
        <v>1203550.1599999999</v>
      </c>
      <c r="H132" s="1324">
        <f t="shared" si="56"/>
        <v>1189281.3600000001</v>
      </c>
      <c r="I132" s="1321">
        <f t="shared" si="56"/>
        <v>0</v>
      </c>
      <c r="J132" s="1800">
        <f t="shared" si="34"/>
        <v>0.9881444077079431</v>
      </c>
      <c r="K132" s="1321">
        <f t="shared" si="56"/>
        <v>74160.36</v>
      </c>
      <c r="L132" s="1321">
        <f t="shared" si="56"/>
        <v>0</v>
      </c>
      <c r="M132" s="1307"/>
    </row>
    <row r="133" spans="1:13" ht="22.5" x14ac:dyDescent="0.2">
      <c r="A133" s="1342"/>
      <c r="B133" s="1342"/>
      <c r="C133" s="1303" t="s">
        <v>890</v>
      </c>
      <c r="D133" s="1313" t="s">
        <v>13</v>
      </c>
      <c r="E133" s="1318">
        <v>859818</v>
      </c>
      <c r="F133" s="1322">
        <f t="shared" ref="F133:F137" si="57">G133-E133</f>
        <v>89239.75</v>
      </c>
      <c r="G133" s="1316" t="s">
        <v>1283</v>
      </c>
      <c r="H133" s="1325">
        <v>940453.53</v>
      </c>
      <c r="I133" s="1308">
        <v>0</v>
      </c>
      <c r="J133" s="1658">
        <f t="shared" si="34"/>
        <v>0.99093393421000986</v>
      </c>
      <c r="K133" s="1308">
        <v>0</v>
      </c>
      <c r="L133" s="1308">
        <v>0</v>
      </c>
      <c r="M133" s="1307"/>
    </row>
    <row r="134" spans="1:13" x14ac:dyDescent="0.2">
      <c r="A134" s="1342"/>
      <c r="B134" s="1342"/>
      <c r="C134" s="1303" t="s">
        <v>959</v>
      </c>
      <c r="D134" s="1313" t="s">
        <v>960</v>
      </c>
      <c r="E134" s="1318">
        <v>65395</v>
      </c>
      <c r="F134" s="1322">
        <f t="shared" si="57"/>
        <v>-799.13999999999942</v>
      </c>
      <c r="G134" s="1316" t="s">
        <v>1284</v>
      </c>
      <c r="H134" s="1325">
        <v>64595.86</v>
      </c>
      <c r="I134" s="1308">
        <v>0</v>
      </c>
      <c r="J134" s="1658">
        <f t="shared" si="34"/>
        <v>1</v>
      </c>
      <c r="K134" s="1308">
        <v>61975.7</v>
      </c>
      <c r="L134" s="1308">
        <v>0</v>
      </c>
      <c r="M134" s="1307"/>
    </row>
    <row r="135" spans="1:13" x14ac:dyDescent="0.2">
      <c r="A135" s="1342"/>
      <c r="B135" s="1342"/>
      <c r="C135" s="1303" t="s">
        <v>447</v>
      </c>
      <c r="D135" s="1313" t="s">
        <v>14</v>
      </c>
      <c r="E135" s="1318">
        <v>163144</v>
      </c>
      <c r="F135" s="1322">
        <f t="shared" si="57"/>
        <v>2121.4100000000035</v>
      </c>
      <c r="G135" s="1316" t="s">
        <v>1285</v>
      </c>
      <c r="H135" s="1325">
        <v>161450.92000000001</v>
      </c>
      <c r="I135" s="1308">
        <v>0</v>
      </c>
      <c r="J135" s="1658">
        <f t="shared" si="34"/>
        <v>0.97691900561648082</v>
      </c>
      <c r="K135" s="1308">
        <v>10820.99</v>
      </c>
      <c r="L135" s="1308">
        <v>0</v>
      </c>
      <c r="M135" s="1307"/>
    </row>
    <row r="136" spans="1:13" x14ac:dyDescent="0.2">
      <c r="A136" s="1342"/>
      <c r="B136" s="1342"/>
      <c r="C136" s="1303" t="s">
        <v>450</v>
      </c>
      <c r="D136" s="1313" t="s">
        <v>15</v>
      </c>
      <c r="E136" s="1318">
        <v>22895</v>
      </c>
      <c r="F136" s="1322">
        <f t="shared" si="57"/>
        <v>-3263.8600000000006</v>
      </c>
      <c r="G136" s="1316" t="s">
        <v>1286</v>
      </c>
      <c r="H136" s="1325">
        <v>17781.05</v>
      </c>
      <c r="I136" s="1308">
        <v>0</v>
      </c>
      <c r="J136" s="1658">
        <f t="shared" si="34"/>
        <v>0.90575738342246048</v>
      </c>
      <c r="K136" s="1308">
        <v>1363.67</v>
      </c>
      <c r="L136" s="1308">
        <v>0</v>
      </c>
      <c r="M136" s="1307"/>
    </row>
    <row r="137" spans="1:13" x14ac:dyDescent="0.2">
      <c r="A137" s="1342"/>
      <c r="B137" s="1342"/>
      <c r="C137" s="1303" t="s">
        <v>442</v>
      </c>
      <c r="D137" s="1313" t="s">
        <v>31</v>
      </c>
      <c r="E137" s="1318">
        <v>10000</v>
      </c>
      <c r="F137" s="1322">
        <f t="shared" si="57"/>
        <v>-5000</v>
      </c>
      <c r="G137" s="1316" t="s">
        <v>859</v>
      </c>
      <c r="H137" s="1325">
        <v>5000</v>
      </c>
      <c r="I137" s="1308">
        <v>0</v>
      </c>
      <c r="J137" s="1658">
        <f t="shared" si="34"/>
        <v>1</v>
      </c>
      <c r="K137" s="1308">
        <v>0</v>
      </c>
      <c r="L137" s="1308">
        <v>0</v>
      </c>
      <c r="M137" s="1307"/>
    </row>
    <row r="138" spans="1:13" ht="22.5" hidden="1" x14ac:dyDescent="0.2">
      <c r="A138" s="1299"/>
      <c r="B138" s="1341" t="s">
        <v>831</v>
      </c>
      <c r="C138" s="1300"/>
      <c r="D138" s="1312" t="s">
        <v>50</v>
      </c>
      <c r="E138" s="1317">
        <f>E139+E140+E141</f>
        <v>0</v>
      </c>
      <c r="F138" s="1321">
        <f t="shared" ref="F138:L138" si="58">F139+F140+F141</f>
        <v>0</v>
      </c>
      <c r="G138" s="1320">
        <f t="shared" si="58"/>
        <v>0</v>
      </c>
      <c r="H138" s="1324">
        <f t="shared" si="58"/>
        <v>0</v>
      </c>
      <c r="I138" s="1321">
        <f t="shared" si="58"/>
        <v>0</v>
      </c>
      <c r="J138" s="1800">
        <v>0</v>
      </c>
      <c r="K138" s="1321">
        <f t="shared" si="58"/>
        <v>0</v>
      </c>
      <c r="L138" s="1321">
        <f t="shared" si="58"/>
        <v>0</v>
      </c>
      <c r="M138" s="1307"/>
    </row>
    <row r="139" spans="1:13" ht="22.5" hidden="1" x14ac:dyDescent="0.2">
      <c r="A139" s="1342"/>
      <c r="B139" s="1342"/>
      <c r="C139" s="1303" t="s">
        <v>890</v>
      </c>
      <c r="D139" s="1313" t="s">
        <v>13</v>
      </c>
      <c r="E139" s="1318">
        <v>0</v>
      </c>
      <c r="F139" s="1322">
        <f>G139-E139</f>
        <v>0</v>
      </c>
      <c r="G139" s="1316" t="s">
        <v>636</v>
      </c>
      <c r="H139" s="1325">
        <v>0</v>
      </c>
      <c r="I139" s="1308">
        <v>0</v>
      </c>
      <c r="J139" s="1658">
        <v>0</v>
      </c>
      <c r="K139" s="1308">
        <v>0</v>
      </c>
      <c r="L139" s="1308">
        <v>0</v>
      </c>
      <c r="M139" s="1307"/>
    </row>
    <row r="140" spans="1:13" hidden="1" x14ac:dyDescent="0.2">
      <c r="A140" s="1342"/>
      <c r="B140" s="1342"/>
      <c r="C140" s="1303" t="s">
        <v>447</v>
      </c>
      <c r="D140" s="1313" t="s">
        <v>14</v>
      </c>
      <c r="E140" s="1318">
        <v>0</v>
      </c>
      <c r="F140" s="1322">
        <f t="shared" ref="F140:F141" si="59">G140-E140</f>
        <v>0</v>
      </c>
      <c r="G140" s="1316" t="s">
        <v>636</v>
      </c>
      <c r="H140" s="1325">
        <v>0</v>
      </c>
      <c r="I140" s="1308">
        <v>0</v>
      </c>
      <c r="J140" s="1658">
        <v>0</v>
      </c>
      <c r="K140" s="1308">
        <v>0</v>
      </c>
      <c r="L140" s="1308">
        <v>0</v>
      </c>
      <c r="M140" s="1307"/>
    </row>
    <row r="141" spans="1:13" hidden="1" x14ac:dyDescent="0.2">
      <c r="A141" s="1342"/>
      <c r="B141" s="1342"/>
      <c r="C141" s="1303" t="s">
        <v>450</v>
      </c>
      <c r="D141" s="1313" t="s">
        <v>15</v>
      </c>
      <c r="E141" s="1318">
        <v>0</v>
      </c>
      <c r="F141" s="1322">
        <f t="shared" si="59"/>
        <v>0</v>
      </c>
      <c r="G141" s="1316" t="s">
        <v>636</v>
      </c>
      <c r="H141" s="1325">
        <v>0</v>
      </c>
      <c r="I141" s="1308">
        <v>0</v>
      </c>
      <c r="J141" s="1658">
        <v>0</v>
      </c>
      <c r="K141" s="1308">
        <v>0</v>
      </c>
      <c r="L141" s="1308">
        <v>0</v>
      </c>
      <c r="M141" s="1307"/>
    </row>
    <row r="142" spans="1:13" ht="22.5" x14ac:dyDescent="0.2">
      <c r="A142" s="1334" t="s">
        <v>839</v>
      </c>
      <c r="B142" s="1334"/>
      <c r="C142" s="1334"/>
      <c r="D142" s="1335" t="s">
        <v>333</v>
      </c>
      <c r="E142" s="1336">
        <f>E143</f>
        <v>152295.97999999998</v>
      </c>
      <c r="F142" s="1330">
        <f t="shared" ref="F142:L142" si="60">F143</f>
        <v>51774.179999999993</v>
      </c>
      <c r="G142" s="1827">
        <f t="shared" si="60"/>
        <v>204070.16</v>
      </c>
      <c r="H142" s="1811">
        <f t="shared" si="60"/>
        <v>150394.71999999997</v>
      </c>
      <c r="I142" s="1330">
        <f t="shared" si="60"/>
        <v>0</v>
      </c>
      <c r="J142" s="1333">
        <f t="shared" ref="J142:J203" si="61">H142/G142</f>
        <v>0.73697555781795809</v>
      </c>
      <c r="K142" s="1330">
        <f t="shared" si="60"/>
        <v>13090</v>
      </c>
      <c r="L142" s="1330">
        <f t="shared" si="60"/>
        <v>0</v>
      </c>
      <c r="M142" s="1307"/>
    </row>
    <row r="143" spans="1:13" ht="15" x14ac:dyDescent="0.2">
      <c r="A143" s="1299"/>
      <c r="B143" s="1341" t="s">
        <v>840</v>
      </c>
      <c r="C143" s="1300"/>
      <c r="D143" s="1312" t="s">
        <v>11</v>
      </c>
      <c r="E143" s="1317">
        <f>E144+E145+E146+E147+E148+E149+E150</f>
        <v>152295.97999999998</v>
      </c>
      <c r="F143" s="1321">
        <f t="shared" ref="F143:L143" si="62">F144+F145+F146+F147+F148+F149+F150</f>
        <v>51774.179999999993</v>
      </c>
      <c r="G143" s="1320">
        <f t="shared" si="62"/>
        <v>204070.16</v>
      </c>
      <c r="H143" s="1324">
        <f t="shared" si="62"/>
        <v>150394.71999999997</v>
      </c>
      <c r="I143" s="1321">
        <f t="shared" si="62"/>
        <v>0</v>
      </c>
      <c r="J143" s="1800">
        <f t="shared" si="61"/>
        <v>0.73697555781795809</v>
      </c>
      <c r="K143" s="1321">
        <f t="shared" si="62"/>
        <v>13090</v>
      </c>
      <c r="L143" s="1321">
        <f t="shared" si="62"/>
        <v>0</v>
      </c>
      <c r="M143" s="1307"/>
    </row>
    <row r="144" spans="1:13" ht="22.5" x14ac:dyDescent="0.2">
      <c r="A144" s="1342"/>
      <c r="B144" s="1342"/>
      <c r="C144" s="1303" t="s">
        <v>1215</v>
      </c>
      <c r="D144" s="1313" t="s">
        <v>13</v>
      </c>
      <c r="E144" s="1318">
        <v>79786.149999999994</v>
      </c>
      <c r="F144" s="1322">
        <f t="shared" ref="F144:F150" si="63">G144-E144</f>
        <v>31559.010000000009</v>
      </c>
      <c r="G144" s="1316" t="s">
        <v>1305</v>
      </c>
      <c r="H144" s="1325">
        <v>80760.62</v>
      </c>
      <c r="I144" s="1308">
        <v>0</v>
      </c>
      <c r="J144" s="1658">
        <f t="shared" si="61"/>
        <v>0.72531774169618146</v>
      </c>
      <c r="K144" s="1308">
        <v>0</v>
      </c>
      <c r="L144" s="1308">
        <v>0</v>
      </c>
      <c r="M144" s="1307"/>
    </row>
    <row r="145" spans="1:13" ht="22.5" x14ac:dyDescent="0.2">
      <c r="A145" s="1342"/>
      <c r="B145" s="1342"/>
      <c r="C145" s="1303" t="s">
        <v>1217</v>
      </c>
      <c r="D145" s="1313" t="s">
        <v>13</v>
      </c>
      <c r="E145" s="1318">
        <v>5857.19</v>
      </c>
      <c r="F145" s="1322">
        <f t="shared" si="63"/>
        <v>1367.9000000000005</v>
      </c>
      <c r="G145" s="1316" t="s">
        <v>1306</v>
      </c>
      <c r="H145" s="1325">
        <v>6172.01</v>
      </c>
      <c r="I145" s="1308">
        <v>0</v>
      </c>
      <c r="J145" s="1658">
        <f t="shared" si="61"/>
        <v>0.8542467983097789</v>
      </c>
      <c r="K145" s="1308">
        <v>0</v>
      </c>
      <c r="L145" s="1308">
        <v>0</v>
      </c>
      <c r="M145" s="1307"/>
    </row>
    <row r="146" spans="1:13" x14ac:dyDescent="0.2">
      <c r="A146" s="1342"/>
      <c r="B146" s="1342"/>
      <c r="C146" s="1303" t="s">
        <v>1220</v>
      </c>
      <c r="D146" s="1313" t="s">
        <v>14</v>
      </c>
      <c r="E146" s="1318">
        <v>13931.23</v>
      </c>
      <c r="F146" s="1322">
        <f t="shared" si="63"/>
        <v>14325.05</v>
      </c>
      <c r="G146" s="1316" t="s">
        <v>1307</v>
      </c>
      <c r="H146" s="1325">
        <v>21938.29</v>
      </c>
      <c r="I146" s="1308">
        <v>0</v>
      </c>
      <c r="J146" s="1658">
        <f t="shared" si="61"/>
        <v>0.77640404186255241</v>
      </c>
      <c r="K146" s="1308">
        <v>652.34</v>
      </c>
      <c r="L146" s="1308">
        <v>0</v>
      </c>
      <c r="M146" s="1307"/>
    </row>
    <row r="147" spans="1:13" x14ac:dyDescent="0.2">
      <c r="A147" s="1342"/>
      <c r="B147" s="1342"/>
      <c r="C147" s="1303" t="s">
        <v>1222</v>
      </c>
      <c r="D147" s="1313" t="s">
        <v>14</v>
      </c>
      <c r="E147" s="1318">
        <v>1022.73</v>
      </c>
      <c r="F147" s="1322">
        <f t="shared" si="63"/>
        <v>238.76999999999998</v>
      </c>
      <c r="G147" s="1316" t="s">
        <v>1308</v>
      </c>
      <c r="H147" s="1325">
        <v>1077.6099999999999</v>
      </c>
      <c r="I147" s="1308">
        <v>0</v>
      </c>
      <c r="J147" s="1658">
        <f t="shared" si="61"/>
        <v>0.85422909235037647</v>
      </c>
      <c r="K147" s="1308">
        <v>0</v>
      </c>
      <c r="L147" s="1308">
        <v>0</v>
      </c>
      <c r="M147" s="1307"/>
    </row>
    <row r="148" spans="1:13" x14ac:dyDescent="0.2">
      <c r="A148" s="1342"/>
      <c r="B148" s="1342"/>
      <c r="C148" s="1303" t="s">
        <v>1225</v>
      </c>
      <c r="D148" s="1313" t="s">
        <v>15</v>
      </c>
      <c r="E148" s="1318">
        <v>1955.13</v>
      </c>
      <c r="F148" s="1322">
        <f t="shared" si="63"/>
        <v>1687.9099999999999</v>
      </c>
      <c r="G148" s="1316" t="s">
        <v>1309</v>
      </c>
      <c r="H148" s="1325">
        <v>2524.17</v>
      </c>
      <c r="I148" s="1308">
        <v>0</v>
      </c>
      <c r="J148" s="1658">
        <f t="shared" si="61"/>
        <v>0.69287463217532608</v>
      </c>
      <c r="K148" s="1308">
        <v>91.52</v>
      </c>
      <c r="L148" s="1308">
        <v>0</v>
      </c>
      <c r="M148" s="1307"/>
    </row>
    <row r="149" spans="1:13" x14ac:dyDescent="0.2">
      <c r="A149" s="1342"/>
      <c r="B149" s="1342"/>
      <c r="C149" s="1303" t="s">
        <v>1227</v>
      </c>
      <c r="D149" s="1313" t="s">
        <v>15</v>
      </c>
      <c r="E149" s="1318">
        <v>143.55000000000001</v>
      </c>
      <c r="F149" s="1322">
        <f t="shared" si="63"/>
        <v>34.769999999999982</v>
      </c>
      <c r="G149" s="1316" t="s">
        <v>1310</v>
      </c>
      <c r="H149" s="1325">
        <v>138.85</v>
      </c>
      <c r="I149" s="1308">
        <v>0</v>
      </c>
      <c r="J149" s="1658">
        <f t="shared" si="61"/>
        <v>0.77865634813817852</v>
      </c>
      <c r="K149" s="1308">
        <v>0</v>
      </c>
      <c r="L149" s="1308">
        <v>0</v>
      </c>
      <c r="M149" s="1307"/>
    </row>
    <row r="150" spans="1:13" x14ac:dyDescent="0.2">
      <c r="A150" s="1342"/>
      <c r="B150" s="1342"/>
      <c r="C150" s="1303" t="s">
        <v>1313</v>
      </c>
      <c r="D150" s="1313" t="s">
        <v>31</v>
      </c>
      <c r="E150" s="1318">
        <v>49600</v>
      </c>
      <c r="F150" s="1322">
        <f t="shared" si="63"/>
        <v>2560.7699999999968</v>
      </c>
      <c r="G150" s="1316" t="s">
        <v>1314</v>
      </c>
      <c r="H150" s="1325">
        <v>37783.17</v>
      </c>
      <c r="I150" s="1308">
        <v>0</v>
      </c>
      <c r="J150" s="1658">
        <f t="shared" si="61"/>
        <v>0.72435989729446093</v>
      </c>
      <c r="K150" s="1308">
        <v>12346.14</v>
      </c>
      <c r="L150" s="1308">
        <v>0</v>
      </c>
      <c r="M150" s="1307"/>
    </row>
    <row r="151" spans="1:13" x14ac:dyDescent="0.2">
      <c r="A151" s="1334" t="s">
        <v>843</v>
      </c>
      <c r="B151" s="1334"/>
      <c r="C151" s="1334"/>
      <c r="D151" s="1335" t="s">
        <v>86</v>
      </c>
      <c r="E151" s="1336">
        <f>E152</f>
        <v>825338</v>
      </c>
      <c r="F151" s="1330">
        <f t="shared" ref="F151:L151" si="64">F152</f>
        <v>-97430</v>
      </c>
      <c r="G151" s="1827">
        <f t="shared" si="64"/>
        <v>727908</v>
      </c>
      <c r="H151" s="1811">
        <f t="shared" si="64"/>
        <v>707872.82</v>
      </c>
      <c r="I151" s="1330">
        <f t="shared" si="64"/>
        <v>0</v>
      </c>
      <c r="J151" s="1333">
        <f t="shared" si="61"/>
        <v>0.97247567000225299</v>
      </c>
      <c r="K151" s="1330">
        <f t="shared" si="64"/>
        <v>63224.36</v>
      </c>
      <c r="L151" s="1330">
        <f t="shared" si="64"/>
        <v>0</v>
      </c>
      <c r="M151" s="1307"/>
    </row>
    <row r="152" spans="1:13" ht="15" x14ac:dyDescent="0.2">
      <c r="A152" s="1299"/>
      <c r="B152" s="1341" t="s">
        <v>1325</v>
      </c>
      <c r="C152" s="1300"/>
      <c r="D152" s="1312" t="s">
        <v>1326</v>
      </c>
      <c r="E152" s="1317">
        <f>E153+E154+E155+E156</f>
        <v>825338</v>
      </c>
      <c r="F152" s="1321">
        <f t="shared" ref="F152:L152" si="65">F153+F154+F155+F156</f>
        <v>-97430</v>
      </c>
      <c r="G152" s="1320">
        <f t="shared" si="65"/>
        <v>727908</v>
      </c>
      <c r="H152" s="1324">
        <f t="shared" si="65"/>
        <v>707872.82</v>
      </c>
      <c r="I152" s="1321">
        <f t="shared" si="65"/>
        <v>0</v>
      </c>
      <c r="J152" s="1800">
        <f t="shared" si="61"/>
        <v>0.97247567000225299</v>
      </c>
      <c r="K152" s="1321">
        <f t="shared" si="65"/>
        <v>63224.36</v>
      </c>
      <c r="L152" s="1321">
        <f t="shared" si="65"/>
        <v>0</v>
      </c>
      <c r="M152" s="1307"/>
    </row>
    <row r="153" spans="1:13" ht="22.5" x14ac:dyDescent="0.2">
      <c r="A153" s="1342"/>
      <c r="B153" s="1342"/>
      <c r="C153" s="1303" t="s">
        <v>890</v>
      </c>
      <c r="D153" s="1313" t="s">
        <v>13</v>
      </c>
      <c r="E153" s="1318">
        <v>640800</v>
      </c>
      <c r="F153" s="1322">
        <f t="shared" ref="F153:F156" si="66">G153-E153</f>
        <v>-74000</v>
      </c>
      <c r="G153" s="1316" t="s">
        <v>1328</v>
      </c>
      <c r="H153" s="1325">
        <v>547093.93999999994</v>
      </c>
      <c r="I153" s="1308">
        <v>0</v>
      </c>
      <c r="J153" s="1658">
        <f t="shared" si="61"/>
        <v>0.96523278052222994</v>
      </c>
      <c r="K153" s="1308">
        <v>3612.79</v>
      </c>
      <c r="L153" s="1308">
        <v>0</v>
      </c>
      <c r="M153" s="1307"/>
    </row>
    <row r="154" spans="1:13" x14ac:dyDescent="0.2">
      <c r="A154" s="1342"/>
      <c r="B154" s="1342"/>
      <c r="C154" s="1303" t="s">
        <v>959</v>
      </c>
      <c r="D154" s="1313" t="s">
        <v>960</v>
      </c>
      <c r="E154" s="1318">
        <v>50836</v>
      </c>
      <c r="F154" s="1322">
        <f t="shared" si="66"/>
        <v>0</v>
      </c>
      <c r="G154" s="1316" t="s">
        <v>1329</v>
      </c>
      <c r="H154" s="1325">
        <v>50836</v>
      </c>
      <c r="I154" s="1308">
        <v>0</v>
      </c>
      <c r="J154" s="1658">
        <f t="shared" si="61"/>
        <v>1</v>
      </c>
      <c r="K154" s="1308">
        <v>46270</v>
      </c>
      <c r="L154" s="1308">
        <v>0</v>
      </c>
      <c r="M154" s="1307"/>
    </row>
    <row r="155" spans="1:13" x14ac:dyDescent="0.2">
      <c r="A155" s="1342"/>
      <c r="B155" s="1342"/>
      <c r="C155" s="1303" t="s">
        <v>447</v>
      </c>
      <c r="D155" s="1313" t="s">
        <v>14</v>
      </c>
      <c r="E155" s="1318">
        <v>116990</v>
      </c>
      <c r="F155" s="1322">
        <f t="shared" si="66"/>
        <v>-19800</v>
      </c>
      <c r="G155" s="1316" t="s">
        <v>1330</v>
      </c>
      <c r="H155" s="1325">
        <v>97104.42</v>
      </c>
      <c r="I155" s="1308">
        <v>0</v>
      </c>
      <c r="J155" s="1658">
        <f t="shared" si="61"/>
        <v>0.99911945673423186</v>
      </c>
      <c r="K155" s="1308">
        <v>11956.72</v>
      </c>
      <c r="L155" s="1308">
        <v>0</v>
      </c>
      <c r="M155" s="1307"/>
    </row>
    <row r="156" spans="1:13" x14ac:dyDescent="0.2">
      <c r="A156" s="1342"/>
      <c r="B156" s="1342"/>
      <c r="C156" s="1303" t="s">
        <v>450</v>
      </c>
      <c r="D156" s="1313" t="s">
        <v>15</v>
      </c>
      <c r="E156" s="1318">
        <v>16712</v>
      </c>
      <c r="F156" s="1322">
        <f t="shared" si="66"/>
        <v>-3630</v>
      </c>
      <c r="G156" s="1316" t="s">
        <v>1331</v>
      </c>
      <c r="H156" s="1325">
        <v>12838.46</v>
      </c>
      <c r="I156" s="1308">
        <v>0</v>
      </c>
      <c r="J156" s="1658">
        <f t="shared" si="61"/>
        <v>0.98138358049227936</v>
      </c>
      <c r="K156" s="1308">
        <v>1384.85</v>
      </c>
      <c r="L156" s="1308">
        <v>0</v>
      </c>
      <c r="M156" s="1307"/>
    </row>
    <row r="157" spans="1:13" x14ac:dyDescent="0.2">
      <c r="A157" s="1334" t="s">
        <v>849</v>
      </c>
      <c r="B157" s="1334"/>
      <c r="C157" s="1334"/>
      <c r="D157" s="1335" t="s">
        <v>51</v>
      </c>
      <c r="E157" s="1336">
        <f>E158+E164+E169+E173</f>
        <v>694362</v>
      </c>
      <c r="F157" s="1330">
        <f t="shared" ref="F157:L157" si="67">F158+F164+F169+F173</f>
        <v>57011.560000000019</v>
      </c>
      <c r="G157" s="1827">
        <f t="shared" si="67"/>
        <v>751373.56</v>
      </c>
      <c r="H157" s="1811">
        <f t="shared" si="67"/>
        <v>745839.66</v>
      </c>
      <c r="I157" s="1330">
        <f t="shared" si="67"/>
        <v>0</v>
      </c>
      <c r="J157" s="1333">
        <f t="shared" si="61"/>
        <v>0.99263495510808231</v>
      </c>
      <c r="K157" s="1330">
        <f t="shared" si="67"/>
        <v>39219.649999999994</v>
      </c>
      <c r="L157" s="1330">
        <f t="shared" si="67"/>
        <v>0</v>
      </c>
      <c r="M157" s="1307"/>
    </row>
    <row r="158" spans="1:13" ht="15" x14ac:dyDescent="0.2">
      <c r="A158" s="1299"/>
      <c r="B158" s="1341" t="s">
        <v>850</v>
      </c>
      <c r="C158" s="1300"/>
      <c r="D158" s="1312" t="s">
        <v>851</v>
      </c>
      <c r="E158" s="1317">
        <f>E159+E160+E161+E162+E163</f>
        <v>141021</v>
      </c>
      <c r="F158" s="1321">
        <f t="shared" ref="F158:L158" si="68">F159+F160+F161+F162+F163</f>
        <v>10921.080000000002</v>
      </c>
      <c r="G158" s="1320">
        <f t="shared" si="68"/>
        <v>151942.07999999999</v>
      </c>
      <c r="H158" s="1324">
        <f t="shared" si="68"/>
        <v>151158.53000000003</v>
      </c>
      <c r="I158" s="1321">
        <f t="shared" si="68"/>
        <v>0</v>
      </c>
      <c r="J158" s="1800">
        <f t="shared" si="61"/>
        <v>0.99484310073943993</v>
      </c>
      <c r="K158" s="1321">
        <f t="shared" si="68"/>
        <v>11465.03</v>
      </c>
      <c r="L158" s="1321">
        <f t="shared" si="68"/>
        <v>0</v>
      </c>
      <c r="M158" s="1307"/>
    </row>
    <row r="159" spans="1:13" ht="22.5" x14ac:dyDescent="0.2">
      <c r="A159" s="1342"/>
      <c r="B159" s="1342"/>
      <c r="C159" s="1303" t="s">
        <v>890</v>
      </c>
      <c r="D159" s="1313" t="s">
        <v>13</v>
      </c>
      <c r="E159" s="1318">
        <v>105000</v>
      </c>
      <c r="F159" s="1322">
        <f t="shared" ref="F159:F163" si="69">G159-E159</f>
        <v>10000</v>
      </c>
      <c r="G159" s="1316" t="s">
        <v>1341</v>
      </c>
      <c r="H159" s="1325">
        <v>114945.13</v>
      </c>
      <c r="I159" s="1308">
        <v>0</v>
      </c>
      <c r="J159" s="1658">
        <f t="shared" si="61"/>
        <v>0.99952286956521741</v>
      </c>
      <c r="K159" s="1308">
        <v>0</v>
      </c>
      <c r="L159" s="1308">
        <v>0</v>
      </c>
      <c r="M159" s="1307"/>
    </row>
    <row r="160" spans="1:13" x14ac:dyDescent="0.2">
      <c r="A160" s="1342"/>
      <c r="B160" s="1342"/>
      <c r="C160" s="1303" t="s">
        <v>959</v>
      </c>
      <c r="D160" s="1313" t="s">
        <v>960</v>
      </c>
      <c r="E160" s="1318">
        <v>7600</v>
      </c>
      <c r="F160" s="1322">
        <f t="shared" si="69"/>
        <v>-177.31999999999971</v>
      </c>
      <c r="G160" s="1316" t="s">
        <v>1342</v>
      </c>
      <c r="H160" s="1325">
        <v>7422.68</v>
      </c>
      <c r="I160" s="1308">
        <v>0</v>
      </c>
      <c r="J160" s="1658">
        <f t="shared" si="61"/>
        <v>1</v>
      </c>
      <c r="K160" s="1308">
        <v>9666.5300000000007</v>
      </c>
      <c r="L160" s="1308">
        <v>0</v>
      </c>
      <c r="M160" s="1307"/>
    </row>
    <row r="161" spans="1:13" x14ac:dyDescent="0.2">
      <c r="A161" s="1342"/>
      <c r="B161" s="1342"/>
      <c r="C161" s="1303" t="s">
        <v>447</v>
      </c>
      <c r="D161" s="1313" t="s">
        <v>14</v>
      </c>
      <c r="E161" s="1318">
        <v>20533</v>
      </c>
      <c r="F161" s="1322">
        <f t="shared" si="69"/>
        <v>1398.4000000000015</v>
      </c>
      <c r="G161" s="1316" t="s">
        <v>1343</v>
      </c>
      <c r="H161" s="1325">
        <v>21252.33</v>
      </c>
      <c r="I161" s="1308">
        <v>0</v>
      </c>
      <c r="J161" s="1658">
        <f t="shared" si="61"/>
        <v>0.96903663240832782</v>
      </c>
      <c r="K161" s="1308">
        <v>1687.77</v>
      </c>
      <c r="L161" s="1308">
        <v>0</v>
      </c>
      <c r="M161" s="1307"/>
    </row>
    <row r="162" spans="1:13" x14ac:dyDescent="0.2">
      <c r="A162" s="1342"/>
      <c r="B162" s="1342"/>
      <c r="C162" s="1303" t="s">
        <v>450</v>
      </c>
      <c r="D162" s="1313" t="s">
        <v>15</v>
      </c>
      <c r="E162" s="1318">
        <v>2888</v>
      </c>
      <c r="F162" s="1322">
        <f t="shared" si="69"/>
        <v>-300</v>
      </c>
      <c r="G162" s="1316" t="s">
        <v>1344</v>
      </c>
      <c r="H162" s="1325">
        <v>2538.39</v>
      </c>
      <c r="I162" s="1308">
        <v>0</v>
      </c>
      <c r="J162" s="1658">
        <f t="shared" si="61"/>
        <v>0.98083075734157643</v>
      </c>
      <c r="K162" s="1308">
        <v>110.73</v>
      </c>
      <c r="L162" s="1308">
        <v>0</v>
      </c>
      <c r="M162" s="1307"/>
    </row>
    <row r="163" spans="1:13" x14ac:dyDescent="0.2">
      <c r="A163" s="1342"/>
      <c r="B163" s="1342"/>
      <c r="C163" s="1303" t="s">
        <v>442</v>
      </c>
      <c r="D163" s="1313" t="s">
        <v>31</v>
      </c>
      <c r="E163" s="1318">
        <v>5000</v>
      </c>
      <c r="F163" s="1322">
        <f t="shared" si="69"/>
        <v>0</v>
      </c>
      <c r="G163" s="1316" t="s">
        <v>859</v>
      </c>
      <c r="H163" s="1325">
        <v>5000</v>
      </c>
      <c r="I163" s="1308">
        <v>0</v>
      </c>
      <c r="J163" s="1658">
        <f t="shared" si="61"/>
        <v>1</v>
      </c>
      <c r="K163" s="1308">
        <v>0</v>
      </c>
      <c r="L163" s="1308">
        <v>0</v>
      </c>
      <c r="M163" s="1307"/>
    </row>
    <row r="164" spans="1:13" ht="56.25" x14ac:dyDescent="0.2">
      <c r="A164" s="1299"/>
      <c r="B164" s="1341" t="s">
        <v>857</v>
      </c>
      <c r="C164" s="1300"/>
      <c r="D164" s="1312" t="s">
        <v>858</v>
      </c>
      <c r="E164" s="1317">
        <f>E165+E166+E167+E168</f>
        <v>429901</v>
      </c>
      <c r="F164" s="1321">
        <f t="shared" ref="F164:L164" si="70">F165+F166+F167+F168</f>
        <v>25418.080000000013</v>
      </c>
      <c r="G164" s="1320">
        <f t="shared" si="70"/>
        <v>455319.08</v>
      </c>
      <c r="H164" s="1324">
        <f t="shared" si="70"/>
        <v>452748.39</v>
      </c>
      <c r="I164" s="1321">
        <f t="shared" si="70"/>
        <v>0</v>
      </c>
      <c r="J164" s="1800">
        <f t="shared" si="61"/>
        <v>0.9943540912012736</v>
      </c>
      <c r="K164" s="1321">
        <f t="shared" si="70"/>
        <v>17861.03</v>
      </c>
      <c r="L164" s="1321">
        <f t="shared" si="70"/>
        <v>0</v>
      </c>
      <c r="M164" s="1307"/>
    </row>
    <row r="165" spans="1:13" ht="22.5" x14ac:dyDescent="0.2">
      <c r="A165" s="1342"/>
      <c r="B165" s="1342"/>
      <c r="C165" s="1303" t="s">
        <v>890</v>
      </c>
      <c r="D165" s="1313" t="s">
        <v>13</v>
      </c>
      <c r="E165" s="1318">
        <v>140000</v>
      </c>
      <c r="F165" s="1322">
        <f t="shared" ref="F165:F168" si="71">G165-E165</f>
        <v>15443.25</v>
      </c>
      <c r="G165" s="1316" t="s">
        <v>1352</v>
      </c>
      <c r="H165" s="1325">
        <v>154604.84</v>
      </c>
      <c r="I165" s="1308">
        <v>0</v>
      </c>
      <c r="J165" s="1658">
        <f t="shared" si="61"/>
        <v>0.99460632738957788</v>
      </c>
      <c r="K165" s="1308">
        <v>0</v>
      </c>
      <c r="L165" s="1308">
        <v>0</v>
      </c>
      <c r="M165" s="1307"/>
    </row>
    <row r="166" spans="1:13" x14ac:dyDescent="0.2">
      <c r="A166" s="1342"/>
      <c r="B166" s="1342"/>
      <c r="C166" s="1303" t="s">
        <v>959</v>
      </c>
      <c r="D166" s="1313" t="s">
        <v>960</v>
      </c>
      <c r="E166" s="1318">
        <v>9200</v>
      </c>
      <c r="F166" s="1322">
        <f t="shared" si="71"/>
        <v>-383.45000000000073</v>
      </c>
      <c r="G166" s="1316" t="s">
        <v>1353</v>
      </c>
      <c r="H166" s="1325">
        <v>8816.5499999999993</v>
      </c>
      <c r="I166" s="1308">
        <v>0</v>
      </c>
      <c r="J166" s="1658">
        <f t="shared" si="61"/>
        <v>1</v>
      </c>
      <c r="K166" s="1308">
        <v>15055.01</v>
      </c>
      <c r="L166" s="1308">
        <v>0</v>
      </c>
      <c r="M166" s="1307"/>
    </row>
    <row r="167" spans="1:13" x14ac:dyDescent="0.2">
      <c r="A167" s="1342"/>
      <c r="B167" s="1342"/>
      <c r="C167" s="1303" t="s">
        <v>447</v>
      </c>
      <c r="D167" s="1313" t="s">
        <v>14</v>
      </c>
      <c r="E167" s="1318">
        <v>276923</v>
      </c>
      <c r="F167" s="1322">
        <f t="shared" si="71"/>
        <v>11265.390000000014</v>
      </c>
      <c r="G167" s="1316" t="s">
        <v>1354</v>
      </c>
      <c r="H167" s="1325">
        <v>286456.11</v>
      </c>
      <c r="I167" s="1308">
        <v>0</v>
      </c>
      <c r="J167" s="1658">
        <f t="shared" si="61"/>
        <v>0.99398907082967491</v>
      </c>
      <c r="K167" s="1308">
        <v>2628.63</v>
      </c>
      <c r="L167" s="1308">
        <v>0</v>
      </c>
      <c r="M167" s="1307"/>
    </row>
    <row r="168" spans="1:13" x14ac:dyDescent="0.2">
      <c r="A168" s="1342"/>
      <c r="B168" s="1342"/>
      <c r="C168" s="1303" t="s">
        <v>450</v>
      </c>
      <c r="D168" s="1313" t="s">
        <v>15</v>
      </c>
      <c r="E168" s="1318">
        <v>3778</v>
      </c>
      <c r="F168" s="1322">
        <f t="shared" si="71"/>
        <v>-907.11000000000013</v>
      </c>
      <c r="G168" s="1316" t="s">
        <v>1355</v>
      </c>
      <c r="H168" s="1325">
        <v>2870.89</v>
      </c>
      <c r="I168" s="1308">
        <v>0</v>
      </c>
      <c r="J168" s="1658">
        <f t="shared" si="61"/>
        <v>1</v>
      </c>
      <c r="K168" s="1308">
        <v>177.39</v>
      </c>
      <c r="L168" s="1308">
        <v>0</v>
      </c>
      <c r="M168" s="1307"/>
    </row>
    <row r="169" spans="1:13" ht="15" x14ac:dyDescent="0.2">
      <c r="A169" s="1299"/>
      <c r="B169" s="1341" t="s">
        <v>863</v>
      </c>
      <c r="C169" s="1300"/>
      <c r="D169" s="1312" t="s">
        <v>57</v>
      </c>
      <c r="E169" s="1317">
        <f>E170+E171+E172</f>
        <v>0</v>
      </c>
      <c r="F169" s="1321">
        <f t="shared" ref="F169:L169" si="72">F170+F171+F172</f>
        <v>300</v>
      </c>
      <c r="G169" s="1320">
        <f t="shared" si="72"/>
        <v>300</v>
      </c>
      <c r="H169" s="1324">
        <f t="shared" si="72"/>
        <v>300</v>
      </c>
      <c r="I169" s="1321">
        <f t="shared" si="72"/>
        <v>0</v>
      </c>
      <c r="J169" s="1800">
        <f t="shared" si="61"/>
        <v>1</v>
      </c>
      <c r="K169" s="1321">
        <f t="shared" si="72"/>
        <v>0</v>
      </c>
      <c r="L169" s="1321">
        <f t="shared" si="72"/>
        <v>0</v>
      </c>
      <c r="M169" s="1307"/>
    </row>
    <row r="170" spans="1:13" ht="22.5" x14ac:dyDescent="0.2">
      <c r="A170" s="1342"/>
      <c r="B170" s="1342"/>
      <c r="C170" s="1303" t="s">
        <v>890</v>
      </c>
      <c r="D170" s="1313" t="s">
        <v>13</v>
      </c>
      <c r="E170" s="1318">
        <v>0</v>
      </c>
      <c r="F170" s="1322">
        <f>G170-E170</f>
        <v>250.19</v>
      </c>
      <c r="G170" s="1316" t="s">
        <v>1358</v>
      </c>
      <c r="H170" s="1325">
        <v>250.19</v>
      </c>
      <c r="I170" s="1308">
        <v>0</v>
      </c>
      <c r="J170" s="1658">
        <f t="shared" si="61"/>
        <v>1</v>
      </c>
      <c r="K170" s="1308">
        <v>0</v>
      </c>
      <c r="L170" s="1308">
        <v>0</v>
      </c>
      <c r="M170" s="1307"/>
    </row>
    <row r="171" spans="1:13" x14ac:dyDescent="0.2">
      <c r="A171" s="1342"/>
      <c r="B171" s="1342"/>
      <c r="C171" s="1303" t="s">
        <v>447</v>
      </c>
      <c r="D171" s="1313" t="s">
        <v>14</v>
      </c>
      <c r="E171" s="1318">
        <v>0</v>
      </c>
      <c r="F171" s="1322">
        <f t="shared" ref="F171:F172" si="73">G171-E171</f>
        <v>43.68</v>
      </c>
      <c r="G171" s="1316" t="s">
        <v>1359</v>
      </c>
      <c r="H171" s="1325">
        <v>43.68</v>
      </c>
      <c r="I171" s="1308">
        <v>0</v>
      </c>
      <c r="J171" s="1658">
        <f t="shared" si="61"/>
        <v>1</v>
      </c>
      <c r="K171" s="1308">
        <v>0</v>
      </c>
      <c r="L171" s="1308">
        <v>0</v>
      </c>
      <c r="M171" s="1307"/>
    </row>
    <row r="172" spans="1:13" x14ac:dyDescent="0.2">
      <c r="A172" s="1342"/>
      <c r="B172" s="1342"/>
      <c r="C172" s="1303" t="s">
        <v>450</v>
      </c>
      <c r="D172" s="1313" t="s">
        <v>15</v>
      </c>
      <c r="E172" s="1318">
        <v>0</v>
      </c>
      <c r="F172" s="1322">
        <f t="shared" si="73"/>
        <v>6.13</v>
      </c>
      <c r="G172" s="1316" t="s">
        <v>1360</v>
      </c>
      <c r="H172" s="1325">
        <v>6.13</v>
      </c>
      <c r="I172" s="1308">
        <v>0</v>
      </c>
      <c r="J172" s="1658">
        <f t="shared" si="61"/>
        <v>1</v>
      </c>
      <c r="K172" s="1308">
        <v>0</v>
      </c>
      <c r="L172" s="1308">
        <v>0</v>
      </c>
      <c r="M172" s="1307"/>
    </row>
    <row r="173" spans="1:13" ht="15" x14ac:dyDescent="0.2">
      <c r="A173" s="1299"/>
      <c r="B173" s="1341" t="s">
        <v>865</v>
      </c>
      <c r="C173" s="1300"/>
      <c r="D173" s="1312" t="s">
        <v>58</v>
      </c>
      <c r="E173" s="1317">
        <f>E174+E175+E176+E177</f>
        <v>123440</v>
      </c>
      <c r="F173" s="1321">
        <f t="shared" ref="F173:L173" si="74">F174+F175+F176+F177</f>
        <v>20372.400000000001</v>
      </c>
      <c r="G173" s="1320">
        <f t="shared" si="74"/>
        <v>143812.4</v>
      </c>
      <c r="H173" s="1324">
        <f t="shared" si="74"/>
        <v>141632.74</v>
      </c>
      <c r="I173" s="1321">
        <f t="shared" si="74"/>
        <v>0</v>
      </c>
      <c r="J173" s="1800">
        <f t="shared" si="61"/>
        <v>0.98484372696652023</v>
      </c>
      <c r="K173" s="1321">
        <f t="shared" si="74"/>
        <v>9893.59</v>
      </c>
      <c r="L173" s="1321">
        <f t="shared" si="74"/>
        <v>0</v>
      </c>
      <c r="M173" s="1307"/>
    </row>
    <row r="174" spans="1:13" ht="22.5" x14ac:dyDescent="0.2">
      <c r="A174" s="1342"/>
      <c r="B174" s="1342"/>
      <c r="C174" s="1303" t="s">
        <v>890</v>
      </c>
      <c r="D174" s="1313" t="s">
        <v>13</v>
      </c>
      <c r="E174" s="1318">
        <v>96400</v>
      </c>
      <c r="F174" s="1322">
        <f t="shared" ref="F174:F177" si="75">G174-E174</f>
        <v>17031</v>
      </c>
      <c r="G174" s="1316" t="s">
        <v>1362</v>
      </c>
      <c r="H174" s="1325">
        <v>112331</v>
      </c>
      <c r="I174" s="1308">
        <v>0</v>
      </c>
      <c r="J174" s="1658">
        <f t="shared" si="61"/>
        <v>0.99030247463215526</v>
      </c>
      <c r="K174" s="1308">
        <v>0</v>
      </c>
      <c r="L174" s="1308">
        <v>0</v>
      </c>
      <c r="M174" s="1307"/>
    </row>
    <row r="175" spans="1:13" x14ac:dyDescent="0.2">
      <c r="A175" s="1342"/>
      <c r="B175" s="1342"/>
      <c r="C175" s="1303" t="s">
        <v>959</v>
      </c>
      <c r="D175" s="1313" t="s">
        <v>960</v>
      </c>
      <c r="E175" s="1318">
        <v>6550</v>
      </c>
      <c r="F175" s="1322">
        <f t="shared" si="75"/>
        <v>0</v>
      </c>
      <c r="G175" s="1316" t="s">
        <v>1363</v>
      </c>
      <c r="H175" s="1325">
        <v>6488.11</v>
      </c>
      <c r="I175" s="1308">
        <v>0</v>
      </c>
      <c r="J175" s="1658">
        <f t="shared" si="61"/>
        <v>0.99055114503816788</v>
      </c>
      <c r="K175" s="1308">
        <v>8250.86</v>
      </c>
      <c r="L175" s="1308">
        <v>0</v>
      </c>
      <c r="M175" s="1307"/>
    </row>
    <row r="176" spans="1:13" x14ac:dyDescent="0.2">
      <c r="A176" s="1342"/>
      <c r="B176" s="1342"/>
      <c r="C176" s="1303" t="s">
        <v>447</v>
      </c>
      <c r="D176" s="1313" t="s">
        <v>14</v>
      </c>
      <c r="E176" s="1318">
        <v>17970</v>
      </c>
      <c r="F176" s="1322">
        <f t="shared" si="75"/>
        <v>2991.4000000000015</v>
      </c>
      <c r="G176" s="1316" t="s">
        <v>1364</v>
      </c>
      <c r="H176" s="1325">
        <v>20096.77</v>
      </c>
      <c r="I176" s="1308">
        <v>0</v>
      </c>
      <c r="J176" s="1658">
        <f t="shared" si="61"/>
        <v>0.95875132386195572</v>
      </c>
      <c r="K176" s="1308">
        <v>1440.58</v>
      </c>
      <c r="L176" s="1308">
        <v>0</v>
      </c>
      <c r="M176" s="1307"/>
    </row>
    <row r="177" spans="1:13" x14ac:dyDescent="0.2">
      <c r="A177" s="1342"/>
      <c r="B177" s="1342"/>
      <c r="C177" s="1303" t="s">
        <v>450</v>
      </c>
      <c r="D177" s="1313" t="s">
        <v>15</v>
      </c>
      <c r="E177" s="1318">
        <v>2520</v>
      </c>
      <c r="F177" s="1322">
        <f t="shared" si="75"/>
        <v>350</v>
      </c>
      <c r="G177" s="1316" t="s">
        <v>1365</v>
      </c>
      <c r="H177" s="1325">
        <v>2716.86</v>
      </c>
      <c r="I177" s="1308">
        <v>0</v>
      </c>
      <c r="J177" s="1658">
        <f t="shared" si="61"/>
        <v>0.94664111498257841</v>
      </c>
      <c r="K177" s="1308">
        <v>202.15</v>
      </c>
      <c r="L177" s="1308">
        <v>0</v>
      </c>
      <c r="M177" s="1307"/>
    </row>
    <row r="178" spans="1:13" ht="22.5" x14ac:dyDescent="0.2">
      <c r="A178" s="1334" t="s">
        <v>246</v>
      </c>
      <c r="B178" s="1334"/>
      <c r="C178" s="1334"/>
      <c r="D178" s="1335" t="s">
        <v>311</v>
      </c>
      <c r="E178" s="1336">
        <f>E179+E185+E187+E191</f>
        <v>228203.24999999994</v>
      </c>
      <c r="F178" s="1330">
        <f t="shared" ref="F178:L178" si="76">F179+F185+F187+F191</f>
        <v>-8920.6299999999774</v>
      </c>
      <c r="G178" s="1819">
        <f t="shared" si="76"/>
        <v>219282.62</v>
      </c>
      <c r="H178" s="1336">
        <f t="shared" si="76"/>
        <v>215036.40000000002</v>
      </c>
      <c r="I178" s="1330">
        <f t="shared" si="76"/>
        <v>0</v>
      </c>
      <c r="J178" s="1333">
        <f t="shared" si="61"/>
        <v>0.98063585705059542</v>
      </c>
      <c r="K178" s="1330">
        <f t="shared" si="76"/>
        <v>13760.849999999999</v>
      </c>
      <c r="L178" s="1330">
        <f t="shared" si="76"/>
        <v>2500</v>
      </c>
      <c r="M178" s="1307"/>
    </row>
    <row r="179" spans="1:13" ht="15" x14ac:dyDescent="0.2">
      <c r="A179" s="1299"/>
      <c r="B179" s="1341" t="s">
        <v>871</v>
      </c>
      <c r="C179" s="1300"/>
      <c r="D179" s="1312" t="s">
        <v>312</v>
      </c>
      <c r="E179" s="1317">
        <f>E180+E181+E182+E183+E184</f>
        <v>196775.30999999997</v>
      </c>
      <c r="F179" s="1321">
        <f t="shared" ref="F179:L179" si="77">F180+F181+F182+F183+F184</f>
        <v>-7724.2299999999777</v>
      </c>
      <c r="G179" s="1320">
        <f t="shared" si="77"/>
        <v>189051.08000000002</v>
      </c>
      <c r="H179" s="1324">
        <f t="shared" si="77"/>
        <v>188386.98</v>
      </c>
      <c r="I179" s="1321">
        <f t="shared" si="77"/>
        <v>0</v>
      </c>
      <c r="J179" s="1800">
        <f t="shared" si="61"/>
        <v>0.99648719277350861</v>
      </c>
      <c r="K179" s="1321">
        <f t="shared" si="77"/>
        <v>13643.55</v>
      </c>
      <c r="L179" s="1321">
        <f t="shared" si="77"/>
        <v>0</v>
      </c>
      <c r="M179" s="1307"/>
    </row>
    <row r="180" spans="1:13" ht="22.5" x14ac:dyDescent="0.2">
      <c r="A180" s="1342"/>
      <c r="B180" s="1342"/>
      <c r="C180" s="1303" t="s">
        <v>890</v>
      </c>
      <c r="D180" s="1313" t="s">
        <v>13</v>
      </c>
      <c r="E180" s="1318">
        <v>153277.32999999999</v>
      </c>
      <c r="F180" s="1322">
        <f t="shared" ref="F180:F184" si="78">G180-E180</f>
        <v>-4907.5999999999767</v>
      </c>
      <c r="G180" s="1316" t="s">
        <v>1376</v>
      </c>
      <c r="H180" s="1325">
        <v>147708.13</v>
      </c>
      <c r="I180" s="1308">
        <v>0</v>
      </c>
      <c r="J180" s="1658">
        <f t="shared" si="61"/>
        <v>0.99554086942127618</v>
      </c>
      <c r="K180" s="1308">
        <v>0</v>
      </c>
      <c r="L180" s="1308">
        <v>0</v>
      </c>
      <c r="M180" s="1307"/>
    </row>
    <row r="181" spans="1:13" x14ac:dyDescent="0.2">
      <c r="A181" s="1342"/>
      <c r="B181" s="1342"/>
      <c r="C181" s="1303" t="s">
        <v>959</v>
      </c>
      <c r="D181" s="1313" t="s">
        <v>960</v>
      </c>
      <c r="E181" s="1318">
        <v>11195.52</v>
      </c>
      <c r="F181" s="1322">
        <f t="shared" si="78"/>
        <v>-1540.5200000000004</v>
      </c>
      <c r="G181" s="1316" t="s">
        <v>1377</v>
      </c>
      <c r="H181" s="1325">
        <v>9655</v>
      </c>
      <c r="I181" s="1308">
        <v>0</v>
      </c>
      <c r="J181" s="1658">
        <f t="shared" si="61"/>
        <v>1</v>
      </c>
      <c r="K181" s="1308">
        <v>11467.23</v>
      </c>
      <c r="L181" s="1308">
        <v>0</v>
      </c>
      <c r="M181" s="1307"/>
    </row>
    <row r="182" spans="1:13" x14ac:dyDescent="0.2">
      <c r="A182" s="1342"/>
      <c r="B182" s="1342"/>
      <c r="C182" s="1303" t="s">
        <v>447</v>
      </c>
      <c r="D182" s="1313" t="s">
        <v>14</v>
      </c>
      <c r="E182" s="1318">
        <v>28272.880000000001</v>
      </c>
      <c r="F182" s="1322">
        <f t="shared" si="78"/>
        <v>-2577.9500000000007</v>
      </c>
      <c r="G182" s="1316" t="s">
        <v>1378</v>
      </c>
      <c r="H182" s="1325">
        <v>25694.93</v>
      </c>
      <c r="I182" s="1308">
        <v>0</v>
      </c>
      <c r="J182" s="1658">
        <f t="shared" si="61"/>
        <v>1</v>
      </c>
      <c r="K182" s="1308">
        <v>1960.9</v>
      </c>
      <c r="L182" s="1308">
        <v>0</v>
      </c>
      <c r="M182" s="1307"/>
    </row>
    <row r="183" spans="1:13" x14ac:dyDescent="0.2">
      <c r="A183" s="1342"/>
      <c r="B183" s="1342"/>
      <c r="C183" s="1303" t="s">
        <v>450</v>
      </c>
      <c r="D183" s="1313" t="s">
        <v>15</v>
      </c>
      <c r="E183" s="1318">
        <v>4029.58</v>
      </c>
      <c r="F183" s="1322">
        <f t="shared" si="78"/>
        <v>-1198.1599999999999</v>
      </c>
      <c r="G183" s="1316" t="s">
        <v>1379</v>
      </c>
      <c r="H183" s="1325">
        <v>2831.42</v>
      </c>
      <c r="I183" s="1308">
        <v>0</v>
      </c>
      <c r="J183" s="1658">
        <f t="shared" si="61"/>
        <v>1</v>
      </c>
      <c r="K183" s="1308">
        <v>215.42</v>
      </c>
      <c r="L183" s="1308">
        <v>0</v>
      </c>
      <c r="M183" s="1307"/>
    </row>
    <row r="184" spans="1:13" x14ac:dyDescent="0.2">
      <c r="A184" s="1342"/>
      <c r="B184" s="1342"/>
      <c r="C184" s="1303" t="s">
        <v>442</v>
      </c>
      <c r="D184" s="1313" t="s">
        <v>31</v>
      </c>
      <c r="E184" s="1318">
        <v>0</v>
      </c>
      <c r="F184" s="1322">
        <f t="shared" si="78"/>
        <v>2500</v>
      </c>
      <c r="G184" s="1316" t="s">
        <v>1077</v>
      </c>
      <c r="H184" s="1325">
        <v>2497.5</v>
      </c>
      <c r="I184" s="1308">
        <v>0</v>
      </c>
      <c r="J184" s="1658">
        <f t="shared" si="61"/>
        <v>0.999</v>
      </c>
      <c r="K184" s="1308">
        <v>0</v>
      </c>
      <c r="L184" s="1308">
        <v>0</v>
      </c>
      <c r="M184" s="1307"/>
    </row>
    <row r="185" spans="1:13" ht="15" x14ac:dyDescent="0.2">
      <c r="A185" s="1299"/>
      <c r="B185" s="1341" t="s">
        <v>432</v>
      </c>
      <c r="C185" s="1300"/>
      <c r="D185" s="1312" t="s">
        <v>433</v>
      </c>
      <c r="E185" s="1317">
        <f>E186</f>
        <v>2500</v>
      </c>
      <c r="F185" s="1321">
        <f t="shared" ref="F185:L185" si="79">F186</f>
        <v>0</v>
      </c>
      <c r="G185" s="1320" t="str">
        <f t="shared" si="79"/>
        <v>2 500,00</v>
      </c>
      <c r="H185" s="1324">
        <f t="shared" si="79"/>
        <v>2500</v>
      </c>
      <c r="I185" s="1321">
        <f t="shared" si="79"/>
        <v>0</v>
      </c>
      <c r="J185" s="1800">
        <f t="shared" si="61"/>
        <v>1</v>
      </c>
      <c r="K185" s="1321">
        <f t="shared" si="79"/>
        <v>0</v>
      </c>
      <c r="L185" s="1321">
        <f t="shared" si="79"/>
        <v>2500</v>
      </c>
      <c r="M185" s="1307"/>
    </row>
    <row r="186" spans="1:13" x14ac:dyDescent="0.2">
      <c r="A186" s="1342"/>
      <c r="B186" s="1342"/>
      <c r="C186" s="1303" t="s">
        <v>442</v>
      </c>
      <c r="D186" s="1313" t="s">
        <v>31</v>
      </c>
      <c r="E186" s="1318">
        <v>2500</v>
      </c>
      <c r="F186" s="1322">
        <f>G186-E186</f>
        <v>0</v>
      </c>
      <c r="G186" s="1316" t="s">
        <v>1077</v>
      </c>
      <c r="H186" s="1325">
        <v>2500</v>
      </c>
      <c r="I186" s="1308">
        <v>0</v>
      </c>
      <c r="J186" s="1658">
        <f t="shared" si="61"/>
        <v>1</v>
      </c>
      <c r="K186" s="1308">
        <v>0</v>
      </c>
      <c r="L186" s="1308">
        <v>2500</v>
      </c>
      <c r="M186" s="1307"/>
    </row>
    <row r="187" spans="1:13" ht="15" x14ac:dyDescent="0.2">
      <c r="A187" s="1299"/>
      <c r="B187" s="1341" t="s">
        <v>260</v>
      </c>
      <c r="C187" s="1300"/>
      <c r="D187" s="1312" t="s">
        <v>314</v>
      </c>
      <c r="E187" s="1317">
        <f>E188+E189+E190</f>
        <v>2392.8000000000002</v>
      </c>
      <c r="F187" s="1321">
        <f t="shared" ref="F187:L187" si="80">F188+F189+F190</f>
        <v>-1196.4000000000001</v>
      </c>
      <c r="G187" s="1828">
        <f t="shared" si="80"/>
        <v>1196.4000000000001</v>
      </c>
      <c r="H187" s="1317">
        <f t="shared" si="80"/>
        <v>1195.5</v>
      </c>
      <c r="I187" s="1321">
        <f t="shared" si="80"/>
        <v>0</v>
      </c>
      <c r="J187" s="1800">
        <f t="shared" si="61"/>
        <v>0.99924774322968901</v>
      </c>
      <c r="K187" s="1321">
        <f t="shared" si="80"/>
        <v>0</v>
      </c>
      <c r="L187" s="1321">
        <f t="shared" si="80"/>
        <v>0</v>
      </c>
      <c r="M187" s="1307"/>
    </row>
    <row r="188" spans="1:13" x14ac:dyDescent="0.2">
      <c r="A188" s="1342"/>
      <c r="B188" s="1342"/>
      <c r="C188" s="1303" t="s">
        <v>447</v>
      </c>
      <c r="D188" s="1313" t="s">
        <v>14</v>
      </c>
      <c r="E188" s="1318">
        <v>343.8</v>
      </c>
      <c r="F188" s="1322">
        <f t="shared" ref="F188:F190" si="81">G188-E188</f>
        <v>-171.9</v>
      </c>
      <c r="G188" s="1316" t="s">
        <v>1388</v>
      </c>
      <c r="H188" s="1325">
        <v>171</v>
      </c>
      <c r="I188" s="1308">
        <v>0</v>
      </c>
      <c r="J188" s="1658">
        <f t="shared" si="61"/>
        <v>0.9947643979057591</v>
      </c>
      <c r="K188" s="1308">
        <v>0</v>
      </c>
      <c r="L188" s="1308">
        <v>0</v>
      </c>
      <c r="M188" s="1307"/>
    </row>
    <row r="189" spans="1:13" x14ac:dyDescent="0.2">
      <c r="A189" s="1342"/>
      <c r="B189" s="1342"/>
      <c r="C189" s="1303" t="s">
        <v>450</v>
      </c>
      <c r="D189" s="1313" t="s">
        <v>15</v>
      </c>
      <c r="E189" s="1318">
        <v>49</v>
      </c>
      <c r="F189" s="1322">
        <f t="shared" si="81"/>
        <v>-24.5</v>
      </c>
      <c r="G189" s="1316" t="s">
        <v>1389</v>
      </c>
      <c r="H189" s="1325">
        <v>24.5</v>
      </c>
      <c r="I189" s="1308">
        <v>0</v>
      </c>
      <c r="J189" s="1658">
        <f t="shared" si="61"/>
        <v>1</v>
      </c>
      <c r="K189" s="1308">
        <v>0</v>
      </c>
      <c r="L189" s="1308">
        <v>0</v>
      </c>
      <c r="M189" s="1307"/>
    </row>
    <row r="190" spans="1:13" x14ac:dyDescent="0.2">
      <c r="A190" s="1342"/>
      <c r="B190" s="1342"/>
      <c r="C190" s="1303" t="s">
        <v>442</v>
      </c>
      <c r="D190" s="1313" t="s">
        <v>31</v>
      </c>
      <c r="E190" s="1318">
        <v>2000</v>
      </c>
      <c r="F190" s="1322">
        <f t="shared" si="81"/>
        <v>-1000</v>
      </c>
      <c r="G190" s="1316" t="s">
        <v>680</v>
      </c>
      <c r="H190" s="1325">
        <v>1000</v>
      </c>
      <c r="I190" s="1308">
        <v>0</v>
      </c>
      <c r="J190" s="1658">
        <f t="shared" si="61"/>
        <v>1</v>
      </c>
      <c r="K190" s="1308">
        <v>0</v>
      </c>
      <c r="L190" s="1308">
        <v>0</v>
      </c>
      <c r="M190" s="1307"/>
    </row>
    <row r="191" spans="1:13" ht="15" x14ac:dyDescent="0.2">
      <c r="A191" s="1299"/>
      <c r="B191" s="1341" t="s">
        <v>875</v>
      </c>
      <c r="C191" s="1300"/>
      <c r="D191" s="1312" t="s">
        <v>11</v>
      </c>
      <c r="E191" s="1317">
        <f>E192+E193+E194</f>
        <v>26535.14</v>
      </c>
      <c r="F191" s="1321">
        <f t="shared" ref="F191:L191" si="82">F192+F193+F194</f>
        <v>0</v>
      </c>
      <c r="G191" s="1828">
        <f t="shared" si="82"/>
        <v>26535.14</v>
      </c>
      <c r="H191" s="1317">
        <f t="shared" si="82"/>
        <v>22953.919999999998</v>
      </c>
      <c r="I191" s="1321">
        <f t="shared" si="82"/>
        <v>0</v>
      </c>
      <c r="J191" s="1800">
        <f t="shared" si="61"/>
        <v>0.865038586568603</v>
      </c>
      <c r="K191" s="1321">
        <f t="shared" si="82"/>
        <v>117.3</v>
      </c>
      <c r="L191" s="1321">
        <f t="shared" si="82"/>
        <v>0</v>
      </c>
      <c r="M191" s="1307"/>
    </row>
    <row r="192" spans="1:13" x14ac:dyDescent="0.2">
      <c r="A192" s="1342"/>
      <c r="B192" s="1342"/>
      <c r="C192" s="1303" t="s">
        <v>447</v>
      </c>
      <c r="D192" s="1313" t="s">
        <v>14</v>
      </c>
      <c r="E192" s="1318">
        <v>3812.6</v>
      </c>
      <c r="F192" s="1322">
        <f>G192-E192</f>
        <v>0</v>
      </c>
      <c r="G192" s="1316" t="s">
        <v>1395</v>
      </c>
      <c r="H192" s="1325">
        <v>1130.22</v>
      </c>
      <c r="I192" s="1308">
        <v>0</v>
      </c>
      <c r="J192" s="1658">
        <f t="shared" si="61"/>
        <v>0.2964433719771285</v>
      </c>
      <c r="K192" s="1308">
        <v>102.6</v>
      </c>
      <c r="L192" s="1308">
        <v>0</v>
      </c>
      <c r="M192" s="1307"/>
    </row>
    <row r="193" spans="1:13" x14ac:dyDescent="0.2">
      <c r="A193" s="1342"/>
      <c r="B193" s="1342"/>
      <c r="C193" s="1303" t="s">
        <v>450</v>
      </c>
      <c r="D193" s="1313" t="s">
        <v>15</v>
      </c>
      <c r="E193" s="1318">
        <v>543.39</v>
      </c>
      <c r="F193" s="1322">
        <f t="shared" ref="F193:F194" si="83">G193-E193</f>
        <v>0</v>
      </c>
      <c r="G193" s="1316" t="s">
        <v>1396</v>
      </c>
      <c r="H193" s="1325">
        <v>161.69999999999999</v>
      </c>
      <c r="I193" s="1308">
        <v>0</v>
      </c>
      <c r="J193" s="1658">
        <f t="shared" si="61"/>
        <v>0.2975763263954066</v>
      </c>
      <c r="K193" s="1308">
        <v>14.7</v>
      </c>
      <c r="L193" s="1308">
        <v>0</v>
      </c>
      <c r="M193" s="1307"/>
    </row>
    <row r="194" spans="1:13" x14ac:dyDescent="0.2">
      <c r="A194" s="1342"/>
      <c r="B194" s="1342"/>
      <c r="C194" s="1303" t="s">
        <v>442</v>
      </c>
      <c r="D194" s="1313" t="s">
        <v>31</v>
      </c>
      <c r="E194" s="1318">
        <v>22179.15</v>
      </c>
      <c r="F194" s="1322">
        <f t="shared" si="83"/>
        <v>0</v>
      </c>
      <c r="G194" s="1316" t="s">
        <v>1397</v>
      </c>
      <c r="H194" s="1325">
        <v>21662</v>
      </c>
      <c r="I194" s="1308">
        <v>0</v>
      </c>
      <c r="J194" s="1658">
        <f t="shared" si="61"/>
        <v>0.9766830559331624</v>
      </c>
      <c r="K194" s="1308">
        <v>0</v>
      </c>
      <c r="L194" s="1308">
        <v>0</v>
      </c>
      <c r="M194" s="1307"/>
    </row>
    <row r="195" spans="1:13" ht="22.5" x14ac:dyDescent="0.2">
      <c r="A195" s="1334" t="s">
        <v>263</v>
      </c>
      <c r="B195" s="1334"/>
      <c r="C195" s="1334"/>
      <c r="D195" s="1335" t="s">
        <v>297</v>
      </c>
      <c r="E195" s="1336">
        <f>E196+E199+E203+E206</f>
        <v>9590</v>
      </c>
      <c r="F195" s="1330">
        <f t="shared" ref="F195:L195" si="84">F196+F199+F203+F206</f>
        <v>8260</v>
      </c>
      <c r="G195" s="1827">
        <f t="shared" si="84"/>
        <v>17850</v>
      </c>
      <c r="H195" s="1811">
        <f t="shared" si="84"/>
        <v>15992.71</v>
      </c>
      <c r="I195" s="1330">
        <f t="shared" si="84"/>
        <v>0</v>
      </c>
      <c r="J195" s="1333">
        <f t="shared" si="61"/>
        <v>0.89595014005602236</v>
      </c>
      <c r="K195" s="1330">
        <f t="shared" si="84"/>
        <v>634.07000000000005</v>
      </c>
      <c r="L195" s="1330">
        <f t="shared" si="84"/>
        <v>9390</v>
      </c>
      <c r="M195" s="1307"/>
    </row>
    <row r="196" spans="1:13" ht="15" x14ac:dyDescent="0.2">
      <c r="A196" s="1299"/>
      <c r="B196" s="1341" t="s">
        <v>1399</v>
      </c>
      <c r="C196" s="1300"/>
      <c r="D196" s="1312" t="s">
        <v>334</v>
      </c>
      <c r="E196" s="1317">
        <f>E197+E198</f>
        <v>1000</v>
      </c>
      <c r="F196" s="1321">
        <f t="shared" ref="F196:L196" si="85">F197+F198</f>
        <v>4346</v>
      </c>
      <c r="G196" s="1320">
        <f t="shared" si="85"/>
        <v>5346</v>
      </c>
      <c r="H196" s="1324">
        <f t="shared" si="85"/>
        <v>3708</v>
      </c>
      <c r="I196" s="1321">
        <f t="shared" si="85"/>
        <v>0</v>
      </c>
      <c r="J196" s="1800">
        <f t="shared" si="61"/>
        <v>0.69360269360269355</v>
      </c>
      <c r="K196" s="1321">
        <f t="shared" si="85"/>
        <v>634.07000000000005</v>
      </c>
      <c r="L196" s="1321">
        <f t="shared" si="85"/>
        <v>0</v>
      </c>
      <c r="M196" s="1307"/>
    </row>
    <row r="197" spans="1:13" x14ac:dyDescent="0.2">
      <c r="A197" s="1342"/>
      <c r="B197" s="1342"/>
      <c r="C197" s="1303" t="s">
        <v>447</v>
      </c>
      <c r="D197" s="1313" t="s">
        <v>14</v>
      </c>
      <c r="E197" s="1318">
        <v>0</v>
      </c>
      <c r="F197" s="1322">
        <f t="shared" ref="F197:F198" si="86">G197-E197</f>
        <v>638</v>
      </c>
      <c r="G197" s="1316" t="s">
        <v>1401</v>
      </c>
      <c r="H197" s="1325">
        <v>0</v>
      </c>
      <c r="I197" s="1308">
        <v>0</v>
      </c>
      <c r="J197" s="1658">
        <f t="shared" si="61"/>
        <v>0</v>
      </c>
      <c r="K197" s="1308">
        <v>634.07000000000005</v>
      </c>
      <c r="L197" s="1308">
        <v>0</v>
      </c>
      <c r="M197" s="1307"/>
    </row>
    <row r="198" spans="1:13" x14ac:dyDescent="0.2">
      <c r="A198" s="1342"/>
      <c r="B198" s="1342"/>
      <c r="C198" s="1303" t="s">
        <v>442</v>
      </c>
      <c r="D198" s="1313" t="s">
        <v>31</v>
      </c>
      <c r="E198" s="1318">
        <v>1000</v>
      </c>
      <c r="F198" s="1322">
        <f t="shared" si="86"/>
        <v>3708</v>
      </c>
      <c r="G198" s="1316" t="s">
        <v>1402</v>
      </c>
      <c r="H198" s="1325">
        <v>3708</v>
      </c>
      <c r="I198" s="1308">
        <v>0</v>
      </c>
      <c r="J198" s="1658">
        <f t="shared" si="61"/>
        <v>0.78759558198810531</v>
      </c>
      <c r="K198" s="1308">
        <v>0</v>
      </c>
      <c r="L198" s="1308">
        <v>0</v>
      </c>
      <c r="M198" s="1307"/>
    </row>
    <row r="199" spans="1:13" ht="15" x14ac:dyDescent="0.2">
      <c r="A199" s="1299"/>
      <c r="B199" s="1341" t="s">
        <v>264</v>
      </c>
      <c r="C199" s="1300"/>
      <c r="D199" s="1312" t="s">
        <v>298</v>
      </c>
      <c r="E199" s="1317">
        <f>E200+E201+E202</f>
        <v>7290</v>
      </c>
      <c r="F199" s="1321">
        <f t="shared" ref="F199:L199" si="87">F200+F201+F202</f>
        <v>800</v>
      </c>
      <c r="G199" s="1320">
        <f t="shared" si="87"/>
        <v>8090</v>
      </c>
      <c r="H199" s="1324">
        <f t="shared" si="87"/>
        <v>8090</v>
      </c>
      <c r="I199" s="1321">
        <f t="shared" si="87"/>
        <v>0</v>
      </c>
      <c r="J199" s="1859">
        <f t="shared" si="61"/>
        <v>1</v>
      </c>
      <c r="K199" s="1321">
        <f t="shared" si="87"/>
        <v>0</v>
      </c>
      <c r="L199" s="1321">
        <f t="shared" si="87"/>
        <v>8090</v>
      </c>
      <c r="M199" s="1307"/>
    </row>
    <row r="200" spans="1:13" x14ac:dyDescent="0.2">
      <c r="A200" s="1342"/>
      <c r="B200" s="1342"/>
      <c r="C200" s="1303" t="s">
        <v>447</v>
      </c>
      <c r="D200" s="1313" t="s">
        <v>14</v>
      </c>
      <c r="E200" s="1318">
        <v>516</v>
      </c>
      <c r="F200" s="1322">
        <f t="shared" ref="F200:F202" si="88">G200-E200</f>
        <v>-516</v>
      </c>
      <c r="G200" s="1316" t="s">
        <v>636</v>
      </c>
      <c r="H200" s="1325">
        <v>0</v>
      </c>
      <c r="I200" s="1308">
        <v>0</v>
      </c>
      <c r="J200" s="1658">
        <v>0</v>
      </c>
      <c r="K200" s="1308">
        <v>0</v>
      </c>
      <c r="L200" s="1308">
        <v>0</v>
      </c>
      <c r="M200" s="1307"/>
    </row>
    <row r="201" spans="1:13" x14ac:dyDescent="0.2">
      <c r="A201" s="1342"/>
      <c r="B201" s="1342"/>
      <c r="C201" s="1303" t="s">
        <v>450</v>
      </c>
      <c r="D201" s="1313" t="s">
        <v>15</v>
      </c>
      <c r="E201" s="1318">
        <v>74</v>
      </c>
      <c r="F201" s="1322">
        <f t="shared" si="88"/>
        <v>-74</v>
      </c>
      <c r="G201" s="1316" t="s">
        <v>636</v>
      </c>
      <c r="H201" s="1325">
        <v>0</v>
      </c>
      <c r="I201" s="1308">
        <v>0</v>
      </c>
      <c r="J201" s="1658">
        <v>0</v>
      </c>
      <c r="K201" s="1308">
        <v>0</v>
      </c>
      <c r="L201" s="1308">
        <v>0</v>
      </c>
      <c r="M201" s="1307"/>
    </row>
    <row r="202" spans="1:13" x14ac:dyDescent="0.2">
      <c r="A202" s="1342"/>
      <c r="B202" s="1342"/>
      <c r="C202" s="1303" t="s">
        <v>442</v>
      </c>
      <c r="D202" s="1313" t="s">
        <v>31</v>
      </c>
      <c r="E202" s="1318">
        <v>6700</v>
      </c>
      <c r="F202" s="1322">
        <f t="shared" si="88"/>
        <v>1390</v>
      </c>
      <c r="G202" s="1316" t="s">
        <v>1405</v>
      </c>
      <c r="H202" s="1325">
        <v>8090</v>
      </c>
      <c r="I202" s="1308">
        <v>0</v>
      </c>
      <c r="J202" s="1658">
        <f t="shared" si="61"/>
        <v>1</v>
      </c>
      <c r="K202" s="1308">
        <v>0</v>
      </c>
      <c r="L202" s="1308">
        <v>8090</v>
      </c>
      <c r="M202" s="1307"/>
    </row>
    <row r="203" spans="1:13" ht="33.75" x14ac:dyDescent="0.2">
      <c r="A203" s="1299"/>
      <c r="B203" s="1341" t="s">
        <v>1420</v>
      </c>
      <c r="C203" s="1300"/>
      <c r="D203" s="1312" t="s">
        <v>1421</v>
      </c>
      <c r="E203" s="1317">
        <f>E204+E205</f>
        <v>0</v>
      </c>
      <c r="F203" s="1321">
        <f t="shared" ref="F203:L203" si="89">F204+F205</f>
        <v>3114</v>
      </c>
      <c r="G203" s="1320">
        <f t="shared" si="89"/>
        <v>3114</v>
      </c>
      <c r="H203" s="1324">
        <f t="shared" si="89"/>
        <v>2894.71</v>
      </c>
      <c r="I203" s="1321">
        <f t="shared" si="89"/>
        <v>0</v>
      </c>
      <c r="J203" s="1859">
        <f t="shared" si="61"/>
        <v>0.92957931920359671</v>
      </c>
      <c r="K203" s="1321">
        <f t="shared" si="89"/>
        <v>0</v>
      </c>
      <c r="L203" s="1321">
        <f t="shared" si="89"/>
        <v>0</v>
      </c>
      <c r="M203" s="1307"/>
    </row>
    <row r="204" spans="1:13" x14ac:dyDescent="0.2">
      <c r="A204" s="1342"/>
      <c r="B204" s="1342"/>
      <c r="C204" s="1303" t="s">
        <v>447</v>
      </c>
      <c r="D204" s="1313" t="s">
        <v>14</v>
      </c>
      <c r="E204" s="1318">
        <v>0</v>
      </c>
      <c r="F204" s="1322">
        <f>G204-E204</f>
        <v>474</v>
      </c>
      <c r="G204" s="1316" t="s">
        <v>1422</v>
      </c>
      <c r="H204" s="1325">
        <v>422.71</v>
      </c>
      <c r="I204" s="1308">
        <v>0</v>
      </c>
      <c r="J204" s="1658">
        <f t="shared" ref="J204:J229" si="90">H204/G204</f>
        <v>0.89179324894514767</v>
      </c>
      <c r="K204" s="1308">
        <v>0</v>
      </c>
      <c r="L204" s="1308">
        <v>0</v>
      </c>
      <c r="M204" s="1307"/>
    </row>
    <row r="205" spans="1:13" x14ac:dyDescent="0.2">
      <c r="A205" s="1342"/>
      <c r="B205" s="1342"/>
      <c r="C205" s="1303" t="s">
        <v>442</v>
      </c>
      <c r="D205" s="1313" t="s">
        <v>31</v>
      </c>
      <c r="E205" s="1318">
        <v>0</v>
      </c>
      <c r="F205" s="1322">
        <f t="shared" ref="F205" si="91">G205-E205</f>
        <v>2640</v>
      </c>
      <c r="G205" s="1316" t="s">
        <v>1423</v>
      </c>
      <c r="H205" s="1325">
        <v>2472</v>
      </c>
      <c r="I205" s="1308">
        <v>0</v>
      </c>
      <c r="J205" s="1658">
        <f t="shared" si="90"/>
        <v>0.9363636363636364</v>
      </c>
      <c r="K205" s="1308">
        <v>0</v>
      </c>
      <c r="L205" s="1308">
        <v>0</v>
      </c>
      <c r="M205" s="1307"/>
    </row>
    <row r="206" spans="1:13" ht="15" x14ac:dyDescent="0.2">
      <c r="A206" s="1299"/>
      <c r="B206" s="1341" t="s">
        <v>476</v>
      </c>
      <c r="C206" s="1300"/>
      <c r="D206" s="1312" t="s">
        <v>11</v>
      </c>
      <c r="E206" s="1317">
        <f>E207</f>
        <v>1300</v>
      </c>
      <c r="F206" s="1321">
        <f t="shared" ref="F206:L206" si="92">F207</f>
        <v>0</v>
      </c>
      <c r="G206" s="1320" t="str">
        <f t="shared" si="92"/>
        <v>1 300,00</v>
      </c>
      <c r="H206" s="1324">
        <f t="shared" si="92"/>
        <v>1300</v>
      </c>
      <c r="I206" s="1321">
        <f t="shared" si="92"/>
        <v>0</v>
      </c>
      <c r="J206" s="1859">
        <f t="shared" si="90"/>
        <v>1</v>
      </c>
      <c r="K206" s="1321">
        <f t="shared" si="92"/>
        <v>0</v>
      </c>
      <c r="L206" s="1321">
        <f t="shared" si="92"/>
        <v>1300</v>
      </c>
      <c r="M206" s="1307"/>
    </row>
    <row r="207" spans="1:13" x14ac:dyDescent="0.2">
      <c r="A207" s="1342"/>
      <c r="B207" s="1342"/>
      <c r="C207" s="1303" t="s">
        <v>442</v>
      </c>
      <c r="D207" s="1313" t="s">
        <v>31</v>
      </c>
      <c r="E207" s="1318">
        <v>1300</v>
      </c>
      <c r="F207" s="1322">
        <f>G207-E207</f>
        <v>0</v>
      </c>
      <c r="G207" s="1316" t="s">
        <v>1424</v>
      </c>
      <c r="H207" s="1325">
        <v>1300</v>
      </c>
      <c r="I207" s="1308"/>
      <c r="J207" s="1658">
        <f t="shared" si="90"/>
        <v>1</v>
      </c>
      <c r="K207" s="1308"/>
      <c r="L207" s="1308">
        <v>1300</v>
      </c>
      <c r="M207" s="1307"/>
    </row>
    <row r="208" spans="1:13" x14ac:dyDescent="0.2">
      <c r="A208" s="1334" t="s">
        <v>273</v>
      </c>
      <c r="B208" s="1334"/>
      <c r="C208" s="1334"/>
      <c r="D208" s="1335" t="s">
        <v>384</v>
      </c>
      <c r="E208" s="1336">
        <f>E209+E213</f>
        <v>106784</v>
      </c>
      <c r="F208" s="1330">
        <f>F209+F213</f>
        <v>-1800</v>
      </c>
      <c r="G208" s="1827">
        <f>G209+G213</f>
        <v>104984</v>
      </c>
      <c r="H208" s="1811">
        <f>H209+H213</f>
        <v>90898.33</v>
      </c>
      <c r="I208" s="1330">
        <f>I209+I213</f>
        <v>0</v>
      </c>
      <c r="J208" s="1333">
        <f t="shared" si="90"/>
        <v>0.8658303170006858</v>
      </c>
      <c r="K208" s="1330">
        <f>K209+K213</f>
        <v>554.33000000000004</v>
      </c>
      <c r="L208" s="1330">
        <f>L209+L213</f>
        <v>2000</v>
      </c>
      <c r="M208" s="1307"/>
    </row>
    <row r="209" spans="1:13" ht="15" x14ac:dyDescent="0.2">
      <c r="A209" s="1299"/>
      <c r="B209" s="1341" t="s">
        <v>274</v>
      </c>
      <c r="C209" s="1300"/>
      <c r="D209" s="1312" t="s">
        <v>385</v>
      </c>
      <c r="E209" s="1317">
        <f>E210+E211+E212</f>
        <v>71784</v>
      </c>
      <c r="F209" s="1321">
        <f t="shared" ref="F209:L209" si="93">F210+F211+F212</f>
        <v>0</v>
      </c>
      <c r="G209" s="1320">
        <f t="shared" si="93"/>
        <v>71784</v>
      </c>
      <c r="H209" s="1324">
        <f t="shared" si="93"/>
        <v>71013.33</v>
      </c>
      <c r="I209" s="1321">
        <f t="shared" si="93"/>
        <v>0</v>
      </c>
      <c r="J209" s="1859">
        <f t="shared" si="90"/>
        <v>0.98926404212637919</v>
      </c>
      <c r="K209" s="1321">
        <f t="shared" si="93"/>
        <v>554.33000000000004</v>
      </c>
      <c r="L209" s="1321">
        <f t="shared" si="93"/>
        <v>0</v>
      </c>
      <c r="M209" s="1307"/>
    </row>
    <row r="210" spans="1:13" x14ac:dyDescent="0.2">
      <c r="A210" s="1342"/>
      <c r="B210" s="1342"/>
      <c r="C210" s="1303" t="s">
        <v>447</v>
      </c>
      <c r="D210" s="1313" t="s">
        <v>14</v>
      </c>
      <c r="E210" s="1318">
        <v>10314</v>
      </c>
      <c r="F210" s="1322">
        <f>G210-E210</f>
        <v>0</v>
      </c>
      <c r="G210" s="1316" t="s">
        <v>1427</v>
      </c>
      <c r="H210" s="1325">
        <v>10314</v>
      </c>
      <c r="I210" s="1308">
        <v>0</v>
      </c>
      <c r="J210" s="1658">
        <f t="shared" si="90"/>
        <v>1</v>
      </c>
      <c r="K210" s="1308">
        <v>554.33000000000004</v>
      </c>
      <c r="L210" s="1308">
        <v>0</v>
      </c>
      <c r="M210" s="1307"/>
    </row>
    <row r="211" spans="1:13" x14ac:dyDescent="0.2">
      <c r="A211" s="1342"/>
      <c r="B211" s="1342"/>
      <c r="C211" s="1303" t="s">
        <v>450</v>
      </c>
      <c r="D211" s="1313" t="s">
        <v>15</v>
      </c>
      <c r="E211" s="1318">
        <v>1470</v>
      </c>
      <c r="F211" s="1322">
        <f t="shared" ref="F211:F212" si="94">G211-E211</f>
        <v>0</v>
      </c>
      <c r="G211" s="1316" t="s">
        <v>1428</v>
      </c>
      <c r="H211" s="1325">
        <v>935.17</v>
      </c>
      <c r="I211" s="1308">
        <v>0</v>
      </c>
      <c r="J211" s="1658">
        <f t="shared" si="90"/>
        <v>0.63617006802721088</v>
      </c>
      <c r="K211" s="1308">
        <v>0</v>
      </c>
      <c r="L211" s="1308">
        <v>0</v>
      </c>
      <c r="M211" s="1307"/>
    </row>
    <row r="212" spans="1:13" x14ac:dyDescent="0.2">
      <c r="A212" s="1342"/>
      <c r="B212" s="1342"/>
      <c r="C212" s="1303" t="s">
        <v>442</v>
      </c>
      <c r="D212" s="1313" t="s">
        <v>31</v>
      </c>
      <c r="E212" s="1318">
        <v>60000</v>
      </c>
      <c r="F212" s="1322">
        <f t="shared" si="94"/>
        <v>0</v>
      </c>
      <c r="G212" s="1316" t="s">
        <v>940</v>
      </c>
      <c r="H212" s="1325">
        <v>59764.160000000003</v>
      </c>
      <c r="I212" s="1308">
        <v>0</v>
      </c>
      <c r="J212" s="1658">
        <f t="shared" si="90"/>
        <v>0.99606933333333336</v>
      </c>
      <c r="K212" s="1308">
        <v>0</v>
      </c>
      <c r="L212" s="1308">
        <v>0</v>
      </c>
      <c r="M212" s="1307"/>
    </row>
    <row r="213" spans="1:13" ht="15" x14ac:dyDescent="0.2">
      <c r="A213" s="1299"/>
      <c r="B213" s="1341" t="s">
        <v>494</v>
      </c>
      <c r="C213" s="1300"/>
      <c r="D213" s="1312" t="s">
        <v>11</v>
      </c>
      <c r="E213" s="1317">
        <f>E214+E215+E216</f>
        <v>35000</v>
      </c>
      <c r="F213" s="1321">
        <f t="shared" ref="F213:L213" si="95">F214+F215+F216</f>
        <v>-1800</v>
      </c>
      <c r="G213" s="1828">
        <f t="shared" si="95"/>
        <v>33200</v>
      </c>
      <c r="H213" s="1317">
        <f t="shared" si="95"/>
        <v>19885</v>
      </c>
      <c r="I213" s="1321">
        <f t="shared" si="95"/>
        <v>0</v>
      </c>
      <c r="J213" s="1859">
        <f t="shared" si="90"/>
        <v>0.59894578313253011</v>
      </c>
      <c r="K213" s="1321">
        <f t="shared" si="95"/>
        <v>0</v>
      </c>
      <c r="L213" s="1321">
        <f t="shared" si="95"/>
        <v>2000</v>
      </c>
      <c r="M213" s="1307"/>
    </row>
    <row r="214" spans="1:13" x14ac:dyDescent="0.2">
      <c r="A214" s="1342"/>
      <c r="B214" s="1342"/>
      <c r="C214" s="1303" t="s">
        <v>447</v>
      </c>
      <c r="D214" s="1313" t="s">
        <v>14</v>
      </c>
      <c r="E214" s="1318">
        <v>3000</v>
      </c>
      <c r="F214" s="1322">
        <f t="shared" ref="F214:F216" si="96">G214-E214</f>
        <v>-1800</v>
      </c>
      <c r="G214" s="1316" t="s">
        <v>1163</v>
      </c>
      <c r="H214" s="1325">
        <v>0</v>
      </c>
      <c r="I214" s="1308">
        <v>0</v>
      </c>
      <c r="J214" s="1658">
        <f t="shared" si="90"/>
        <v>0</v>
      </c>
      <c r="K214" s="1308">
        <v>0</v>
      </c>
      <c r="L214" s="1308">
        <v>0</v>
      </c>
      <c r="M214" s="1307"/>
    </row>
    <row r="215" spans="1:13" x14ac:dyDescent="0.2">
      <c r="A215" s="1342"/>
      <c r="B215" s="1342"/>
      <c r="C215" s="1303" t="s">
        <v>450</v>
      </c>
      <c r="D215" s="1313" t="s">
        <v>15</v>
      </c>
      <c r="E215" s="1318">
        <v>0</v>
      </c>
      <c r="F215" s="1322">
        <f t="shared" si="96"/>
        <v>200</v>
      </c>
      <c r="G215" s="1316" t="s">
        <v>1347</v>
      </c>
      <c r="H215" s="1325">
        <v>0</v>
      </c>
      <c r="I215" s="1308">
        <v>0</v>
      </c>
      <c r="J215" s="1658">
        <f t="shared" si="90"/>
        <v>0</v>
      </c>
      <c r="K215" s="1308">
        <v>0</v>
      </c>
      <c r="L215" s="1308">
        <v>0</v>
      </c>
      <c r="M215" s="1307"/>
    </row>
    <row r="216" spans="1:13" x14ac:dyDescent="0.2">
      <c r="A216" s="1342"/>
      <c r="B216" s="1342"/>
      <c r="C216" s="1303" t="s">
        <v>442</v>
      </c>
      <c r="D216" s="1313" t="s">
        <v>31</v>
      </c>
      <c r="E216" s="1318">
        <v>32000</v>
      </c>
      <c r="F216" s="1322">
        <f t="shared" si="96"/>
        <v>-200</v>
      </c>
      <c r="G216" s="1316" t="s">
        <v>1434</v>
      </c>
      <c r="H216" s="1325">
        <v>19885</v>
      </c>
      <c r="I216" s="1308">
        <v>0</v>
      </c>
      <c r="J216" s="1658">
        <f t="shared" si="90"/>
        <v>0.62531446540880509</v>
      </c>
      <c r="K216" s="1308">
        <v>0</v>
      </c>
      <c r="L216" s="1308">
        <v>2000</v>
      </c>
      <c r="M216" s="1307"/>
    </row>
    <row r="217" spans="1:13" ht="30" customHeight="1" x14ac:dyDescent="0.2">
      <c r="A217" s="2015" t="s">
        <v>507</v>
      </c>
      <c r="B217" s="2015"/>
      <c r="C217" s="2015"/>
      <c r="D217" s="2016"/>
      <c r="E217" s="1319">
        <f>E208+E195+E178+E157+E151+E142+E126+E119+E65+E56+E47+E24+E19+E15+E9</f>
        <v>24816302.539999999</v>
      </c>
      <c r="F217" s="1323">
        <f t="shared" ref="F217:L217" si="97">F208+F195+F178+F157+F151+F142+F126+F119+F65+F56+F47+F24+F19+F15+F9</f>
        <v>923049.14000000013</v>
      </c>
      <c r="G217" s="1829">
        <f t="shared" si="97"/>
        <v>25739351.68</v>
      </c>
      <c r="H217" s="1319">
        <f t="shared" si="97"/>
        <v>25262062.320000004</v>
      </c>
      <c r="I217" s="1323">
        <f t="shared" si="97"/>
        <v>0</v>
      </c>
      <c r="J217" s="1858">
        <f t="shared" si="90"/>
        <v>0.98145682276951607</v>
      </c>
      <c r="K217" s="1323">
        <f t="shared" si="97"/>
        <v>2241897.5100000002</v>
      </c>
      <c r="L217" s="1323">
        <f t="shared" si="97"/>
        <v>13890</v>
      </c>
      <c r="M217" s="1307"/>
    </row>
    <row r="218" spans="1:13" x14ac:dyDescent="0.2">
      <c r="C218" s="1677"/>
      <c r="D218" s="1678" t="s">
        <v>508</v>
      </c>
      <c r="E218" s="1820"/>
      <c r="F218" s="1830"/>
      <c r="G218" s="1820"/>
      <c r="H218" s="1820"/>
      <c r="I218" s="1830"/>
      <c r="J218" s="1872"/>
      <c r="K218" s="1830"/>
      <c r="L218" s="1830"/>
      <c r="M218" s="1307"/>
    </row>
    <row r="219" spans="1:13" ht="55.5" customHeight="1" x14ac:dyDescent="0.2">
      <c r="B219" s="1821"/>
      <c r="C219" s="1994" t="s">
        <v>1599</v>
      </c>
      <c r="D219" s="2276"/>
      <c r="E219" s="1832">
        <f>E216+E215+E214+E212+E211+E210+E207+E205+E204+E202+E201+E200+E198+E197+E194+E193+E192+E190+E189+E188+E186+E184+E183+E182+E181+E180+E177+E176+E175+E174+E172+E171+E170+E168+E167+E166+E165+E163+E162+E161+E160+E159+E156+E155+E154+E153+E141+E140+E139+E137+E136+E135+E134+E133+E131+E130+E129+E128+E125+E124+E123+E121+E118+E115+E112+E108+E107+E106+E104+E103+E102+E101+E99+E98+E97+E96+E94+E93+E92+E91+E90+E88+E87+E86+E85+E84+E82+E81+E80+E79+E78+E76+E75+E74+E73+E71+E70+E69+E68+E67+E64+E63+E62+E60+E59+E58+E55+E54+E53+E51+E50+E49+E46+E44+E43+E42+E41+E40+E38+E37+E35+E34+E33+E32+E31+E29+E28+E27+E26+E23+E21+E18+E17+E14+E13+E12+E11</f>
        <v>24342878.179999996</v>
      </c>
      <c r="F219" s="1833">
        <f t="shared" ref="F219:L219" si="98">F216+F215+F214+F212+F211+F210+F207+F205+F204+F202+F201+F200+F198+F197+F194+F193+F192+F190+F189+F188+F186+F184+F183+F182+F181+F180+F177+F176+F175+F174+F172+F171+F170+F168+F167+F166+F165+F163+F162+F161+F160+F159+F156+F155+F154+F153+F141+F140+F139+F137+F136+F135+F134+F133+F131+F130+F129+F128+F125+F124+F123+F121+F118+F115+F112+F108+F107+F106+F104+F103+F102+F101+F99+F98+F97+F96+F94+F93+F92+F91+F90+F88+F87+F86+F85+F84+F82+F81+F80+F79+F78+F76+F75+F74+F73+F71+F70+F69+F68+F67+F64+F63+F62+F60+F59+F58+F55+F54+F53+F51+F50+F49+F46+F44+F43+F42+F41+F40+F38+F37+F35+F34+F33+F32+F31+F29+F28+F27+F26+F23+F21+F18+F17+F14+F13+F12+F11</f>
        <v>793246.13000000024</v>
      </c>
      <c r="G219" s="1834">
        <f t="shared" si="98"/>
        <v>25136124.309999999</v>
      </c>
      <c r="H219" s="1832">
        <f t="shared" si="98"/>
        <v>24751315.399999999</v>
      </c>
      <c r="I219" s="1860">
        <f t="shared" si="98"/>
        <v>0</v>
      </c>
      <c r="J219" s="1873">
        <f t="shared" si="90"/>
        <v>0.98469100067877569</v>
      </c>
      <c r="K219" s="1866">
        <f t="shared" si="98"/>
        <v>2228807.5100000002</v>
      </c>
      <c r="L219" s="1833">
        <f t="shared" si="98"/>
        <v>13890</v>
      </c>
      <c r="M219" s="1307"/>
    </row>
    <row r="220" spans="1:13" ht="13.5" customHeight="1" x14ac:dyDescent="0.2">
      <c r="B220" s="1823"/>
      <c r="C220" s="2277" t="s">
        <v>108</v>
      </c>
      <c r="D220" s="2278"/>
      <c r="E220" s="1727"/>
      <c r="F220" s="1727"/>
      <c r="G220" s="1727"/>
      <c r="H220" s="1727"/>
      <c r="I220" s="1727"/>
      <c r="J220" s="1881"/>
      <c r="K220" s="1727"/>
      <c r="L220" s="1867"/>
      <c r="M220" s="1307"/>
    </row>
    <row r="221" spans="1:13" ht="31.5" customHeight="1" x14ac:dyDescent="0.2">
      <c r="B221" s="1824"/>
      <c r="C221" s="2267" t="s">
        <v>1600</v>
      </c>
      <c r="D221" s="2268"/>
      <c r="E221" s="1839">
        <f>E151+E65+E39-E109+E112+E115+E118</f>
        <v>18287695</v>
      </c>
      <c r="F221" s="1847">
        <f t="shared" ref="F221:L221" si="99">F151+F65+F39-F109+F112+F115+F118</f>
        <v>502934.15999999974</v>
      </c>
      <c r="G221" s="1843">
        <f t="shared" si="99"/>
        <v>18790629.160000004</v>
      </c>
      <c r="H221" s="1839">
        <f>H151+H65+H39-H109+H112+H115+H118</f>
        <v>18752516.300000004</v>
      </c>
      <c r="I221" s="1861">
        <f t="shared" si="99"/>
        <v>0</v>
      </c>
      <c r="J221" s="1873">
        <f t="shared" si="90"/>
        <v>0.99797170921338119</v>
      </c>
      <c r="K221" s="1855">
        <f t="shared" si="99"/>
        <v>1805682.3600000003</v>
      </c>
      <c r="L221" s="1847">
        <f t="shared" si="99"/>
        <v>0</v>
      </c>
      <c r="M221" s="1307"/>
    </row>
    <row r="222" spans="1:13" ht="15" customHeight="1" x14ac:dyDescent="0.2">
      <c r="B222" s="1825"/>
      <c r="C222" s="2279" t="s">
        <v>1576</v>
      </c>
      <c r="D222" s="2280"/>
      <c r="E222" s="1840">
        <f>E157+E126</f>
        <v>1815614</v>
      </c>
      <c r="F222" s="1848">
        <f t="shared" ref="F222:L222" si="100">F157+F126</f>
        <v>165948.22000000003</v>
      </c>
      <c r="G222" s="1844">
        <f t="shared" si="100"/>
        <v>1981562.22</v>
      </c>
      <c r="H222" s="1840">
        <f t="shared" si="100"/>
        <v>1946473.54</v>
      </c>
      <c r="I222" s="1862">
        <f t="shared" si="100"/>
        <v>0</v>
      </c>
      <c r="J222" s="1873">
        <f t="shared" si="90"/>
        <v>0.98229241572843473</v>
      </c>
      <c r="K222" s="1868">
        <f t="shared" si="100"/>
        <v>113380.01</v>
      </c>
      <c r="L222" s="1848">
        <f t="shared" si="100"/>
        <v>0</v>
      </c>
      <c r="M222" s="1307"/>
    </row>
    <row r="223" spans="1:13" ht="36.75" customHeight="1" x14ac:dyDescent="0.2">
      <c r="B223" s="1825"/>
      <c r="C223" s="2268" t="s">
        <v>1577</v>
      </c>
      <c r="D223" s="2283"/>
      <c r="E223" s="1841">
        <f>E179+E30+E25+E48</f>
        <v>3836679.8799999994</v>
      </c>
      <c r="F223" s="1849">
        <f t="shared" ref="F223:L223" si="101">F179+F30+F25+F48</f>
        <v>-2240.9999999995744</v>
      </c>
      <c r="G223" s="1845">
        <f t="shared" si="101"/>
        <v>3834438.8800000004</v>
      </c>
      <c r="H223" s="1841">
        <f t="shared" si="101"/>
        <v>3584909.4</v>
      </c>
      <c r="I223" s="1863">
        <f t="shared" si="101"/>
        <v>0</v>
      </c>
      <c r="J223" s="1873">
        <f t="shared" si="90"/>
        <v>0.93492412115328838</v>
      </c>
      <c r="K223" s="1869">
        <f t="shared" si="101"/>
        <v>307539.08999999997</v>
      </c>
      <c r="L223" s="1849">
        <f t="shared" si="101"/>
        <v>0</v>
      </c>
      <c r="M223" s="1307"/>
    </row>
    <row r="224" spans="1:13" ht="18.75" customHeight="1" x14ac:dyDescent="0.2">
      <c r="B224" s="1826"/>
      <c r="C224" s="2281" t="s">
        <v>1578</v>
      </c>
      <c r="D224" s="2282"/>
      <c r="E224" s="1842">
        <f>E213+E209+E206+E203+E199+E196+E191+E187+E185+E122+E120+E61+E57+E52+E45+E36+E22+E20+E16+E10</f>
        <v>402889.3</v>
      </c>
      <c r="F224" s="1850">
        <f t="shared" ref="F224:L224" si="102">F213+F209+F206+F203+F199+F196+F191+F187+F185+F122+F120+F61+F57+F52+F45+F36+F22+F20+F16+F10</f>
        <v>126604.75</v>
      </c>
      <c r="G224" s="1846">
        <f t="shared" si="102"/>
        <v>529494.05000000005</v>
      </c>
      <c r="H224" s="1842">
        <f t="shared" si="102"/>
        <v>467416.16000000003</v>
      </c>
      <c r="I224" s="1864">
        <f t="shared" si="102"/>
        <v>0</v>
      </c>
      <c r="J224" s="1875">
        <f t="shared" si="90"/>
        <v>0.88275998568822445</v>
      </c>
      <c r="K224" s="1870">
        <f t="shared" si="102"/>
        <v>2206.0500000000002</v>
      </c>
      <c r="L224" s="1850">
        <f t="shared" si="102"/>
        <v>13890</v>
      </c>
      <c r="M224" s="1307"/>
    </row>
    <row r="225" spans="2:13" ht="58.5" customHeight="1" x14ac:dyDescent="0.2">
      <c r="B225" s="1822"/>
      <c r="C225" s="2274" t="s">
        <v>1601</v>
      </c>
      <c r="D225" s="2275"/>
      <c r="E225" s="1835">
        <f>E149+E148+E147+E146+E145+E144+E110+E111+E113+E114+E116+E117+E150</f>
        <v>473424.36000000004</v>
      </c>
      <c r="F225" s="1836">
        <f>F149+F148+F147+F146+F145+F144+F110+F111+F113+F114+F116+F117+F150</f>
        <v>129803.01000000004</v>
      </c>
      <c r="G225" s="1837">
        <f>G149+G148+G147+G146+G145+G144+G110+G111+G113+G114+G116+G117+G150</f>
        <v>603227.37000000011</v>
      </c>
      <c r="H225" s="1838">
        <f>H149+H148+H147+H146+H145+H144+H110+H111+H113+H114+H116+H117+H150</f>
        <v>510746.92</v>
      </c>
      <c r="I225" s="1865">
        <f>I149+I148+I147+I146+I145+I144+I110+I111+I113+I114+I116+I117+I150</f>
        <v>0</v>
      </c>
      <c r="J225" s="1874">
        <f t="shared" si="90"/>
        <v>0.84669056047639202</v>
      </c>
      <c r="K225" s="1871">
        <f>K149+K148+K147+K146+K145+K144+K110+K111+K113+K114+K116+K117+K150</f>
        <v>13090</v>
      </c>
      <c r="L225" s="1851">
        <f>L149+L148+L147+L146+L145+L144+L110+L111+L113+L114+L116+L117+L150</f>
        <v>0</v>
      </c>
      <c r="M225" s="1307"/>
    </row>
    <row r="226" spans="2:13" ht="37.5" customHeight="1" x14ac:dyDescent="0.2">
      <c r="B226" s="1822"/>
      <c r="C226" s="2272" t="s">
        <v>1579</v>
      </c>
      <c r="D226" s="2273"/>
      <c r="E226" s="1854"/>
      <c r="F226" s="1854"/>
      <c r="G226" s="1854"/>
      <c r="H226" s="1854"/>
      <c r="I226" s="1854"/>
      <c r="J226" s="1854"/>
      <c r="K226" s="1854"/>
      <c r="L226" s="1854"/>
      <c r="M226" s="1307"/>
    </row>
    <row r="227" spans="2:13" ht="54.75" customHeight="1" x14ac:dyDescent="0.2">
      <c r="B227" s="1852"/>
      <c r="C227" s="2267" t="s">
        <v>1582</v>
      </c>
      <c r="D227" s="2268"/>
      <c r="E227" s="1856">
        <f>E110+E111+E113+E114+E116+E117</f>
        <v>321128.38000000006</v>
      </c>
      <c r="F227" s="1847">
        <f t="shared" ref="F227:L227" si="103">F110+F111+F113+F114+F116+F117</f>
        <v>78028.830000000045</v>
      </c>
      <c r="G227" s="1857">
        <f t="shared" si="103"/>
        <v>399157.21</v>
      </c>
      <c r="H227" s="1855">
        <f t="shared" si="103"/>
        <v>360352.2</v>
      </c>
      <c r="I227" s="1861">
        <f t="shared" si="103"/>
        <v>0</v>
      </c>
      <c r="J227" s="1873">
        <f t="shared" si="90"/>
        <v>0.90278264045387024</v>
      </c>
      <c r="K227" s="1855">
        <f t="shared" si="103"/>
        <v>0</v>
      </c>
      <c r="L227" s="1847">
        <f t="shared" si="103"/>
        <v>0</v>
      </c>
      <c r="M227" s="1307"/>
    </row>
    <row r="228" spans="2:13" ht="16.5" customHeight="1" x14ac:dyDescent="0.2">
      <c r="B228" s="1677"/>
      <c r="C228" s="2267" t="s">
        <v>1580</v>
      </c>
      <c r="D228" s="2268"/>
      <c r="E228" s="1856">
        <v>66722.98</v>
      </c>
      <c r="F228" s="1847">
        <f>G228-E228</f>
        <v>15593.660000000003</v>
      </c>
      <c r="G228" s="1857">
        <v>82316.639999999999</v>
      </c>
      <c r="H228" s="1855">
        <v>70190.179999999993</v>
      </c>
      <c r="I228" s="1861">
        <v>0</v>
      </c>
      <c r="J228" s="1873">
        <f t="shared" si="90"/>
        <v>0.85268519220415206</v>
      </c>
      <c r="K228" s="1855">
        <v>0</v>
      </c>
      <c r="L228" s="1847">
        <v>0</v>
      </c>
      <c r="M228" s="1307"/>
    </row>
    <row r="229" spans="2:13" ht="38.25" customHeight="1" x14ac:dyDescent="0.2">
      <c r="B229" s="1853"/>
      <c r="C229" s="2269" t="s">
        <v>1581</v>
      </c>
      <c r="D229" s="2270"/>
      <c r="E229" s="1876">
        <v>85573</v>
      </c>
      <c r="F229" s="1877">
        <f>G229-E229</f>
        <v>36180.520000000004</v>
      </c>
      <c r="G229" s="1878">
        <v>121753.52</v>
      </c>
      <c r="H229" s="1879">
        <v>80204.539999999994</v>
      </c>
      <c r="I229" s="1880">
        <v>0</v>
      </c>
      <c r="J229" s="1875">
        <f t="shared" si="90"/>
        <v>0.65874514346689927</v>
      </c>
      <c r="K229" s="1879">
        <f>652.34+91.52+12346.14</f>
        <v>13090</v>
      </c>
      <c r="L229" s="1877">
        <v>0</v>
      </c>
      <c r="M229" s="1307"/>
    </row>
    <row r="230" spans="2:13" x14ac:dyDescent="0.2">
      <c r="E230" s="1309"/>
      <c r="F230" s="1309"/>
      <c r="G230" s="1309"/>
      <c r="H230" s="1309"/>
      <c r="I230" s="1309"/>
      <c r="J230" s="1309"/>
      <c r="K230" s="1309"/>
      <c r="L230" s="1309"/>
      <c r="M230" s="1307"/>
    </row>
    <row r="231" spans="2:13" x14ac:dyDescent="0.2">
      <c r="E231" s="1309"/>
      <c r="F231" s="1309"/>
      <c r="G231" s="1309"/>
      <c r="H231" s="1309"/>
      <c r="I231" s="1309"/>
      <c r="J231" s="1309"/>
      <c r="K231" s="1309"/>
      <c r="L231" s="1309"/>
      <c r="M231" s="1307"/>
    </row>
    <row r="232" spans="2:13" x14ac:dyDescent="0.2">
      <c r="E232" s="1309"/>
      <c r="F232" s="1309"/>
      <c r="G232" s="1309"/>
      <c r="H232" s="1309"/>
      <c r="I232" s="1309"/>
      <c r="J232" s="1309"/>
      <c r="K232" s="1309"/>
      <c r="L232" s="1309"/>
      <c r="M232" s="1307"/>
    </row>
    <row r="233" spans="2:13" x14ac:dyDescent="0.2">
      <c r="E233" s="1309"/>
      <c r="F233" s="1309"/>
      <c r="G233" s="1309"/>
      <c r="H233" s="1309"/>
      <c r="I233" s="1309"/>
      <c r="J233" s="1309"/>
      <c r="K233" s="1309"/>
      <c r="L233" s="1309"/>
      <c r="M233" s="1307"/>
    </row>
    <row r="234" spans="2:13" x14ac:dyDescent="0.2">
      <c r="E234" s="1309"/>
      <c r="F234" s="1309"/>
      <c r="G234" s="1309"/>
      <c r="H234" s="1309"/>
      <c r="I234" s="1309"/>
      <c r="J234" s="1309"/>
      <c r="K234" s="1309"/>
      <c r="L234" s="1309"/>
      <c r="M234" s="1307"/>
    </row>
    <row r="235" spans="2:13" x14ac:dyDescent="0.2">
      <c r="E235" s="1309"/>
      <c r="F235" s="1309"/>
      <c r="G235" s="1309"/>
      <c r="H235" s="1309"/>
      <c r="I235" s="1309"/>
      <c r="J235" s="1309"/>
      <c r="K235" s="1309"/>
      <c r="L235" s="1309"/>
      <c r="M235" s="1307"/>
    </row>
    <row r="236" spans="2:13" x14ac:dyDescent="0.2">
      <c r="E236" s="1309"/>
      <c r="F236" s="1309"/>
      <c r="G236" s="1309"/>
      <c r="H236" s="1309"/>
      <c r="I236" s="1309"/>
      <c r="J236" s="1309"/>
      <c r="K236" s="1309"/>
      <c r="L236" s="1309"/>
      <c r="M236" s="1307"/>
    </row>
    <row r="237" spans="2:13" x14ac:dyDescent="0.2">
      <c r="E237" s="1309"/>
      <c r="F237" s="1309"/>
      <c r="G237" s="1309"/>
      <c r="H237" s="1309"/>
      <c r="I237" s="1309"/>
      <c r="J237" s="1309"/>
      <c r="K237" s="1309"/>
      <c r="L237" s="1309"/>
      <c r="M237" s="1307"/>
    </row>
    <row r="238" spans="2:13" x14ac:dyDescent="0.2">
      <c r="E238" s="1309"/>
      <c r="F238" s="1309"/>
      <c r="G238" s="1309"/>
      <c r="H238" s="1309"/>
      <c r="I238" s="1309"/>
      <c r="J238" s="1309"/>
      <c r="K238" s="1309"/>
      <c r="L238" s="1309"/>
      <c r="M238" s="1307"/>
    </row>
    <row r="239" spans="2:13" x14ac:dyDescent="0.2">
      <c r="E239" s="1309"/>
      <c r="F239" s="1309"/>
      <c r="G239" s="1309"/>
      <c r="H239" s="1309"/>
      <c r="I239" s="1309"/>
      <c r="J239" s="1309"/>
      <c r="K239" s="1309"/>
      <c r="L239" s="1309"/>
      <c r="M239" s="1307"/>
    </row>
    <row r="240" spans="2:13" x14ac:dyDescent="0.2">
      <c r="E240" s="1309"/>
      <c r="F240" s="1309"/>
      <c r="G240" s="1309"/>
      <c r="H240" s="1309"/>
      <c r="I240" s="1309"/>
      <c r="J240" s="1309"/>
      <c r="K240" s="1309"/>
      <c r="L240" s="1309"/>
      <c r="M240" s="1307"/>
    </row>
    <row r="241" spans="5:13" x14ac:dyDescent="0.2">
      <c r="E241" s="1309"/>
      <c r="F241" s="1309"/>
      <c r="G241" s="1309"/>
      <c r="H241" s="1309"/>
      <c r="I241" s="1309"/>
      <c r="J241" s="1309"/>
      <c r="K241" s="1309"/>
      <c r="L241" s="1309"/>
      <c r="M241" s="1307"/>
    </row>
    <row r="242" spans="5:13" x14ac:dyDescent="0.2">
      <c r="E242" s="1307"/>
      <c r="F242" s="1307"/>
      <c r="G242" s="1307"/>
      <c r="H242" s="1307"/>
      <c r="I242" s="1307"/>
      <c r="J242" s="1307"/>
      <c r="K242" s="1307"/>
      <c r="L242" s="1307"/>
      <c r="M242" s="1307"/>
    </row>
    <row r="243" spans="5:13" x14ac:dyDescent="0.2">
      <c r="E243" s="1307"/>
      <c r="F243" s="1307"/>
      <c r="G243" s="1307"/>
      <c r="H243" s="1307"/>
      <c r="I243" s="1307"/>
      <c r="J243" s="1307"/>
      <c r="K243" s="1307"/>
      <c r="L243" s="1307"/>
      <c r="M243" s="1307"/>
    </row>
    <row r="244" spans="5:13" x14ac:dyDescent="0.2">
      <c r="E244" s="1307"/>
      <c r="F244" s="1307"/>
      <c r="G244" s="1307"/>
      <c r="H244" s="1307"/>
      <c r="I244" s="1307"/>
      <c r="J244" s="1307"/>
      <c r="K244" s="1307"/>
      <c r="L244" s="1307"/>
      <c r="M244" s="1307"/>
    </row>
    <row r="245" spans="5:13" x14ac:dyDescent="0.2">
      <c r="E245" s="1307"/>
      <c r="F245" s="1307"/>
      <c r="G245" s="1307"/>
      <c r="H245" s="1307"/>
      <c r="I245" s="1307"/>
      <c r="J245" s="1307"/>
      <c r="K245" s="1307"/>
      <c r="L245" s="1307"/>
      <c r="M245" s="1307"/>
    </row>
    <row r="246" spans="5:13" x14ac:dyDescent="0.2">
      <c r="E246" s="1307"/>
      <c r="F246" s="1307"/>
      <c r="G246" s="1307"/>
      <c r="H246" s="1307"/>
      <c r="I246" s="1307"/>
      <c r="J246" s="1307"/>
      <c r="K246" s="1307"/>
      <c r="L246" s="1307"/>
      <c r="M246" s="1307"/>
    </row>
    <row r="247" spans="5:13" x14ac:dyDescent="0.2">
      <c r="E247" s="1307"/>
      <c r="F247" s="1307"/>
      <c r="G247" s="1307"/>
      <c r="H247" s="1307"/>
      <c r="I247" s="1307"/>
      <c r="J247" s="1307"/>
      <c r="K247" s="1307"/>
      <c r="L247" s="1307"/>
      <c r="M247" s="1307"/>
    </row>
    <row r="248" spans="5:13" x14ac:dyDescent="0.2">
      <c r="E248" s="1307"/>
      <c r="F248" s="1307"/>
      <c r="G248" s="1307"/>
      <c r="H248" s="1307"/>
      <c r="I248" s="1307"/>
      <c r="J248" s="1307"/>
      <c r="K248" s="1307"/>
      <c r="L248" s="1307"/>
      <c r="M248" s="1307"/>
    </row>
    <row r="249" spans="5:13" x14ac:dyDescent="0.2">
      <c r="E249" s="1307"/>
      <c r="F249" s="1307"/>
      <c r="G249" s="1307"/>
      <c r="H249" s="1307"/>
      <c r="I249" s="1307"/>
      <c r="J249" s="1307"/>
      <c r="K249" s="1307"/>
      <c r="L249" s="1307"/>
      <c r="M249" s="1307"/>
    </row>
    <row r="250" spans="5:13" x14ac:dyDescent="0.2">
      <c r="E250" s="1307"/>
      <c r="F250" s="1307"/>
      <c r="G250" s="1307"/>
      <c r="H250" s="1307"/>
      <c r="I250" s="1307"/>
      <c r="J250" s="1307"/>
      <c r="K250" s="1307"/>
      <c r="L250" s="1307"/>
      <c r="M250" s="1307"/>
    </row>
    <row r="251" spans="5:13" x14ac:dyDescent="0.2">
      <c r="E251" s="1307"/>
      <c r="F251" s="1307"/>
      <c r="G251" s="1307"/>
      <c r="H251" s="1307"/>
      <c r="I251" s="1307"/>
      <c r="J251" s="1307"/>
      <c r="K251" s="1307"/>
      <c r="L251" s="1307"/>
      <c r="M251" s="1307"/>
    </row>
    <row r="252" spans="5:13" x14ac:dyDescent="0.2">
      <c r="E252" s="1307"/>
      <c r="F252" s="1307"/>
      <c r="G252" s="1307"/>
      <c r="H252" s="1307"/>
      <c r="I252" s="1307"/>
      <c r="J252" s="1307"/>
      <c r="K252" s="1307"/>
      <c r="L252" s="1307"/>
      <c r="M252" s="1307"/>
    </row>
    <row r="253" spans="5:13" x14ac:dyDescent="0.2">
      <c r="E253" s="1307"/>
      <c r="F253" s="1307"/>
      <c r="G253" s="1307"/>
      <c r="H253" s="1307"/>
      <c r="I253" s="1307"/>
      <c r="J253" s="1307"/>
      <c r="K253" s="1307"/>
      <c r="L253" s="1307"/>
      <c r="M253" s="1307"/>
    </row>
    <row r="254" spans="5:13" x14ac:dyDescent="0.2">
      <c r="E254" s="1307"/>
      <c r="F254" s="1307"/>
      <c r="G254" s="1307"/>
      <c r="H254" s="1307"/>
      <c r="I254" s="1307"/>
      <c r="J254" s="1307"/>
      <c r="K254" s="1307"/>
      <c r="L254" s="1307"/>
      <c r="M254" s="1307"/>
    </row>
    <row r="255" spans="5:13" x14ac:dyDescent="0.2">
      <c r="E255" s="1307"/>
      <c r="F255" s="1307"/>
      <c r="G255" s="1307"/>
      <c r="H255" s="1307"/>
      <c r="I255" s="1307"/>
      <c r="J255" s="1307"/>
      <c r="K255" s="1307"/>
      <c r="L255" s="1307"/>
      <c r="M255" s="1307"/>
    </row>
    <row r="256" spans="5:13" x14ac:dyDescent="0.2">
      <c r="E256" s="1307"/>
      <c r="F256" s="1307"/>
      <c r="G256" s="1307"/>
      <c r="H256" s="1307"/>
      <c r="I256" s="1307"/>
      <c r="J256" s="1307"/>
      <c r="K256" s="1307"/>
      <c r="L256" s="1307"/>
      <c r="M256" s="1307"/>
    </row>
    <row r="257" spans="5:13" x14ac:dyDescent="0.2">
      <c r="E257" s="1307"/>
      <c r="F257" s="1307"/>
      <c r="G257" s="1307"/>
      <c r="H257" s="1307"/>
      <c r="I257" s="1307"/>
      <c r="J257" s="1307"/>
      <c r="K257" s="1307"/>
      <c r="L257" s="1307"/>
      <c r="M257" s="1307"/>
    </row>
    <row r="258" spans="5:13" x14ac:dyDescent="0.2">
      <c r="E258" s="1307"/>
      <c r="F258" s="1307"/>
      <c r="G258" s="1307"/>
      <c r="H258" s="1307"/>
      <c r="I258" s="1307"/>
      <c r="J258" s="1307"/>
      <c r="K258" s="1307"/>
      <c r="L258" s="1307"/>
      <c r="M258" s="1307"/>
    </row>
    <row r="259" spans="5:13" x14ac:dyDescent="0.2">
      <c r="E259" s="1307"/>
      <c r="F259" s="1307"/>
      <c r="G259" s="1307"/>
      <c r="H259" s="1307"/>
      <c r="I259" s="1307"/>
      <c r="J259" s="1307"/>
      <c r="K259" s="1307"/>
      <c r="L259" s="1307"/>
      <c r="M259" s="1307"/>
    </row>
    <row r="260" spans="5:13" x14ac:dyDescent="0.2">
      <c r="E260" s="1307"/>
      <c r="F260" s="1307"/>
      <c r="G260" s="1307"/>
      <c r="H260" s="1307"/>
      <c r="I260" s="1307"/>
      <c r="J260" s="1307"/>
      <c r="K260" s="1307"/>
      <c r="L260" s="1307"/>
      <c r="M260" s="1307"/>
    </row>
    <row r="261" spans="5:13" x14ac:dyDescent="0.2">
      <c r="E261" s="1307"/>
      <c r="F261" s="1307"/>
      <c r="G261" s="1307"/>
      <c r="H261" s="1307"/>
      <c r="I261" s="1307"/>
      <c r="J261" s="1307"/>
      <c r="K261" s="1307"/>
      <c r="L261" s="1307"/>
      <c r="M261" s="1307"/>
    </row>
    <row r="262" spans="5:13" x14ac:dyDescent="0.2">
      <c r="E262" s="1307"/>
      <c r="F262" s="1307"/>
      <c r="G262" s="1307"/>
      <c r="H262" s="1307"/>
      <c r="I262" s="1307"/>
      <c r="J262" s="1307"/>
      <c r="K262" s="1307"/>
      <c r="L262" s="1307"/>
      <c r="M262" s="1307"/>
    </row>
    <row r="263" spans="5:13" x14ac:dyDescent="0.2">
      <c r="E263" s="1307"/>
      <c r="F263" s="1307"/>
      <c r="G263" s="1307"/>
      <c r="H263" s="1307"/>
      <c r="I263" s="1307"/>
      <c r="J263" s="1307"/>
      <c r="K263" s="1307"/>
      <c r="L263" s="1307"/>
      <c r="M263" s="1307"/>
    </row>
    <row r="264" spans="5:13" x14ac:dyDescent="0.2">
      <c r="E264" s="1307"/>
      <c r="F264" s="1307"/>
      <c r="G264" s="1307"/>
      <c r="H264" s="1307"/>
      <c r="I264" s="1307"/>
      <c r="J264" s="1307"/>
      <c r="K264" s="1307"/>
      <c r="L264" s="1307"/>
      <c r="M264" s="1307"/>
    </row>
    <row r="265" spans="5:13" x14ac:dyDescent="0.2">
      <c r="E265" s="1307"/>
      <c r="F265" s="1307"/>
      <c r="G265" s="1307"/>
      <c r="H265" s="1307"/>
      <c r="I265" s="1307"/>
      <c r="J265" s="1307"/>
      <c r="K265" s="1307"/>
      <c r="L265" s="1307"/>
      <c r="M265" s="1307"/>
    </row>
    <row r="266" spans="5:13" x14ac:dyDescent="0.2">
      <c r="E266" s="1307"/>
      <c r="F266" s="1307"/>
      <c r="G266" s="1307"/>
      <c r="H266" s="1307"/>
      <c r="I266" s="1307"/>
      <c r="J266" s="1307"/>
      <c r="K266" s="1307"/>
      <c r="L266" s="1307"/>
      <c r="M266" s="1307"/>
    </row>
  </sheetData>
  <mergeCells count="25">
    <mergeCell ref="A5:K5"/>
    <mergeCell ref="A7:A8"/>
    <mergeCell ref="B7:B8"/>
    <mergeCell ref="C7:C8"/>
    <mergeCell ref="D7:D8"/>
    <mergeCell ref="E7:E8"/>
    <mergeCell ref="F7:F8"/>
    <mergeCell ref="G7:G8"/>
    <mergeCell ref="H7:H8"/>
    <mergeCell ref="C227:D227"/>
    <mergeCell ref="C228:D228"/>
    <mergeCell ref="C229:D229"/>
    <mergeCell ref="A4:L4"/>
    <mergeCell ref="C226:D226"/>
    <mergeCell ref="C225:D225"/>
    <mergeCell ref="C221:D221"/>
    <mergeCell ref="C219:D219"/>
    <mergeCell ref="C220:D220"/>
    <mergeCell ref="C222:D222"/>
    <mergeCell ref="C224:D224"/>
    <mergeCell ref="C223:D223"/>
    <mergeCell ref="J7:J8"/>
    <mergeCell ref="K7:K8"/>
    <mergeCell ref="L7:L8"/>
    <mergeCell ref="A217:D217"/>
  </mergeCells>
  <pageMargins left="0" right="0" top="0.59055118110236227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2"/>
  <sheetViews>
    <sheetView showGridLines="0" topLeftCell="A642" zoomScaleNormal="100" workbookViewId="0">
      <selection activeCell="R663" sqref="R663"/>
    </sheetView>
  </sheetViews>
  <sheetFormatPr defaultRowHeight="12.75" x14ac:dyDescent="0.2"/>
  <cols>
    <col min="1" max="1" width="5.28515625" style="1298" customWidth="1"/>
    <col min="2" max="2" width="8.140625" style="1298" customWidth="1"/>
    <col min="3" max="3" width="8.42578125" style="1298" customWidth="1"/>
    <col min="4" max="4" width="29.28515625" style="1298" customWidth="1"/>
    <col min="5" max="5" width="13.140625" style="1298" customWidth="1"/>
    <col min="6" max="6" width="11" style="1298" customWidth="1"/>
    <col min="7" max="7" width="12.5703125" style="1298" customWidth="1"/>
    <col min="8" max="8" width="12.42578125" style="1298" customWidth="1"/>
    <col min="9" max="9" width="11.7109375" style="1298" customWidth="1"/>
    <col min="10" max="10" width="8.7109375" style="1298" customWidth="1"/>
    <col min="11" max="11" width="12.7109375" style="1298" customWidth="1"/>
    <col min="12" max="12" width="10.42578125" style="1298" customWidth="1"/>
    <col min="13" max="250" width="9.140625" style="1298"/>
    <col min="251" max="251" width="2.140625" style="1298" customWidth="1"/>
    <col min="252" max="252" width="8.7109375" style="1298" customWidth="1"/>
    <col min="253" max="253" width="9.85546875" style="1298" customWidth="1"/>
    <col min="254" max="254" width="1" style="1298" customWidth="1"/>
    <col min="255" max="255" width="10.85546875" style="1298" customWidth="1"/>
    <col min="256" max="256" width="1" style="1298" customWidth="1"/>
    <col min="257" max="257" width="53.5703125" style="1298" customWidth="1"/>
    <col min="258" max="258" width="7.5703125" style="1298" customWidth="1"/>
    <col min="259" max="259" width="14.140625" style="1298" customWidth="1"/>
    <col min="260" max="260" width="1" style="1298" customWidth="1"/>
    <col min="261" max="506" width="9.140625" style="1298"/>
    <col min="507" max="507" width="2.140625" style="1298" customWidth="1"/>
    <col min="508" max="508" width="8.7109375" style="1298" customWidth="1"/>
    <col min="509" max="509" width="9.85546875" style="1298" customWidth="1"/>
    <col min="510" max="510" width="1" style="1298" customWidth="1"/>
    <col min="511" max="511" width="10.85546875" style="1298" customWidth="1"/>
    <col min="512" max="512" width="1" style="1298" customWidth="1"/>
    <col min="513" max="513" width="53.5703125" style="1298" customWidth="1"/>
    <col min="514" max="514" width="7.5703125" style="1298" customWidth="1"/>
    <col min="515" max="515" width="14.140625" style="1298" customWidth="1"/>
    <col min="516" max="516" width="1" style="1298" customWidth="1"/>
    <col min="517" max="762" width="9.140625" style="1298"/>
    <col min="763" max="763" width="2.140625" style="1298" customWidth="1"/>
    <col min="764" max="764" width="8.7109375" style="1298" customWidth="1"/>
    <col min="765" max="765" width="9.85546875" style="1298" customWidth="1"/>
    <col min="766" max="766" width="1" style="1298" customWidth="1"/>
    <col min="767" max="767" width="10.85546875" style="1298" customWidth="1"/>
    <col min="768" max="768" width="1" style="1298" customWidth="1"/>
    <col min="769" max="769" width="53.5703125" style="1298" customWidth="1"/>
    <col min="770" max="770" width="7.5703125" style="1298" customWidth="1"/>
    <col min="771" max="771" width="14.140625" style="1298" customWidth="1"/>
    <col min="772" max="772" width="1" style="1298" customWidth="1"/>
    <col min="773" max="1018" width="9.140625" style="1298"/>
    <col min="1019" max="1019" width="2.140625" style="1298" customWidth="1"/>
    <col min="1020" max="1020" width="8.7109375" style="1298" customWidth="1"/>
    <col min="1021" max="1021" width="9.85546875" style="1298" customWidth="1"/>
    <col min="1022" max="1022" width="1" style="1298" customWidth="1"/>
    <col min="1023" max="1023" width="10.85546875" style="1298" customWidth="1"/>
    <col min="1024" max="1024" width="1" style="1298" customWidth="1"/>
    <col min="1025" max="1025" width="53.5703125" style="1298" customWidth="1"/>
    <col min="1026" max="1026" width="7.5703125" style="1298" customWidth="1"/>
    <col min="1027" max="1027" width="14.140625" style="1298" customWidth="1"/>
    <col min="1028" max="1028" width="1" style="1298" customWidth="1"/>
    <col min="1029" max="1274" width="9.140625" style="1298"/>
    <col min="1275" max="1275" width="2.140625" style="1298" customWidth="1"/>
    <col min="1276" max="1276" width="8.7109375" style="1298" customWidth="1"/>
    <col min="1277" max="1277" width="9.85546875" style="1298" customWidth="1"/>
    <col min="1278" max="1278" width="1" style="1298" customWidth="1"/>
    <col min="1279" max="1279" width="10.85546875" style="1298" customWidth="1"/>
    <col min="1280" max="1280" width="1" style="1298" customWidth="1"/>
    <col min="1281" max="1281" width="53.5703125" style="1298" customWidth="1"/>
    <col min="1282" max="1282" width="7.5703125" style="1298" customWidth="1"/>
    <col min="1283" max="1283" width="14.140625" style="1298" customWidth="1"/>
    <col min="1284" max="1284" width="1" style="1298" customWidth="1"/>
    <col min="1285" max="1530" width="9.140625" style="1298"/>
    <col min="1531" max="1531" width="2.140625" style="1298" customWidth="1"/>
    <col min="1532" max="1532" width="8.7109375" style="1298" customWidth="1"/>
    <col min="1533" max="1533" width="9.85546875" style="1298" customWidth="1"/>
    <col min="1534" max="1534" width="1" style="1298" customWidth="1"/>
    <col min="1535" max="1535" width="10.85546875" style="1298" customWidth="1"/>
    <col min="1536" max="1536" width="1" style="1298" customWidth="1"/>
    <col min="1537" max="1537" width="53.5703125" style="1298" customWidth="1"/>
    <col min="1538" max="1538" width="7.5703125" style="1298" customWidth="1"/>
    <col min="1539" max="1539" width="14.140625" style="1298" customWidth="1"/>
    <col min="1540" max="1540" width="1" style="1298" customWidth="1"/>
    <col min="1541" max="1786" width="9.140625" style="1298"/>
    <col min="1787" max="1787" width="2.140625" style="1298" customWidth="1"/>
    <col min="1788" max="1788" width="8.7109375" style="1298" customWidth="1"/>
    <col min="1789" max="1789" width="9.85546875" style="1298" customWidth="1"/>
    <col min="1790" max="1790" width="1" style="1298" customWidth="1"/>
    <col min="1791" max="1791" width="10.85546875" style="1298" customWidth="1"/>
    <col min="1792" max="1792" width="1" style="1298" customWidth="1"/>
    <col min="1793" max="1793" width="53.5703125" style="1298" customWidth="1"/>
    <col min="1794" max="1794" width="7.5703125" style="1298" customWidth="1"/>
    <col min="1795" max="1795" width="14.140625" style="1298" customWidth="1"/>
    <col min="1796" max="1796" width="1" style="1298" customWidth="1"/>
    <col min="1797" max="2042" width="9.140625" style="1298"/>
    <col min="2043" max="2043" width="2.140625" style="1298" customWidth="1"/>
    <col min="2044" max="2044" width="8.7109375" style="1298" customWidth="1"/>
    <col min="2045" max="2045" width="9.85546875" style="1298" customWidth="1"/>
    <col min="2046" max="2046" width="1" style="1298" customWidth="1"/>
    <col min="2047" max="2047" width="10.85546875" style="1298" customWidth="1"/>
    <col min="2048" max="2048" width="1" style="1298" customWidth="1"/>
    <col min="2049" max="2049" width="53.5703125" style="1298" customWidth="1"/>
    <col min="2050" max="2050" width="7.5703125" style="1298" customWidth="1"/>
    <col min="2051" max="2051" width="14.140625" style="1298" customWidth="1"/>
    <col min="2052" max="2052" width="1" style="1298" customWidth="1"/>
    <col min="2053" max="2298" width="9.140625" style="1298"/>
    <col min="2299" max="2299" width="2.140625" style="1298" customWidth="1"/>
    <col min="2300" max="2300" width="8.7109375" style="1298" customWidth="1"/>
    <col min="2301" max="2301" width="9.85546875" style="1298" customWidth="1"/>
    <col min="2302" max="2302" width="1" style="1298" customWidth="1"/>
    <col min="2303" max="2303" width="10.85546875" style="1298" customWidth="1"/>
    <col min="2304" max="2304" width="1" style="1298" customWidth="1"/>
    <col min="2305" max="2305" width="53.5703125" style="1298" customWidth="1"/>
    <col min="2306" max="2306" width="7.5703125" style="1298" customWidth="1"/>
    <col min="2307" max="2307" width="14.140625" style="1298" customWidth="1"/>
    <col min="2308" max="2308" width="1" style="1298" customWidth="1"/>
    <col min="2309" max="2554" width="9.140625" style="1298"/>
    <col min="2555" max="2555" width="2.140625" style="1298" customWidth="1"/>
    <col min="2556" max="2556" width="8.7109375" style="1298" customWidth="1"/>
    <col min="2557" max="2557" width="9.85546875" style="1298" customWidth="1"/>
    <col min="2558" max="2558" width="1" style="1298" customWidth="1"/>
    <col min="2559" max="2559" width="10.85546875" style="1298" customWidth="1"/>
    <col min="2560" max="2560" width="1" style="1298" customWidth="1"/>
    <col min="2561" max="2561" width="53.5703125" style="1298" customWidth="1"/>
    <col min="2562" max="2562" width="7.5703125" style="1298" customWidth="1"/>
    <col min="2563" max="2563" width="14.140625" style="1298" customWidth="1"/>
    <col min="2564" max="2564" width="1" style="1298" customWidth="1"/>
    <col min="2565" max="2810" width="9.140625" style="1298"/>
    <col min="2811" max="2811" width="2.140625" style="1298" customWidth="1"/>
    <col min="2812" max="2812" width="8.7109375" style="1298" customWidth="1"/>
    <col min="2813" max="2813" width="9.85546875" style="1298" customWidth="1"/>
    <col min="2814" max="2814" width="1" style="1298" customWidth="1"/>
    <col min="2815" max="2815" width="10.85546875" style="1298" customWidth="1"/>
    <col min="2816" max="2816" width="1" style="1298" customWidth="1"/>
    <col min="2817" max="2817" width="53.5703125" style="1298" customWidth="1"/>
    <col min="2818" max="2818" width="7.5703125" style="1298" customWidth="1"/>
    <col min="2819" max="2819" width="14.140625" style="1298" customWidth="1"/>
    <col min="2820" max="2820" width="1" style="1298" customWidth="1"/>
    <col min="2821" max="3066" width="9.140625" style="1298"/>
    <col min="3067" max="3067" width="2.140625" style="1298" customWidth="1"/>
    <col min="3068" max="3068" width="8.7109375" style="1298" customWidth="1"/>
    <col min="3069" max="3069" width="9.85546875" style="1298" customWidth="1"/>
    <col min="3070" max="3070" width="1" style="1298" customWidth="1"/>
    <col min="3071" max="3071" width="10.85546875" style="1298" customWidth="1"/>
    <col min="3072" max="3072" width="1" style="1298" customWidth="1"/>
    <col min="3073" max="3073" width="53.5703125" style="1298" customWidth="1"/>
    <col min="3074" max="3074" width="7.5703125" style="1298" customWidth="1"/>
    <col min="3075" max="3075" width="14.140625" style="1298" customWidth="1"/>
    <col min="3076" max="3076" width="1" style="1298" customWidth="1"/>
    <col min="3077" max="3322" width="9.140625" style="1298"/>
    <col min="3323" max="3323" width="2.140625" style="1298" customWidth="1"/>
    <col min="3324" max="3324" width="8.7109375" style="1298" customWidth="1"/>
    <col min="3325" max="3325" width="9.85546875" style="1298" customWidth="1"/>
    <col min="3326" max="3326" width="1" style="1298" customWidth="1"/>
    <col min="3327" max="3327" width="10.85546875" style="1298" customWidth="1"/>
    <col min="3328" max="3328" width="1" style="1298" customWidth="1"/>
    <col min="3329" max="3329" width="53.5703125" style="1298" customWidth="1"/>
    <col min="3330" max="3330" width="7.5703125" style="1298" customWidth="1"/>
    <col min="3331" max="3331" width="14.140625" style="1298" customWidth="1"/>
    <col min="3332" max="3332" width="1" style="1298" customWidth="1"/>
    <col min="3333" max="3578" width="9.140625" style="1298"/>
    <col min="3579" max="3579" width="2.140625" style="1298" customWidth="1"/>
    <col min="3580" max="3580" width="8.7109375" style="1298" customWidth="1"/>
    <col min="3581" max="3581" width="9.85546875" style="1298" customWidth="1"/>
    <col min="3582" max="3582" width="1" style="1298" customWidth="1"/>
    <col min="3583" max="3583" width="10.85546875" style="1298" customWidth="1"/>
    <col min="3584" max="3584" width="1" style="1298" customWidth="1"/>
    <col min="3585" max="3585" width="53.5703125" style="1298" customWidth="1"/>
    <col min="3586" max="3586" width="7.5703125" style="1298" customWidth="1"/>
    <col min="3587" max="3587" width="14.140625" style="1298" customWidth="1"/>
    <col min="3588" max="3588" width="1" style="1298" customWidth="1"/>
    <col min="3589" max="3834" width="9.140625" style="1298"/>
    <col min="3835" max="3835" width="2.140625" style="1298" customWidth="1"/>
    <col min="3836" max="3836" width="8.7109375" style="1298" customWidth="1"/>
    <col min="3837" max="3837" width="9.85546875" style="1298" customWidth="1"/>
    <col min="3838" max="3838" width="1" style="1298" customWidth="1"/>
    <col min="3839" max="3839" width="10.85546875" style="1298" customWidth="1"/>
    <col min="3840" max="3840" width="1" style="1298" customWidth="1"/>
    <col min="3841" max="3841" width="53.5703125" style="1298" customWidth="1"/>
    <col min="3842" max="3842" width="7.5703125" style="1298" customWidth="1"/>
    <col min="3843" max="3843" width="14.140625" style="1298" customWidth="1"/>
    <col min="3844" max="3844" width="1" style="1298" customWidth="1"/>
    <col min="3845" max="4090" width="9.140625" style="1298"/>
    <col min="4091" max="4091" width="2.140625" style="1298" customWidth="1"/>
    <col min="4092" max="4092" width="8.7109375" style="1298" customWidth="1"/>
    <col min="4093" max="4093" width="9.85546875" style="1298" customWidth="1"/>
    <col min="4094" max="4094" width="1" style="1298" customWidth="1"/>
    <col min="4095" max="4095" width="10.85546875" style="1298" customWidth="1"/>
    <col min="4096" max="4096" width="1" style="1298" customWidth="1"/>
    <col min="4097" max="4097" width="53.5703125" style="1298" customWidth="1"/>
    <col min="4098" max="4098" width="7.5703125" style="1298" customWidth="1"/>
    <col min="4099" max="4099" width="14.140625" style="1298" customWidth="1"/>
    <col min="4100" max="4100" width="1" style="1298" customWidth="1"/>
    <col min="4101" max="4346" width="9.140625" style="1298"/>
    <col min="4347" max="4347" width="2.140625" style="1298" customWidth="1"/>
    <col min="4348" max="4348" width="8.7109375" style="1298" customWidth="1"/>
    <col min="4349" max="4349" width="9.85546875" style="1298" customWidth="1"/>
    <col min="4350" max="4350" width="1" style="1298" customWidth="1"/>
    <col min="4351" max="4351" width="10.85546875" style="1298" customWidth="1"/>
    <col min="4352" max="4352" width="1" style="1298" customWidth="1"/>
    <col min="4353" max="4353" width="53.5703125" style="1298" customWidth="1"/>
    <col min="4354" max="4354" width="7.5703125" style="1298" customWidth="1"/>
    <col min="4355" max="4355" width="14.140625" style="1298" customWidth="1"/>
    <col min="4356" max="4356" width="1" style="1298" customWidth="1"/>
    <col min="4357" max="4602" width="9.140625" style="1298"/>
    <col min="4603" max="4603" width="2.140625" style="1298" customWidth="1"/>
    <col min="4604" max="4604" width="8.7109375" style="1298" customWidth="1"/>
    <col min="4605" max="4605" width="9.85546875" style="1298" customWidth="1"/>
    <col min="4606" max="4606" width="1" style="1298" customWidth="1"/>
    <col min="4607" max="4607" width="10.85546875" style="1298" customWidth="1"/>
    <col min="4608" max="4608" width="1" style="1298" customWidth="1"/>
    <col min="4609" max="4609" width="53.5703125" style="1298" customWidth="1"/>
    <col min="4610" max="4610" width="7.5703125" style="1298" customWidth="1"/>
    <col min="4611" max="4611" width="14.140625" style="1298" customWidth="1"/>
    <col min="4612" max="4612" width="1" style="1298" customWidth="1"/>
    <col min="4613" max="4858" width="9.140625" style="1298"/>
    <col min="4859" max="4859" width="2.140625" style="1298" customWidth="1"/>
    <col min="4860" max="4860" width="8.7109375" style="1298" customWidth="1"/>
    <col min="4861" max="4861" width="9.85546875" style="1298" customWidth="1"/>
    <col min="4862" max="4862" width="1" style="1298" customWidth="1"/>
    <col min="4863" max="4863" width="10.85546875" style="1298" customWidth="1"/>
    <col min="4864" max="4864" width="1" style="1298" customWidth="1"/>
    <col min="4865" max="4865" width="53.5703125" style="1298" customWidth="1"/>
    <col min="4866" max="4866" width="7.5703125" style="1298" customWidth="1"/>
    <col min="4867" max="4867" width="14.140625" style="1298" customWidth="1"/>
    <col min="4868" max="4868" width="1" style="1298" customWidth="1"/>
    <col min="4869" max="5114" width="9.140625" style="1298"/>
    <col min="5115" max="5115" width="2.140625" style="1298" customWidth="1"/>
    <col min="5116" max="5116" width="8.7109375" style="1298" customWidth="1"/>
    <col min="5117" max="5117" width="9.85546875" style="1298" customWidth="1"/>
    <col min="5118" max="5118" width="1" style="1298" customWidth="1"/>
    <col min="5119" max="5119" width="10.85546875" style="1298" customWidth="1"/>
    <col min="5120" max="5120" width="1" style="1298" customWidth="1"/>
    <col min="5121" max="5121" width="53.5703125" style="1298" customWidth="1"/>
    <col min="5122" max="5122" width="7.5703125" style="1298" customWidth="1"/>
    <col min="5123" max="5123" width="14.140625" style="1298" customWidth="1"/>
    <col min="5124" max="5124" width="1" style="1298" customWidth="1"/>
    <col min="5125" max="5370" width="9.140625" style="1298"/>
    <col min="5371" max="5371" width="2.140625" style="1298" customWidth="1"/>
    <col min="5372" max="5372" width="8.7109375" style="1298" customWidth="1"/>
    <col min="5373" max="5373" width="9.85546875" style="1298" customWidth="1"/>
    <col min="5374" max="5374" width="1" style="1298" customWidth="1"/>
    <col min="5375" max="5375" width="10.85546875" style="1298" customWidth="1"/>
    <col min="5376" max="5376" width="1" style="1298" customWidth="1"/>
    <col min="5377" max="5377" width="53.5703125" style="1298" customWidth="1"/>
    <col min="5378" max="5378" width="7.5703125" style="1298" customWidth="1"/>
    <col min="5379" max="5379" width="14.140625" style="1298" customWidth="1"/>
    <col min="5380" max="5380" width="1" style="1298" customWidth="1"/>
    <col min="5381" max="5626" width="9.140625" style="1298"/>
    <col min="5627" max="5627" width="2.140625" style="1298" customWidth="1"/>
    <col min="5628" max="5628" width="8.7109375" style="1298" customWidth="1"/>
    <col min="5629" max="5629" width="9.85546875" style="1298" customWidth="1"/>
    <col min="5630" max="5630" width="1" style="1298" customWidth="1"/>
    <col min="5631" max="5631" width="10.85546875" style="1298" customWidth="1"/>
    <col min="5632" max="5632" width="1" style="1298" customWidth="1"/>
    <col min="5633" max="5633" width="53.5703125" style="1298" customWidth="1"/>
    <col min="5634" max="5634" width="7.5703125" style="1298" customWidth="1"/>
    <col min="5635" max="5635" width="14.140625" style="1298" customWidth="1"/>
    <col min="5636" max="5636" width="1" style="1298" customWidth="1"/>
    <col min="5637" max="5882" width="9.140625" style="1298"/>
    <col min="5883" max="5883" width="2.140625" style="1298" customWidth="1"/>
    <col min="5884" max="5884" width="8.7109375" style="1298" customWidth="1"/>
    <col min="5885" max="5885" width="9.85546875" style="1298" customWidth="1"/>
    <col min="5886" max="5886" width="1" style="1298" customWidth="1"/>
    <col min="5887" max="5887" width="10.85546875" style="1298" customWidth="1"/>
    <col min="5888" max="5888" width="1" style="1298" customWidth="1"/>
    <col min="5889" max="5889" width="53.5703125" style="1298" customWidth="1"/>
    <col min="5890" max="5890" width="7.5703125" style="1298" customWidth="1"/>
    <col min="5891" max="5891" width="14.140625" style="1298" customWidth="1"/>
    <col min="5892" max="5892" width="1" style="1298" customWidth="1"/>
    <col min="5893" max="6138" width="9.140625" style="1298"/>
    <col min="6139" max="6139" width="2.140625" style="1298" customWidth="1"/>
    <col min="6140" max="6140" width="8.7109375" style="1298" customWidth="1"/>
    <col min="6141" max="6141" width="9.85546875" style="1298" customWidth="1"/>
    <col min="6142" max="6142" width="1" style="1298" customWidth="1"/>
    <col min="6143" max="6143" width="10.85546875" style="1298" customWidth="1"/>
    <col min="6144" max="6144" width="1" style="1298" customWidth="1"/>
    <col min="6145" max="6145" width="53.5703125" style="1298" customWidth="1"/>
    <col min="6146" max="6146" width="7.5703125" style="1298" customWidth="1"/>
    <col min="6147" max="6147" width="14.140625" style="1298" customWidth="1"/>
    <col min="6148" max="6148" width="1" style="1298" customWidth="1"/>
    <col min="6149" max="6394" width="9.140625" style="1298"/>
    <col min="6395" max="6395" width="2.140625" style="1298" customWidth="1"/>
    <col min="6396" max="6396" width="8.7109375" style="1298" customWidth="1"/>
    <col min="6397" max="6397" width="9.85546875" style="1298" customWidth="1"/>
    <col min="6398" max="6398" width="1" style="1298" customWidth="1"/>
    <col min="6399" max="6399" width="10.85546875" style="1298" customWidth="1"/>
    <col min="6400" max="6400" width="1" style="1298" customWidth="1"/>
    <col min="6401" max="6401" width="53.5703125" style="1298" customWidth="1"/>
    <col min="6402" max="6402" width="7.5703125" style="1298" customWidth="1"/>
    <col min="6403" max="6403" width="14.140625" style="1298" customWidth="1"/>
    <col min="6404" max="6404" width="1" style="1298" customWidth="1"/>
    <col min="6405" max="6650" width="9.140625" style="1298"/>
    <col min="6651" max="6651" width="2.140625" style="1298" customWidth="1"/>
    <col min="6652" max="6652" width="8.7109375" style="1298" customWidth="1"/>
    <col min="6653" max="6653" width="9.85546875" style="1298" customWidth="1"/>
    <col min="6654" max="6654" width="1" style="1298" customWidth="1"/>
    <col min="6655" max="6655" width="10.85546875" style="1298" customWidth="1"/>
    <col min="6656" max="6656" width="1" style="1298" customWidth="1"/>
    <col min="6657" max="6657" width="53.5703125" style="1298" customWidth="1"/>
    <col min="6658" max="6658" width="7.5703125" style="1298" customWidth="1"/>
    <col min="6659" max="6659" width="14.140625" style="1298" customWidth="1"/>
    <col min="6660" max="6660" width="1" style="1298" customWidth="1"/>
    <col min="6661" max="6906" width="9.140625" style="1298"/>
    <col min="6907" max="6907" width="2.140625" style="1298" customWidth="1"/>
    <col min="6908" max="6908" width="8.7109375" style="1298" customWidth="1"/>
    <col min="6909" max="6909" width="9.85546875" style="1298" customWidth="1"/>
    <col min="6910" max="6910" width="1" style="1298" customWidth="1"/>
    <col min="6911" max="6911" width="10.85546875" style="1298" customWidth="1"/>
    <col min="6912" max="6912" width="1" style="1298" customWidth="1"/>
    <col min="6913" max="6913" width="53.5703125" style="1298" customWidth="1"/>
    <col min="6914" max="6914" width="7.5703125" style="1298" customWidth="1"/>
    <col min="6915" max="6915" width="14.140625" style="1298" customWidth="1"/>
    <col min="6916" max="6916" width="1" style="1298" customWidth="1"/>
    <col min="6917" max="7162" width="9.140625" style="1298"/>
    <col min="7163" max="7163" width="2.140625" style="1298" customWidth="1"/>
    <col min="7164" max="7164" width="8.7109375" style="1298" customWidth="1"/>
    <col min="7165" max="7165" width="9.85546875" style="1298" customWidth="1"/>
    <col min="7166" max="7166" width="1" style="1298" customWidth="1"/>
    <col min="7167" max="7167" width="10.85546875" style="1298" customWidth="1"/>
    <col min="7168" max="7168" width="1" style="1298" customWidth="1"/>
    <col min="7169" max="7169" width="53.5703125" style="1298" customWidth="1"/>
    <col min="7170" max="7170" width="7.5703125" style="1298" customWidth="1"/>
    <col min="7171" max="7171" width="14.140625" style="1298" customWidth="1"/>
    <col min="7172" max="7172" width="1" style="1298" customWidth="1"/>
    <col min="7173" max="7418" width="9.140625" style="1298"/>
    <col min="7419" max="7419" width="2.140625" style="1298" customWidth="1"/>
    <col min="7420" max="7420" width="8.7109375" style="1298" customWidth="1"/>
    <col min="7421" max="7421" width="9.85546875" style="1298" customWidth="1"/>
    <col min="7422" max="7422" width="1" style="1298" customWidth="1"/>
    <col min="7423" max="7423" width="10.85546875" style="1298" customWidth="1"/>
    <col min="7424" max="7424" width="1" style="1298" customWidth="1"/>
    <col min="7425" max="7425" width="53.5703125" style="1298" customWidth="1"/>
    <col min="7426" max="7426" width="7.5703125" style="1298" customWidth="1"/>
    <col min="7427" max="7427" width="14.140625" style="1298" customWidth="1"/>
    <col min="7428" max="7428" width="1" style="1298" customWidth="1"/>
    <col min="7429" max="7674" width="9.140625" style="1298"/>
    <col min="7675" max="7675" width="2.140625" style="1298" customWidth="1"/>
    <col min="7676" max="7676" width="8.7109375" style="1298" customWidth="1"/>
    <col min="7677" max="7677" width="9.85546875" style="1298" customWidth="1"/>
    <col min="7678" max="7678" width="1" style="1298" customWidth="1"/>
    <col min="7679" max="7679" width="10.85546875" style="1298" customWidth="1"/>
    <col min="7680" max="7680" width="1" style="1298" customWidth="1"/>
    <col min="7681" max="7681" width="53.5703125" style="1298" customWidth="1"/>
    <col min="7682" max="7682" width="7.5703125" style="1298" customWidth="1"/>
    <col min="7683" max="7683" width="14.140625" style="1298" customWidth="1"/>
    <col min="7684" max="7684" width="1" style="1298" customWidth="1"/>
    <col min="7685" max="7930" width="9.140625" style="1298"/>
    <col min="7931" max="7931" width="2.140625" style="1298" customWidth="1"/>
    <col min="7932" max="7932" width="8.7109375" style="1298" customWidth="1"/>
    <col min="7933" max="7933" width="9.85546875" style="1298" customWidth="1"/>
    <col min="7934" max="7934" width="1" style="1298" customWidth="1"/>
    <col min="7935" max="7935" width="10.85546875" style="1298" customWidth="1"/>
    <col min="7936" max="7936" width="1" style="1298" customWidth="1"/>
    <col min="7937" max="7937" width="53.5703125" style="1298" customWidth="1"/>
    <col min="7938" max="7938" width="7.5703125" style="1298" customWidth="1"/>
    <col min="7939" max="7939" width="14.140625" style="1298" customWidth="1"/>
    <col min="7940" max="7940" width="1" style="1298" customWidth="1"/>
    <col min="7941" max="8186" width="9.140625" style="1298"/>
    <col min="8187" max="8187" width="2.140625" style="1298" customWidth="1"/>
    <col min="8188" max="8188" width="8.7109375" style="1298" customWidth="1"/>
    <col min="8189" max="8189" width="9.85546875" style="1298" customWidth="1"/>
    <col min="8190" max="8190" width="1" style="1298" customWidth="1"/>
    <col min="8191" max="8191" width="10.85546875" style="1298" customWidth="1"/>
    <col min="8192" max="8192" width="1" style="1298" customWidth="1"/>
    <col min="8193" max="8193" width="53.5703125" style="1298" customWidth="1"/>
    <col min="8194" max="8194" width="7.5703125" style="1298" customWidth="1"/>
    <col min="8195" max="8195" width="14.140625" style="1298" customWidth="1"/>
    <col min="8196" max="8196" width="1" style="1298" customWidth="1"/>
    <col min="8197" max="8442" width="9.140625" style="1298"/>
    <col min="8443" max="8443" width="2.140625" style="1298" customWidth="1"/>
    <col min="8444" max="8444" width="8.7109375" style="1298" customWidth="1"/>
    <col min="8445" max="8445" width="9.85546875" style="1298" customWidth="1"/>
    <col min="8446" max="8446" width="1" style="1298" customWidth="1"/>
    <col min="8447" max="8447" width="10.85546875" style="1298" customWidth="1"/>
    <col min="8448" max="8448" width="1" style="1298" customWidth="1"/>
    <col min="8449" max="8449" width="53.5703125" style="1298" customWidth="1"/>
    <col min="8450" max="8450" width="7.5703125" style="1298" customWidth="1"/>
    <col min="8451" max="8451" width="14.140625" style="1298" customWidth="1"/>
    <col min="8452" max="8452" width="1" style="1298" customWidth="1"/>
    <col min="8453" max="8698" width="9.140625" style="1298"/>
    <col min="8699" max="8699" width="2.140625" style="1298" customWidth="1"/>
    <col min="8700" max="8700" width="8.7109375" style="1298" customWidth="1"/>
    <col min="8701" max="8701" width="9.85546875" style="1298" customWidth="1"/>
    <col min="8702" max="8702" width="1" style="1298" customWidth="1"/>
    <col min="8703" max="8703" width="10.85546875" style="1298" customWidth="1"/>
    <col min="8704" max="8704" width="1" style="1298" customWidth="1"/>
    <col min="8705" max="8705" width="53.5703125" style="1298" customWidth="1"/>
    <col min="8706" max="8706" width="7.5703125" style="1298" customWidth="1"/>
    <col min="8707" max="8707" width="14.140625" style="1298" customWidth="1"/>
    <col min="8708" max="8708" width="1" style="1298" customWidth="1"/>
    <col min="8709" max="8954" width="9.140625" style="1298"/>
    <col min="8955" max="8955" width="2.140625" style="1298" customWidth="1"/>
    <col min="8956" max="8956" width="8.7109375" style="1298" customWidth="1"/>
    <col min="8957" max="8957" width="9.85546875" style="1298" customWidth="1"/>
    <col min="8958" max="8958" width="1" style="1298" customWidth="1"/>
    <col min="8959" max="8959" width="10.85546875" style="1298" customWidth="1"/>
    <col min="8960" max="8960" width="1" style="1298" customWidth="1"/>
    <col min="8961" max="8961" width="53.5703125" style="1298" customWidth="1"/>
    <col min="8962" max="8962" width="7.5703125" style="1298" customWidth="1"/>
    <col min="8963" max="8963" width="14.140625" style="1298" customWidth="1"/>
    <col min="8964" max="8964" width="1" style="1298" customWidth="1"/>
    <col min="8965" max="9210" width="9.140625" style="1298"/>
    <col min="9211" max="9211" width="2.140625" style="1298" customWidth="1"/>
    <col min="9212" max="9212" width="8.7109375" style="1298" customWidth="1"/>
    <col min="9213" max="9213" width="9.85546875" style="1298" customWidth="1"/>
    <col min="9214" max="9214" width="1" style="1298" customWidth="1"/>
    <col min="9215" max="9215" width="10.85546875" style="1298" customWidth="1"/>
    <col min="9216" max="9216" width="1" style="1298" customWidth="1"/>
    <col min="9217" max="9217" width="53.5703125" style="1298" customWidth="1"/>
    <col min="9218" max="9218" width="7.5703125" style="1298" customWidth="1"/>
    <col min="9219" max="9219" width="14.140625" style="1298" customWidth="1"/>
    <col min="9220" max="9220" width="1" style="1298" customWidth="1"/>
    <col min="9221" max="9466" width="9.140625" style="1298"/>
    <col min="9467" max="9467" width="2.140625" style="1298" customWidth="1"/>
    <col min="9468" max="9468" width="8.7109375" style="1298" customWidth="1"/>
    <col min="9469" max="9469" width="9.85546875" style="1298" customWidth="1"/>
    <col min="9470" max="9470" width="1" style="1298" customWidth="1"/>
    <col min="9471" max="9471" width="10.85546875" style="1298" customWidth="1"/>
    <col min="9472" max="9472" width="1" style="1298" customWidth="1"/>
    <col min="9473" max="9473" width="53.5703125" style="1298" customWidth="1"/>
    <col min="9474" max="9474" width="7.5703125" style="1298" customWidth="1"/>
    <col min="9475" max="9475" width="14.140625" style="1298" customWidth="1"/>
    <col min="9476" max="9476" width="1" style="1298" customWidth="1"/>
    <col min="9477" max="9722" width="9.140625" style="1298"/>
    <col min="9723" max="9723" width="2.140625" style="1298" customWidth="1"/>
    <col min="9724" max="9724" width="8.7109375" style="1298" customWidth="1"/>
    <col min="9725" max="9725" width="9.85546875" style="1298" customWidth="1"/>
    <col min="9726" max="9726" width="1" style="1298" customWidth="1"/>
    <col min="9727" max="9727" width="10.85546875" style="1298" customWidth="1"/>
    <col min="9728" max="9728" width="1" style="1298" customWidth="1"/>
    <col min="9729" max="9729" width="53.5703125" style="1298" customWidth="1"/>
    <col min="9730" max="9730" width="7.5703125" style="1298" customWidth="1"/>
    <col min="9731" max="9731" width="14.140625" style="1298" customWidth="1"/>
    <col min="9732" max="9732" width="1" style="1298" customWidth="1"/>
    <col min="9733" max="9978" width="9.140625" style="1298"/>
    <col min="9979" max="9979" width="2.140625" style="1298" customWidth="1"/>
    <col min="9980" max="9980" width="8.7109375" style="1298" customWidth="1"/>
    <col min="9981" max="9981" width="9.85546875" style="1298" customWidth="1"/>
    <col min="9982" max="9982" width="1" style="1298" customWidth="1"/>
    <col min="9983" max="9983" width="10.85546875" style="1298" customWidth="1"/>
    <col min="9984" max="9984" width="1" style="1298" customWidth="1"/>
    <col min="9985" max="9985" width="53.5703125" style="1298" customWidth="1"/>
    <col min="9986" max="9986" width="7.5703125" style="1298" customWidth="1"/>
    <col min="9987" max="9987" width="14.140625" style="1298" customWidth="1"/>
    <col min="9988" max="9988" width="1" style="1298" customWidth="1"/>
    <col min="9989" max="10234" width="9.140625" style="1298"/>
    <col min="10235" max="10235" width="2.140625" style="1298" customWidth="1"/>
    <col min="10236" max="10236" width="8.7109375" style="1298" customWidth="1"/>
    <col min="10237" max="10237" width="9.85546875" style="1298" customWidth="1"/>
    <col min="10238" max="10238" width="1" style="1298" customWidth="1"/>
    <col min="10239" max="10239" width="10.85546875" style="1298" customWidth="1"/>
    <col min="10240" max="10240" width="1" style="1298" customWidth="1"/>
    <col min="10241" max="10241" width="53.5703125" style="1298" customWidth="1"/>
    <col min="10242" max="10242" width="7.5703125" style="1298" customWidth="1"/>
    <col min="10243" max="10243" width="14.140625" style="1298" customWidth="1"/>
    <col min="10244" max="10244" width="1" style="1298" customWidth="1"/>
    <col min="10245" max="10490" width="9.140625" style="1298"/>
    <col min="10491" max="10491" width="2.140625" style="1298" customWidth="1"/>
    <col min="10492" max="10492" width="8.7109375" style="1298" customWidth="1"/>
    <col min="10493" max="10493" width="9.85546875" style="1298" customWidth="1"/>
    <col min="10494" max="10494" width="1" style="1298" customWidth="1"/>
    <col min="10495" max="10495" width="10.85546875" style="1298" customWidth="1"/>
    <col min="10496" max="10496" width="1" style="1298" customWidth="1"/>
    <col min="10497" max="10497" width="53.5703125" style="1298" customWidth="1"/>
    <col min="10498" max="10498" width="7.5703125" style="1298" customWidth="1"/>
    <col min="10499" max="10499" width="14.140625" style="1298" customWidth="1"/>
    <col min="10500" max="10500" width="1" style="1298" customWidth="1"/>
    <col min="10501" max="10746" width="9.140625" style="1298"/>
    <col min="10747" max="10747" width="2.140625" style="1298" customWidth="1"/>
    <col min="10748" max="10748" width="8.7109375" style="1298" customWidth="1"/>
    <col min="10749" max="10749" width="9.85546875" style="1298" customWidth="1"/>
    <col min="10750" max="10750" width="1" style="1298" customWidth="1"/>
    <col min="10751" max="10751" width="10.85546875" style="1298" customWidth="1"/>
    <col min="10752" max="10752" width="1" style="1298" customWidth="1"/>
    <col min="10753" max="10753" width="53.5703125" style="1298" customWidth="1"/>
    <col min="10754" max="10754" width="7.5703125" style="1298" customWidth="1"/>
    <col min="10755" max="10755" width="14.140625" style="1298" customWidth="1"/>
    <col min="10756" max="10756" width="1" style="1298" customWidth="1"/>
    <col min="10757" max="11002" width="9.140625" style="1298"/>
    <col min="11003" max="11003" width="2.140625" style="1298" customWidth="1"/>
    <col min="11004" max="11004" width="8.7109375" style="1298" customWidth="1"/>
    <col min="11005" max="11005" width="9.85546875" style="1298" customWidth="1"/>
    <col min="11006" max="11006" width="1" style="1298" customWidth="1"/>
    <col min="11007" max="11007" width="10.85546875" style="1298" customWidth="1"/>
    <col min="11008" max="11008" width="1" style="1298" customWidth="1"/>
    <col min="11009" max="11009" width="53.5703125" style="1298" customWidth="1"/>
    <col min="11010" max="11010" width="7.5703125" style="1298" customWidth="1"/>
    <col min="11011" max="11011" width="14.140625" style="1298" customWidth="1"/>
    <col min="11012" max="11012" width="1" style="1298" customWidth="1"/>
    <col min="11013" max="11258" width="9.140625" style="1298"/>
    <col min="11259" max="11259" width="2.140625" style="1298" customWidth="1"/>
    <col min="11260" max="11260" width="8.7109375" style="1298" customWidth="1"/>
    <col min="11261" max="11261" width="9.85546875" style="1298" customWidth="1"/>
    <col min="11262" max="11262" width="1" style="1298" customWidth="1"/>
    <col min="11263" max="11263" width="10.85546875" style="1298" customWidth="1"/>
    <col min="11264" max="11264" width="1" style="1298" customWidth="1"/>
    <col min="11265" max="11265" width="53.5703125" style="1298" customWidth="1"/>
    <col min="11266" max="11266" width="7.5703125" style="1298" customWidth="1"/>
    <col min="11267" max="11267" width="14.140625" style="1298" customWidth="1"/>
    <col min="11268" max="11268" width="1" style="1298" customWidth="1"/>
    <col min="11269" max="11514" width="9.140625" style="1298"/>
    <col min="11515" max="11515" width="2.140625" style="1298" customWidth="1"/>
    <col min="11516" max="11516" width="8.7109375" style="1298" customWidth="1"/>
    <col min="11517" max="11517" width="9.85546875" style="1298" customWidth="1"/>
    <col min="11518" max="11518" width="1" style="1298" customWidth="1"/>
    <col min="11519" max="11519" width="10.85546875" style="1298" customWidth="1"/>
    <col min="11520" max="11520" width="1" style="1298" customWidth="1"/>
    <col min="11521" max="11521" width="53.5703125" style="1298" customWidth="1"/>
    <col min="11522" max="11522" width="7.5703125" style="1298" customWidth="1"/>
    <col min="11523" max="11523" width="14.140625" style="1298" customWidth="1"/>
    <col min="11524" max="11524" width="1" style="1298" customWidth="1"/>
    <col min="11525" max="11770" width="9.140625" style="1298"/>
    <col min="11771" max="11771" width="2.140625" style="1298" customWidth="1"/>
    <col min="11772" max="11772" width="8.7109375" style="1298" customWidth="1"/>
    <col min="11773" max="11773" width="9.85546875" style="1298" customWidth="1"/>
    <col min="11774" max="11774" width="1" style="1298" customWidth="1"/>
    <col min="11775" max="11775" width="10.85546875" style="1298" customWidth="1"/>
    <col min="11776" max="11776" width="1" style="1298" customWidth="1"/>
    <col min="11777" max="11777" width="53.5703125" style="1298" customWidth="1"/>
    <col min="11778" max="11778" width="7.5703125" style="1298" customWidth="1"/>
    <col min="11779" max="11779" width="14.140625" style="1298" customWidth="1"/>
    <col min="11780" max="11780" width="1" style="1298" customWidth="1"/>
    <col min="11781" max="12026" width="9.140625" style="1298"/>
    <col min="12027" max="12027" width="2.140625" style="1298" customWidth="1"/>
    <col min="12028" max="12028" width="8.7109375" style="1298" customWidth="1"/>
    <col min="12029" max="12029" width="9.85546875" style="1298" customWidth="1"/>
    <col min="12030" max="12030" width="1" style="1298" customWidth="1"/>
    <col min="12031" max="12031" width="10.85546875" style="1298" customWidth="1"/>
    <col min="12032" max="12032" width="1" style="1298" customWidth="1"/>
    <col min="12033" max="12033" width="53.5703125" style="1298" customWidth="1"/>
    <col min="12034" max="12034" width="7.5703125" style="1298" customWidth="1"/>
    <col min="12035" max="12035" width="14.140625" style="1298" customWidth="1"/>
    <col min="12036" max="12036" width="1" style="1298" customWidth="1"/>
    <col min="12037" max="12282" width="9.140625" style="1298"/>
    <col min="12283" max="12283" width="2.140625" style="1298" customWidth="1"/>
    <col min="12284" max="12284" width="8.7109375" style="1298" customWidth="1"/>
    <col min="12285" max="12285" width="9.85546875" style="1298" customWidth="1"/>
    <col min="12286" max="12286" width="1" style="1298" customWidth="1"/>
    <col min="12287" max="12287" width="10.85546875" style="1298" customWidth="1"/>
    <col min="12288" max="12288" width="1" style="1298" customWidth="1"/>
    <col min="12289" max="12289" width="53.5703125" style="1298" customWidth="1"/>
    <col min="12290" max="12290" width="7.5703125" style="1298" customWidth="1"/>
    <col min="12291" max="12291" width="14.140625" style="1298" customWidth="1"/>
    <col min="12292" max="12292" width="1" style="1298" customWidth="1"/>
    <col min="12293" max="12538" width="9.140625" style="1298"/>
    <col min="12539" max="12539" width="2.140625" style="1298" customWidth="1"/>
    <col min="12540" max="12540" width="8.7109375" style="1298" customWidth="1"/>
    <col min="12541" max="12541" width="9.85546875" style="1298" customWidth="1"/>
    <col min="12542" max="12542" width="1" style="1298" customWidth="1"/>
    <col min="12543" max="12543" width="10.85546875" style="1298" customWidth="1"/>
    <col min="12544" max="12544" width="1" style="1298" customWidth="1"/>
    <col min="12545" max="12545" width="53.5703125" style="1298" customWidth="1"/>
    <col min="12546" max="12546" width="7.5703125" style="1298" customWidth="1"/>
    <col min="12547" max="12547" width="14.140625" style="1298" customWidth="1"/>
    <col min="12548" max="12548" width="1" style="1298" customWidth="1"/>
    <col min="12549" max="12794" width="9.140625" style="1298"/>
    <col min="12795" max="12795" width="2.140625" style="1298" customWidth="1"/>
    <col min="12796" max="12796" width="8.7109375" style="1298" customWidth="1"/>
    <col min="12797" max="12797" width="9.85546875" style="1298" customWidth="1"/>
    <col min="12798" max="12798" width="1" style="1298" customWidth="1"/>
    <col min="12799" max="12799" width="10.85546875" style="1298" customWidth="1"/>
    <col min="12800" max="12800" width="1" style="1298" customWidth="1"/>
    <col min="12801" max="12801" width="53.5703125" style="1298" customWidth="1"/>
    <col min="12802" max="12802" width="7.5703125" style="1298" customWidth="1"/>
    <col min="12803" max="12803" width="14.140625" style="1298" customWidth="1"/>
    <col min="12804" max="12804" width="1" style="1298" customWidth="1"/>
    <col min="12805" max="13050" width="9.140625" style="1298"/>
    <col min="13051" max="13051" width="2.140625" style="1298" customWidth="1"/>
    <col min="13052" max="13052" width="8.7109375" style="1298" customWidth="1"/>
    <col min="13053" max="13053" width="9.85546875" style="1298" customWidth="1"/>
    <col min="13054" max="13054" width="1" style="1298" customWidth="1"/>
    <col min="13055" max="13055" width="10.85546875" style="1298" customWidth="1"/>
    <col min="13056" max="13056" width="1" style="1298" customWidth="1"/>
    <col min="13057" max="13057" width="53.5703125" style="1298" customWidth="1"/>
    <col min="13058" max="13058" width="7.5703125" style="1298" customWidth="1"/>
    <col min="13059" max="13059" width="14.140625" style="1298" customWidth="1"/>
    <col min="13060" max="13060" width="1" style="1298" customWidth="1"/>
    <col min="13061" max="13306" width="9.140625" style="1298"/>
    <col min="13307" max="13307" width="2.140625" style="1298" customWidth="1"/>
    <col min="13308" max="13308" width="8.7109375" style="1298" customWidth="1"/>
    <col min="13309" max="13309" width="9.85546875" style="1298" customWidth="1"/>
    <col min="13310" max="13310" width="1" style="1298" customWidth="1"/>
    <col min="13311" max="13311" width="10.85546875" style="1298" customWidth="1"/>
    <col min="13312" max="13312" width="1" style="1298" customWidth="1"/>
    <col min="13313" max="13313" width="53.5703125" style="1298" customWidth="1"/>
    <col min="13314" max="13314" width="7.5703125" style="1298" customWidth="1"/>
    <col min="13315" max="13315" width="14.140625" style="1298" customWidth="1"/>
    <col min="13316" max="13316" width="1" style="1298" customWidth="1"/>
    <col min="13317" max="13562" width="9.140625" style="1298"/>
    <col min="13563" max="13563" width="2.140625" style="1298" customWidth="1"/>
    <col min="13564" max="13564" width="8.7109375" style="1298" customWidth="1"/>
    <col min="13565" max="13565" width="9.85546875" style="1298" customWidth="1"/>
    <col min="13566" max="13566" width="1" style="1298" customWidth="1"/>
    <col min="13567" max="13567" width="10.85546875" style="1298" customWidth="1"/>
    <col min="13568" max="13568" width="1" style="1298" customWidth="1"/>
    <col min="13569" max="13569" width="53.5703125" style="1298" customWidth="1"/>
    <col min="13570" max="13570" width="7.5703125" style="1298" customWidth="1"/>
    <col min="13571" max="13571" width="14.140625" style="1298" customWidth="1"/>
    <col min="13572" max="13572" width="1" style="1298" customWidth="1"/>
    <col min="13573" max="13818" width="9.140625" style="1298"/>
    <col min="13819" max="13819" width="2.140625" style="1298" customWidth="1"/>
    <col min="13820" max="13820" width="8.7109375" style="1298" customWidth="1"/>
    <col min="13821" max="13821" width="9.85546875" style="1298" customWidth="1"/>
    <col min="13822" max="13822" width="1" style="1298" customWidth="1"/>
    <col min="13823" max="13823" width="10.85546875" style="1298" customWidth="1"/>
    <col min="13824" max="13824" width="1" style="1298" customWidth="1"/>
    <col min="13825" max="13825" width="53.5703125" style="1298" customWidth="1"/>
    <col min="13826" max="13826" width="7.5703125" style="1298" customWidth="1"/>
    <col min="13827" max="13827" width="14.140625" style="1298" customWidth="1"/>
    <col min="13828" max="13828" width="1" style="1298" customWidth="1"/>
    <col min="13829" max="14074" width="9.140625" style="1298"/>
    <col min="14075" max="14075" width="2.140625" style="1298" customWidth="1"/>
    <col min="14076" max="14076" width="8.7109375" style="1298" customWidth="1"/>
    <col min="14077" max="14077" width="9.85546875" style="1298" customWidth="1"/>
    <col min="14078" max="14078" width="1" style="1298" customWidth="1"/>
    <col min="14079" max="14079" width="10.85546875" style="1298" customWidth="1"/>
    <col min="14080" max="14080" width="1" style="1298" customWidth="1"/>
    <col min="14081" max="14081" width="53.5703125" style="1298" customWidth="1"/>
    <col min="14082" max="14082" width="7.5703125" style="1298" customWidth="1"/>
    <col min="14083" max="14083" width="14.140625" style="1298" customWidth="1"/>
    <col min="14084" max="14084" width="1" style="1298" customWidth="1"/>
    <col min="14085" max="14330" width="9.140625" style="1298"/>
    <col min="14331" max="14331" width="2.140625" style="1298" customWidth="1"/>
    <col min="14332" max="14332" width="8.7109375" style="1298" customWidth="1"/>
    <col min="14333" max="14333" width="9.85546875" style="1298" customWidth="1"/>
    <col min="14334" max="14334" width="1" style="1298" customWidth="1"/>
    <col min="14335" max="14335" width="10.85546875" style="1298" customWidth="1"/>
    <col min="14336" max="14336" width="1" style="1298" customWidth="1"/>
    <col min="14337" max="14337" width="53.5703125" style="1298" customWidth="1"/>
    <col min="14338" max="14338" width="7.5703125" style="1298" customWidth="1"/>
    <col min="14339" max="14339" width="14.140625" style="1298" customWidth="1"/>
    <col min="14340" max="14340" width="1" style="1298" customWidth="1"/>
    <col min="14341" max="14586" width="9.140625" style="1298"/>
    <col min="14587" max="14587" width="2.140625" style="1298" customWidth="1"/>
    <col min="14588" max="14588" width="8.7109375" style="1298" customWidth="1"/>
    <col min="14589" max="14589" width="9.85546875" style="1298" customWidth="1"/>
    <col min="14590" max="14590" width="1" style="1298" customWidth="1"/>
    <col min="14591" max="14591" width="10.85546875" style="1298" customWidth="1"/>
    <col min="14592" max="14592" width="1" style="1298" customWidth="1"/>
    <col min="14593" max="14593" width="53.5703125" style="1298" customWidth="1"/>
    <col min="14594" max="14594" width="7.5703125" style="1298" customWidth="1"/>
    <col min="14595" max="14595" width="14.140625" style="1298" customWidth="1"/>
    <col min="14596" max="14596" width="1" style="1298" customWidth="1"/>
    <col min="14597" max="14842" width="9.140625" style="1298"/>
    <col min="14843" max="14843" width="2.140625" style="1298" customWidth="1"/>
    <col min="14844" max="14844" width="8.7109375" style="1298" customWidth="1"/>
    <col min="14845" max="14845" width="9.85546875" style="1298" customWidth="1"/>
    <col min="14846" max="14846" width="1" style="1298" customWidth="1"/>
    <col min="14847" max="14847" width="10.85546875" style="1298" customWidth="1"/>
    <col min="14848" max="14848" width="1" style="1298" customWidth="1"/>
    <col min="14849" max="14849" width="53.5703125" style="1298" customWidth="1"/>
    <col min="14850" max="14850" width="7.5703125" style="1298" customWidth="1"/>
    <col min="14851" max="14851" width="14.140625" style="1298" customWidth="1"/>
    <col min="14852" max="14852" width="1" style="1298" customWidth="1"/>
    <col min="14853" max="15098" width="9.140625" style="1298"/>
    <col min="15099" max="15099" width="2.140625" style="1298" customWidth="1"/>
    <col min="15100" max="15100" width="8.7109375" style="1298" customWidth="1"/>
    <col min="15101" max="15101" width="9.85546875" style="1298" customWidth="1"/>
    <col min="15102" max="15102" width="1" style="1298" customWidth="1"/>
    <col min="15103" max="15103" width="10.85546875" style="1298" customWidth="1"/>
    <col min="15104" max="15104" width="1" style="1298" customWidth="1"/>
    <col min="15105" max="15105" width="53.5703125" style="1298" customWidth="1"/>
    <col min="15106" max="15106" width="7.5703125" style="1298" customWidth="1"/>
    <col min="15107" max="15107" width="14.140625" style="1298" customWidth="1"/>
    <col min="15108" max="15108" width="1" style="1298" customWidth="1"/>
    <col min="15109" max="15354" width="9.140625" style="1298"/>
    <col min="15355" max="15355" width="2.140625" style="1298" customWidth="1"/>
    <col min="15356" max="15356" width="8.7109375" style="1298" customWidth="1"/>
    <col min="15357" max="15357" width="9.85546875" style="1298" customWidth="1"/>
    <col min="15358" max="15358" width="1" style="1298" customWidth="1"/>
    <col min="15359" max="15359" width="10.85546875" style="1298" customWidth="1"/>
    <col min="15360" max="15360" width="1" style="1298" customWidth="1"/>
    <col min="15361" max="15361" width="53.5703125" style="1298" customWidth="1"/>
    <col min="15362" max="15362" width="7.5703125" style="1298" customWidth="1"/>
    <col min="15363" max="15363" width="14.140625" style="1298" customWidth="1"/>
    <col min="15364" max="15364" width="1" style="1298" customWidth="1"/>
    <col min="15365" max="15610" width="9.140625" style="1298"/>
    <col min="15611" max="15611" width="2.140625" style="1298" customWidth="1"/>
    <col min="15612" max="15612" width="8.7109375" style="1298" customWidth="1"/>
    <col min="15613" max="15613" width="9.85546875" style="1298" customWidth="1"/>
    <col min="15614" max="15614" width="1" style="1298" customWidth="1"/>
    <col min="15615" max="15615" width="10.85546875" style="1298" customWidth="1"/>
    <col min="15616" max="15616" width="1" style="1298" customWidth="1"/>
    <col min="15617" max="15617" width="53.5703125" style="1298" customWidth="1"/>
    <col min="15618" max="15618" width="7.5703125" style="1298" customWidth="1"/>
    <col min="15619" max="15619" width="14.140625" style="1298" customWidth="1"/>
    <col min="15620" max="15620" width="1" style="1298" customWidth="1"/>
    <col min="15621" max="15866" width="9.140625" style="1298"/>
    <col min="15867" max="15867" width="2.140625" style="1298" customWidth="1"/>
    <col min="15868" max="15868" width="8.7109375" style="1298" customWidth="1"/>
    <col min="15869" max="15869" width="9.85546875" style="1298" customWidth="1"/>
    <col min="15870" max="15870" width="1" style="1298" customWidth="1"/>
    <col min="15871" max="15871" width="10.85546875" style="1298" customWidth="1"/>
    <col min="15872" max="15872" width="1" style="1298" customWidth="1"/>
    <col min="15873" max="15873" width="53.5703125" style="1298" customWidth="1"/>
    <col min="15874" max="15874" width="7.5703125" style="1298" customWidth="1"/>
    <col min="15875" max="15875" width="14.140625" style="1298" customWidth="1"/>
    <col min="15876" max="15876" width="1" style="1298" customWidth="1"/>
    <col min="15877" max="16122" width="9.140625" style="1298"/>
    <col min="16123" max="16123" width="2.140625" style="1298" customWidth="1"/>
    <col min="16124" max="16124" width="8.7109375" style="1298" customWidth="1"/>
    <col min="16125" max="16125" width="9.85546875" style="1298" customWidth="1"/>
    <col min="16126" max="16126" width="1" style="1298" customWidth="1"/>
    <col min="16127" max="16127" width="10.85546875" style="1298" customWidth="1"/>
    <col min="16128" max="16128" width="1" style="1298" customWidth="1"/>
    <col min="16129" max="16129" width="53.5703125" style="1298" customWidth="1"/>
    <col min="16130" max="16130" width="7.5703125" style="1298" customWidth="1"/>
    <col min="16131" max="16131" width="14.140625" style="1298" customWidth="1"/>
    <col min="16132" max="16132" width="1" style="1298" customWidth="1"/>
    <col min="16133" max="16384" width="9.140625" style="1298"/>
  </cols>
  <sheetData>
    <row r="1" spans="1:13" s="1340" customFormat="1" x14ac:dyDescent="0.2"/>
    <row r="2" spans="1:13" x14ac:dyDescent="0.2">
      <c r="H2" s="1310" t="s">
        <v>1444</v>
      </c>
    </row>
    <row r="4" spans="1:13" ht="15" customHeight="1" x14ac:dyDescent="0.25">
      <c r="A4" s="1968" t="s">
        <v>1445</v>
      </c>
      <c r="B4" s="1968"/>
      <c r="C4" s="1968"/>
      <c r="D4" s="1968"/>
      <c r="E4" s="1968"/>
      <c r="F4" s="1968"/>
      <c r="G4" s="1968"/>
      <c r="H4" s="1968"/>
      <c r="I4" s="1968"/>
      <c r="J4" s="1968"/>
      <c r="K4" s="1968"/>
    </row>
    <row r="5" spans="1:13" ht="14.25" customHeight="1" x14ac:dyDescent="0.25">
      <c r="A5" s="1968" t="s">
        <v>1446</v>
      </c>
      <c r="B5" s="1968"/>
      <c r="C5" s="1968"/>
      <c r="D5" s="1968"/>
      <c r="E5" s="1968"/>
      <c r="F5" s="1968"/>
      <c r="G5" s="1968"/>
      <c r="H5" s="1968"/>
      <c r="I5" s="1968"/>
      <c r="J5" s="1968"/>
      <c r="K5" s="1968"/>
    </row>
    <row r="6" spans="1:13" ht="14.25" customHeight="1" x14ac:dyDescent="0.2">
      <c r="A6" s="1311"/>
      <c r="B6" s="1311"/>
      <c r="C6" s="1311"/>
      <c r="D6" s="1311"/>
      <c r="E6" s="1311"/>
      <c r="F6" s="1311"/>
      <c r="G6" s="1311"/>
      <c r="H6" s="1311"/>
      <c r="I6" s="1311"/>
      <c r="J6" s="1311"/>
      <c r="K6" s="1311"/>
    </row>
    <row r="7" spans="1:13" ht="34.9" customHeight="1" x14ac:dyDescent="0.2">
      <c r="A7" s="1969" t="s">
        <v>0</v>
      </c>
      <c r="B7" s="1969" t="s">
        <v>1</v>
      </c>
      <c r="C7" s="1969" t="s">
        <v>131</v>
      </c>
      <c r="D7" s="2012" t="s">
        <v>291</v>
      </c>
      <c r="E7" s="2013" t="s">
        <v>1439</v>
      </c>
      <c r="F7" s="2014" t="s">
        <v>1440</v>
      </c>
      <c r="G7" s="2017" t="s">
        <v>1438</v>
      </c>
      <c r="H7" s="2018" t="s">
        <v>1441</v>
      </c>
      <c r="I7" s="1306" t="s">
        <v>108</v>
      </c>
      <c r="J7" s="2011" t="s">
        <v>91</v>
      </c>
      <c r="K7" s="2020" t="s">
        <v>1443</v>
      </c>
      <c r="L7" s="2021" t="s">
        <v>1447</v>
      </c>
    </row>
    <row r="8" spans="1:13" ht="56.25" customHeight="1" x14ac:dyDescent="0.2">
      <c r="A8" s="1969"/>
      <c r="B8" s="1969"/>
      <c r="C8" s="1969"/>
      <c r="D8" s="2012"/>
      <c r="E8" s="2013"/>
      <c r="F8" s="2014"/>
      <c r="G8" s="2017"/>
      <c r="H8" s="2019"/>
      <c r="I8" s="1338" t="s">
        <v>1442</v>
      </c>
      <c r="J8" s="2011"/>
      <c r="K8" s="2020"/>
      <c r="L8" s="2022"/>
    </row>
    <row r="9" spans="1:13" x14ac:dyDescent="0.2">
      <c r="A9" s="1327" t="s">
        <v>8</v>
      </c>
      <c r="B9" s="1327"/>
      <c r="C9" s="1327"/>
      <c r="D9" s="1328" t="s">
        <v>9</v>
      </c>
      <c r="E9" s="1329">
        <f>E10+E12+E14</f>
        <v>38000</v>
      </c>
      <c r="F9" s="1330">
        <f t="shared" ref="F9:L9" si="0">F10+F12+F14</f>
        <v>921456</v>
      </c>
      <c r="G9" s="1331">
        <f t="shared" si="0"/>
        <v>959456</v>
      </c>
      <c r="H9" s="1332">
        <f t="shared" si="0"/>
        <v>956123.4</v>
      </c>
      <c r="I9" s="1330">
        <f t="shared" si="0"/>
        <v>0</v>
      </c>
      <c r="J9" s="1333">
        <f>H9/G9</f>
        <v>0.99652657339158857</v>
      </c>
      <c r="K9" s="1330">
        <f t="shared" si="0"/>
        <v>704</v>
      </c>
      <c r="L9" s="1915">
        <f t="shared" si="0"/>
        <v>0</v>
      </c>
      <c r="M9" s="1307"/>
    </row>
    <row r="10" spans="1:13" ht="15" x14ac:dyDescent="0.2">
      <c r="A10" s="1299"/>
      <c r="B10" s="1305" t="s">
        <v>324</v>
      </c>
      <c r="C10" s="1300"/>
      <c r="D10" s="1312" t="s">
        <v>325</v>
      </c>
      <c r="E10" s="1317">
        <f>E11</f>
        <v>20000</v>
      </c>
      <c r="F10" s="1321">
        <f t="shared" ref="F10:L10" si="1">F11</f>
        <v>0</v>
      </c>
      <c r="G10" s="1320" t="str">
        <f t="shared" si="1"/>
        <v>20 000,00</v>
      </c>
      <c r="H10" s="1324">
        <f t="shared" si="1"/>
        <v>20000</v>
      </c>
      <c r="I10" s="1321">
        <f t="shared" si="1"/>
        <v>0</v>
      </c>
      <c r="J10" s="1326">
        <f>H10/G10</f>
        <v>1</v>
      </c>
      <c r="K10" s="1321">
        <f t="shared" si="1"/>
        <v>0</v>
      </c>
      <c r="L10" s="1916">
        <f t="shared" si="1"/>
        <v>0</v>
      </c>
      <c r="M10" s="1307"/>
    </row>
    <row r="11" spans="1:13" ht="56.25" x14ac:dyDescent="0.2">
      <c r="A11" s="1302"/>
      <c r="B11" s="1302"/>
      <c r="C11" s="1303" t="s">
        <v>883</v>
      </c>
      <c r="D11" s="1313" t="s">
        <v>884</v>
      </c>
      <c r="E11" s="1318">
        <v>20000</v>
      </c>
      <c r="F11" s="1322">
        <f>G11-E11</f>
        <v>0</v>
      </c>
      <c r="G11" s="1316" t="s">
        <v>632</v>
      </c>
      <c r="H11" s="1325">
        <v>20000</v>
      </c>
      <c r="I11" s="1308">
        <v>0</v>
      </c>
      <c r="J11" s="1658">
        <f t="shared" ref="J11:J74" si="2">H11/G11</f>
        <v>1</v>
      </c>
      <c r="K11" s="1308">
        <v>0</v>
      </c>
      <c r="L11" s="1308">
        <v>0</v>
      </c>
      <c r="M11" s="1307"/>
    </row>
    <row r="12" spans="1:13" ht="15" x14ac:dyDescent="0.2">
      <c r="A12" s="1299"/>
      <c r="B12" s="1305" t="s">
        <v>885</v>
      </c>
      <c r="C12" s="1300"/>
      <c r="D12" s="1312" t="s">
        <v>886</v>
      </c>
      <c r="E12" s="1317">
        <f>E13</f>
        <v>17000</v>
      </c>
      <c r="F12" s="1321">
        <f t="shared" ref="F12:L12" si="3">F13</f>
        <v>0</v>
      </c>
      <c r="G12" s="1320" t="str">
        <f t="shared" si="3"/>
        <v>17 000,00</v>
      </c>
      <c r="H12" s="1324">
        <f t="shared" si="3"/>
        <v>14668</v>
      </c>
      <c r="I12" s="1321">
        <f t="shared" si="3"/>
        <v>0</v>
      </c>
      <c r="J12" s="1326">
        <f t="shared" si="2"/>
        <v>0.86282352941176466</v>
      </c>
      <c r="K12" s="1321">
        <f t="shared" si="3"/>
        <v>704</v>
      </c>
      <c r="L12" s="1916">
        <f t="shared" si="3"/>
        <v>0</v>
      </c>
      <c r="M12" s="1307"/>
    </row>
    <row r="13" spans="1:13" ht="33.75" x14ac:dyDescent="0.2">
      <c r="A13" s="1302"/>
      <c r="B13" s="1302"/>
      <c r="C13" s="1303" t="s">
        <v>888</v>
      </c>
      <c r="D13" s="1313" t="s">
        <v>889</v>
      </c>
      <c r="E13" s="1318">
        <v>17000</v>
      </c>
      <c r="F13" s="1322">
        <f>G13-E13</f>
        <v>0</v>
      </c>
      <c r="G13" s="1316" t="s">
        <v>887</v>
      </c>
      <c r="H13" s="1325">
        <v>14668</v>
      </c>
      <c r="I13" s="1308">
        <v>0</v>
      </c>
      <c r="J13" s="1658">
        <f t="shared" si="2"/>
        <v>0.86282352941176466</v>
      </c>
      <c r="K13" s="1308">
        <v>704</v>
      </c>
      <c r="L13" s="1308">
        <v>0</v>
      </c>
      <c r="M13" s="1307"/>
    </row>
    <row r="14" spans="1:13" ht="15" x14ac:dyDescent="0.2">
      <c r="A14" s="1299"/>
      <c r="B14" s="1305" t="s">
        <v>10</v>
      </c>
      <c r="C14" s="1300"/>
      <c r="D14" s="1312" t="s">
        <v>11</v>
      </c>
      <c r="E14" s="1317">
        <f>E15+E16+E17+E18+E19+E20+E21</f>
        <v>1000</v>
      </c>
      <c r="F14" s="1321">
        <f t="shared" ref="F14:L14" si="4">F15+F16+F17+F18+F19+F20+F21</f>
        <v>921456</v>
      </c>
      <c r="G14" s="1320">
        <f t="shared" si="4"/>
        <v>922456</v>
      </c>
      <c r="H14" s="1324">
        <f t="shared" si="4"/>
        <v>921455.4</v>
      </c>
      <c r="I14" s="1321">
        <f t="shared" si="4"/>
        <v>0</v>
      </c>
      <c r="J14" s="1326">
        <f t="shared" si="2"/>
        <v>0.99891528701639976</v>
      </c>
      <c r="K14" s="1321">
        <f t="shared" si="4"/>
        <v>0</v>
      </c>
      <c r="L14" s="1916">
        <f t="shared" si="4"/>
        <v>0</v>
      </c>
      <c r="M14" s="1307"/>
    </row>
    <row r="15" spans="1:13" ht="22.5" x14ac:dyDescent="0.2">
      <c r="A15" s="1302"/>
      <c r="B15" s="1302"/>
      <c r="C15" s="1303" t="s">
        <v>890</v>
      </c>
      <c r="D15" s="1313" t="s">
        <v>13</v>
      </c>
      <c r="E15" s="1318">
        <v>0</v>
      </c>
      <c r="F15" s="1322">
        <f>G15-E15</f>
        <v>6919.5</v>
      </c>
      <c r="G15" s="1316" t="s">
        <v>891</v>
      </c>
      <c r="H15" s="1325">
        <v>6919.5</v>
      </c>
      <c r="I15" s="1308">
        <v>0</v>
      </c>
      <c r="J15" s="1658">
        <f t="shared" si="2"/>
        <v>1</v>
      </c>
      <c r="K15" s="1308">
        <v>0</v>
      </c>
      <c r="L15" s="1308">
        <v>0</v>
      </c>
      <c r="M15" s="1307"/>
    </row>
    <row r="16" spans="1:13" x14ac:dyDescent="0.2">
      <c r="A16" s="1302"/>
      <c r="B16" s="1302"/>
      <c r="C16" s="1303" t="s">
        <v>447</v>
      </c>
      <c r="D16" s="1313" t="s">
        <v>14</v>
      </c>
      <c r="E16" s="1318">
        <v>0</v>
      </c>
      <c r="F16" s="1322">
        <f t="shared" ref="F16:F21" si="5">G16-E16</f>
        <v>1562.84</v>
      </c>
      <c r="G16" s="1316" t="s">
        <v>892</v>
      </c>
      <c r="H16" s="1325">
        <v>1562.84</v>
      </c>
      <c r="I16" s="1308">
        <v>0</v>
      </c>
      <c r="J16" s="1658">
        <f t="shared" si="2"/>
        <v>1</v>
      </c>
      <c r="K16" s="1308">
        <v>0</v>
      </c>
      <c r="L16" s="1308">
        <v>0</v>
      </c>
      <c r="M16" s="1307"/>
    </row>
    <row r="17" spans="1:13" x14ac:dyDescent="0.2">
      <c r="A17" s="1302"/>
      <c r="B17" s="1302"/>
      <c r="C17" s="1303" t="s">
        <v>450</v>
      </c>
      <c r="D17" s="1313" t="s">
        <v>15</v>
      </c>
      <c r="E17" s="1318">
        <v>0</v>
      </c>
      <c r="F17" s="1322">
        <f t="shared" si="5"/>
        <v>219.56</v>
      </c>
      <c r="G17" s="1316" t="s">
        <v>893</v>
      </c>
      <c r="H17" s="1325">
        <v>219.56</v>
      </c>
      <c r="I17" s="1308">
        <v>0</v>
      </c>
      <c r="J17" s="1658">
        <f t="shared" si="2"/>
        <v>1</v>
      </c>
      <c r="K17" s="1308">
        <v>0</v>
      </c>
      <c r="L17" s="1308">
        <v>0</v>
      </c>
      <c r="M17" s="1307"/>
    </row>
    <row r="18" spans="1:13" x14ac:dyDescent="0.2">
      <c r="A18" s="1302"/>
      <c r="B18" s="1302"/>
      <c r="C18" s="1303" t="s">
        <v>442</v>
      </c>
      <c r="D18" s="1313" t="s">
        <v>31</v>
      </c>
      <c r="E18" s="1318">
        <v>0</v>
      </c>
      <c r="F18" s="1322">
        <f t="shared" si="5"/>
        <v>2200</v>
      </c>
      <c r="G18" s="1316" t="s">
        <v>894</v>
      </c>
      <c r="H18" s="1325">
        <v>2200</v>
      </c>
      <c r="I18" s="1308">
        <v>0</v>
      </c>
      <c r="J18" s="1658">
        <f t="shared" si="2"/>
        <v>1</v>
      </c>
      <c r="K18" s="1308">
        <v>0</v>
      </c>
      <c r="L18" s="1308">
        <v>0</v>
      </c>
      <c r="M18" s="1307"/>
    </row>
    <row r="19" spans="1:13" x14ac:dyDescent="0.2">
      <c r="A19" s="1302"/>
      <c r="B19" s="1302"/>
      <c r="C19" s="1303" t="s">
        <v>391</v>
      </c>
      <c r="D19" s="1313" t="s">
        <v>17</v>
      </c>
      <c r="E19" s="1318">
        <v>0</v>
      </c>
      <c r="F19" s="1322">
        <f t="shared" si="5"/>
        <v>28106.73</v>
      </c>
      <c r="G19" s="1316" t="s">
        <v>895</v>
      </c>
      <c r="H19" s="1325">
        <v>28106.73</v>
      </c>
      <c r="I19" s="1308">
        <v>0</v>
      </c>
      <c r="J19" s="1658">
        <f t="shared" si="2"/>
        <v>1</v>
      </c>
      <c r="K19" s="1308">
        <v>0</v>
      </c>
      <c r="L19" s="1308">
        <v>0</v>
      </c>
      <c r="M19" s="1307"/>
    </row>
    <row r="20" spans="1:13" x14ac:dyDescent="0.2">
      <c r="A20" s="1302"/>
      <c r="B20" s="1302"/>
      <c r="C20" s="1303" t="s">
        <v>404</v>
      </c>
      <c r="D20" s="1313" t="s">
        <v>18</v>
      </c>
      <c r="E20" s="1318">
        <v>1000</v>
      </c>
      <c r="F20" s="1322">
        <f t="shared" si="5"/>
        <v>12603.25</v>
      </c>
      <c r="G20" s="1316" t="s">
        <v>896</v>
      </c>
      <c r="H20" s="1325">
        <v>12602.65</v>
      </c>
      <c r="I20" s="1308">
        <v>0</v>
      </c>
      <c r="J20" s="1658">
        <f t="shared" si="2"/>
        <v>0.92644404829728189</v>
      </c>
      <c r="K20" s="1308">
        <v>0</v>
      </c>
      <c r="L20" s="1308">
        <v>0</v>
      </c>
      <c r="M20" s="1307"/>
    </row>
    <row r="21" spans="1:13" x14ac:dyDescent="0.2">
      <c r="A21" s="1302"/>
      <c r="B21" s="1302"/>
      <c r="C21" s="1303" t="s">
        <v>897</v>
      </c>
      <c r="D21" s="1313" t="s">
        <v>19</v>
      </c>
      <c r="E21" s="1318">
        <v>0</v>
      </c>
      <c r="F21" s="1322">
        <f t="shared" si="5"/>
        <v>869844.12</v>
      </c>
      <c r="G21" s="1316" t="s">
        <v>898</v>
      </c>
      <c r="H21" s="1325">
        <v>869844.12</v>
      </c>
      <c r="I21" s="1308">
        <v>0</v>
      </c>
      <c r="J21" s="1658">
        <f t="shared" si="2"/>
        <v>1</v>
      </c>
      <c r="K21" s="1308">
        <v>0</v>
      </c>
      <c r="L21" s="1308">
        <v>0</v>
      </c>
      <c r="M21" s="1307"/>
    </row>
    <row r="22" spans="1:13" x14ac:dyDescent="0.2">
      <c r="A22" s="1334" t="s">
        <v>643</v>
      </c>
      <c r="B22" s="1334"/>
      <c r="C22" s="1334"/>
      <c r="D22" s="1335" t="s">
        <v>644</v>
      </c>
      <c r="E22" s="1336">
        <f>E23</f>
        <v>25000</v>
      </c>
      <c r="F22" s="1330">
        <f t="shared" ref="F22:L22" si="6">F23</f>
        <v>0</v>
      </c>
      <c r="G22" s="1337">
        <f t="shared" si="6"/>
        <v>25000</v>
      </c>
      <c r="H22" s="1336">
        <f t="shared" si="6"/>
        <v>19322.57</v>
      </c>
      <c r="I22" s="1330">
        <f t="shared" si="6"/>
        <v>0</v>
      </c>
      <c r="J22" s="1333">
        <f t="shared" si="2"/>
        <v>0.7729028</v>
      </c>
      <c r="K22" s="1330">
        <f t="shared" si="6"/>
        <v>23.39</v>
      </c>
      <c r="L22" s="1917">
        <f t="shared" si="6"/>
        <v>0</v>
      </c>
      <c r="M22" s="1307"/>
    </row>
    <row r="23" spans="1:13" ht="15" x14ac:dyDescent="0.2">
      <c r="A23" s="1299"/>
      <c r="B23" s="1305" t="s">
        <v>646</v>
      </c>
      <c r="C23" s="1300"/>
      <c r="D23" s="1312" t="s">
        <v>11</v>
      </c>
      <c r="E23" s="1317">
        <f>E24+E25+E26+E27+E28</f>
        <v>25000</v>
      </c>
      <c r="F23" s="1321">
        <f t="shared" ref="F23:L23" si="7">F24+F25+F26+F27+F28</f>
        <v>0</v>
      </c>
      <c r="G23" s="1314">
        <f t="shared" si="7"/>
        <v>25000</v>
      </c>
      <c r="H23" s="1317">
        <f t="shared" si="7"/>
        <v>19322.57</v>
      </c>
      <c r="I23" s="1321">
        <f t="shared" si="7"/>
        <v>0</v>
      </c>
      <c r="J23" s="1326">
        <f t="shared" si="2"/>
        <v>0.7729028</v>
      </c>
      <c r="K23" s="1321">
        <f t="shared" si="7"/>
        <v>23.39</v>
      </c>
      <c r="L23" s="1916">
        <f t="shared" si="7"/>
        <v>0</v>
      </c>
      <c r="M23" s="1307"/>
    </row>
    <row r="24" spans="1:13" x14ac:dyDescent="0.2">
      <c r="A24" s="1302"/>
      <c r="B24" s="1302"/>
      <c r="C24" s="1303" t="s">
        <v>447</v>
      </c>
      <c r="D24" s="1313" t="s">
        <v>14</v>
      </c>
      <c r="E24" s="1318">
        <v>774</v>
      </c>
      <c r="F24" s="1322">
        <f>G24-E24</f>
        <v>0</v>
      </c>
      <c r="G24" s="1316" t="s">
        <v>899</v>
      </c>
      <c r="H24" s="1325">
        <v>684</v>
      </c>
      <c r="I24" s="1308">
        <v>0</v>
      </c>
      <c r="J24" s="1658">
        <f t="shared" si="2"/>
        <v>0.88372093023255816</v>
      </c>
      <c r="K24" s="1308">
        <v>0</v>
      </c>
      <c r="L24" s="1308">
        <v>0</v>
      </c>
      <c r="M24" s="1307"/>
    </row>
    <row r="25" spans="1:13" x14ac:dyDescent="0.2">
      <c r="A25" s="1302"/>
      <c r="B25" s="1302"/>
      <c r="C25" s="1303" t="s">
        <v>442</v>
      </c>
      <c r="D25" s="1313" t="s">
        <v>31</v>
      </c>
      <c r="E25" s="1318">
        <v>4500</v>
      </c>
      <c r="F25" s="1322">
        <f t="shared" ref="F25:F28" si="8">G25-E25</f>
        <v>0</v>
      </c>
      <c r="G25" s="1316" t="s">
        <v>900</v>
      </c>
      <c r="H25" s="1325">
        <v>4000</v>
      </c>
      <c r="I25" s="1308">
        <v>0</v>
      </c>
      <c r="J25" s="1658">
        <f t="shared" si="2"/>
        <v>0.88888888888888884</v>
      </c>
      <c r="K25" s="1308">
        <v>0</v>
      </c>
      <c r="L25" s="1308">
        <v>0</v>
      </c>
      <c r="M25" s="1307"/>
    </row>
    <row r="26" spans="1:13" x14ac:dyDescent="0.2">
      <c r="A26" s="1302"/>
      <c r="B26" s="1302"/>
      <c r="C26" s="1303" t="s">
        <v>391</v>
      </c>
      <c r="D26" s="1313" t="s">
        <v>17</v>
      </c>
      <c r="E26" s="1318">
        <v>17246</v>
      </c>
      <c r="F26" s="1322">
        <f t="shared" si="8"/>
        <v>0</v>
      </c>
      <c r="G26" s="1316" t="s">
        <v>901</v>
      </c>
      <c r="H26" s="1325">
        <v>13598.74</v>
      </c>
      <c r="I26" s="1308">
        <v>0</v>
      </c>
      <c r="J26" s="1658">
        <f t="shared" si="2"/>
        <v>0.78851559781978431</v>
      </c>
      <c r="K26" s="1308">
        <v>0</v>
      </c>
      <c r="L26" s="1308">
        <v>0</v>
      </c>
      <c r="M26" s="1307"/>
    </row>
    <row r="27" spans="1:13" x14ac:dyDescent="0.2">
      <c r="A27" s="1302"/>
      <c r="B27" s="1302"/>
      <c r="C27" s="1303" t="s">
        <v>902</v>
      </c>
      <c r="D27" s="1313" t="s">
        <v>41</v>
      </c>
      <c r="E27" s="1318">
        <v>2000</v>
      </c>
      <c r="F27" s="1322">
        <f t="shared" si="8"/>
        <v>0</v>
      </c>
      <c r="G27" s="1316" t="s">
        <v>668</v>
      </c>
      <c r="H27" s="1325">
        <v>951.38</v>
      </c>
      <c r="I27" s="1308">
        <v>0</v>
      </c>
      <c r="J27" s="1658">
        <f t="shared" si="2"/>
        <v>0.47569</v>
      </c>
      <c r="K27" s="1308">
        <v>23.39</v>
      </c>
      <c r="L27" s="1308">
        <v>0</v>
      </c>
      <c r="M27" s="1307"/>
    </row>
    <row r="28" spans="1:13" x14ac:dyDescent="0.2">
      <c r="A28" s="1302"/>
      <c r="B28" s="1302"/>
      <c r="C28" s="1303" t="s">
        <v>404</v>
      </c>
      <c r="D28" s="1313" t="s">
        <v>18</v>
      </c>
      <c r="E28" s="1318">
        <v>480</v>
      </c>
      <c r="F28" s="1322">
        <f t="shared" si="8"/>
        <v>0</v>
      </c>
      <c r="G28" s="1316" t="s">
        <v>903</v>
      </c>
      <c r="H28" s="1325">
        <v>88.45</v>
      </c>
      <c r="I28" s="1308">
        <v>0</v>
      </c>
      <c r="J28" s="1658">
        <f t="shared" si="2"/>
        <v>0.18427083333333333</v>
      </c>
      <c r="K28" s="1308">
        <v>0</v>
      </c>
      <c r="L28" s="1308">
        <v>0</v>
      </c>
      <c r="M28" s="1307"/>
    </row>
    <row r="29" spans="1:13" x14ac:dyDescent="0.2">
      <c r="A29" s="1334" t="s">
        <v>137</v>
      </c>
      <c r="B29" s="1334"/>
      <c r="C29" s="1334"/>
      <c r="D29" s="1335" t="s">
        <v>340</v>
      </c>
      <c r="E29" s="1336">
        <f>E30+E34+E36+E38</f>
        <v>7421665.5499999998</v>
      </c>
      <c r="F29" s="1330">
        <f t="shared" ref="F29:L29" si="9">F30+F34+F36+F38</f>
        <v>-1608799.34</v>
      </c>
      <c r="G29" s="1337">
        <f t="shared" si="9"/>
        <v>5812866.21</v>
      </c>
      <c r="H29" s="1336">
        <f t="shared" si="9"/>
        <v>5599905.7700000005</v>
      </c>
      <c r="I29" s="1330">
        <f t="shared" si="9"/>
        <v>1525937.26</v>
      </c>
      <c r="J29" s="1333">
        <f t="shared" si="2"/>
        <v>0.96336395294396437</v>
      </c>
      <c r="K29" s="1330">
        <f t="shared" si="9"/>
        <v>16433.55</v>
      </c>
      <c r="L29" s="1917">
        <f t="shared" si="9"/>
        <v>53978.400000000009</v>
      </c>
      <c r="M29" s="1307"/>
    </row>
    <row r="30" spans="1:13" ht="15" x14ac:dyDescent="0.2">
      <c r="A30" s="1299"/>
      <c r="B30" s="1305" t="s">
        <v>904</v>
      </c>
      <c r="C30" s="1300"/>
      <c r="D30" s="1312" t="s">
        <v>304</v>
      </c>
      <c r="E30" s="1317">
        <f>E31+E32+E33</f>
        <v>388000</v>
      </c>
      <c r="F30" s="1321">
        <f t="shared" ref="F30:H30" si="10">F31+F32+F33</f>
        <v>-4200</v>
      </c>
      <c r="G30" s="1314">
        <f t="shared" si="10"/>
        <v>383800</v>
      </c>
      <c r="H30" s="1317">
        <f t="shared" si="10"/>
        <v>369252.9</v>
      </c>
      <c r="I30" s="1321">
        <f t="shared" ref="I30" si="11">I31+I32+I33</f>
        <v>0</v>
      </c>
      <c r="J30" s="1326">
        <f t="shared" si="2"/>
        <v>0.96209718603439298</v>
      </c>
      <c r="K30" s="1321">
        <f t="shared" ref="K30" si="12">K31+K32+K33</f>
        <v>0</v>
      </c>
      <c r="L30" s="1916">
        <f t="shared" ref="L30" si="13">L31+L32+L33</f>
        <v>0</v>
      </c>
      <c r="M30" s="1307"/>
    </row>
    <row r="31" spans="1:13" ht="45" x14ac:dyDescent="0.2">
      <c r="A31" s="1302"/>
      <c r="B31" s="1302"/>
      <c r="C31" s="1303" t="s">
        <v>795</v>
      </c>
      <c r="D31" s="1313" t="s">
        <v>905</v>
      </c>
      <c r="E31" s="1318">
        <v>300000</v>
      </c>
      <c r="F31" s="1322">
        <f>G31-E31</f>
        <v>0</v>
      </c>
      <c r="G31" s="1316" t="s">
        <v>906</v>
      </c>
      <c r="H31" s="1325">
        <v>292960.27</v>
      </c>
      <c r="I31" s="1308">
        <v>0</v>
      </c>
      <c r="J31" s="1658">
        <f t="shared" si="2"/>
        <v>0.97653423333333345</v>
      </c>
      <c r="K31" s="1308">
        <v>0</v>
      </c>
      <c r="L31" s="1308">
        <v>0</v>
      </c>
      <c r="M31" s="1307"/>
    </row>
    <row r="32" spans="1:13" ht="45" x14ac:dyDescent="0.2">
      <c r="A32" s="1302"/>
      <c r="B32" s="1302"/>
      <c r="C32" s="1303" t="s">
        <v>907</v>
      </c>
      <c r="D32" s="1313" t="s">
        <v>327</v>
      </c>
      <c r="E32" s="1318">
        <v>18000</v>
      </c>
      <c r="F32" s="1322">
        <f t="shared" ref="F32:F33" si="14">G32-E32</f>
        <v>-18000</v>
      </c>
      <c r="G32" s="1316" t="s">
        <v>636</v>
      </c>
      <c r="H32" s="1325">
        <v>0</v>
      </c>
      <c r="I32" s="1308">
        <v>0</v>
      </c>
      <c r="J32" s="1658">
        <v>0</v>
      </c>
      <c r="K32" s="1308">
        <v>0</v>
      </c>
      <c r="L32" s="1308">
        <v>0</v>
      </c>
      <c r="M32" s="1307"/>
    </row>
    <row r="33" spans="1:13" x14ac:dyDescent="0.2">
      <c r="A33" s="1302"/>
      <c r="B33" s="1302"/>
      <c r="C33" s="1303" t="s">
        <v>404</v>
      </c>
      <c r="D33" s="1313" t="s">
        <v>18</v>
      </c>
      <c r="E33" s="1318">
        <v>70000</v>
      </c>
      <c r="F33" s="1322">
        <f t="shared" si="14"/>
        <v>13800</v>
      </c>
      <c r="G33" s="1316" t="s">
        <v>908</v>
      </c>
      <c r="H33" s="1325">
        <v>76292.63</v>
      </c>
      <c r="I33" s="1308">
        <v>0</v>
      </c>
      <c r="J33" s="1658">
        <f t="shared" si="2"/>
        <v>0.91041324582338912</v>
      </c>
      <c r="K33" s="1308">
        <v>0</v>
      </c>
      <c r="L33" s="1308">
        <v>0</v>
      </c>
      <c r="M33" s="1307"/>
    </row>
    <row r="34" spans="1:13" ht="15" x14ac:dyDescent="0.2">
      <c r="A34" s="1299"/>
      <c r="B34" s="1305" t="s">
        <v>647</v>
      </c>
      <c r="C34" s="1300"/>
      <c r="D34" s="1312" t="s">
        <v>380</v>
      </c>
      <c r="E34" s="1317">
        <f>E35</f>
        <v>0</v>
      </c>
      <c r="F34" s="1321">
        <f t="shared" ref="F34:L34" si="15">F35</f>
        <v>10000</v>
      </c>
      <c r="G34" s="1314" t="str">
        <f t="shared" si="15"/>
        <v>10 000,00</v>
      </c>
      <c r="H34" s="1317">
        <f t="shared" si="15"/>
        <v>10000</v>
      </c>
      <c r="I34" s="1321">
        <f>I35</f>
        <v>0</v>
      </c>
      <c r="J34" s="1326">
        <f t="shared" si="2"/>
        <v>1</v>
      </c>
      <c r="K34" s="1321">
        <f t="shared" si="15"/>
        <v>0</v>
      </c>
      <c r="L34" s="1916">
        <f t="shared" si="15"/>
        <v>0</v>
      </c>
      <c r="M34" s="1307"/>
    </row>
    <row r="35" spans="1:13" x14ac:dyDescent="0.2">
      <c r="A35" s="1302"/>
      <c r="B35" s="1302"/>
      <c r="C35" s="1303" t="s">
        <v>404</v>
      </c>
      <c r="D35" s="1313" t="s">
        <v>18</v>
      </c>
      <c r="E35" s="1318">
        <v>0</v>
      </c>
      <c r="F35" s="1322">
        <f>G35-E35</f>
        <v>10000</v>
      </c>
      <c r="G35" s="1316" t="s">
        <v>648</v>
      </c>
      <c r="H35" s="1325">
        <v>10000</v>
      </c>
      <c r="I35" s="1308">
        <v>0</v>
      </c>
      <c r="J35" s="1658">
        <f t="shared" si="2"/>
        <v>1</v>
      </c>
      <c r="K35" s="1308">
        <v>0</v>
      </c>
      <c r="L35" s="1308">
        <v>0</v>
      </c>
      <c r="M35" s="1307"/>
    </row>
    <row r="36" spans="1:13" ht="15" x14ac:dyDescent="0.2">
      <c r="A36" s="1299"/>
      <c r="B36" s="1305" t="s">
        <v>138</v>
      </c>
      <c r="C36" s="1300"/>
      <c r="D36" s="1312" t="s">
        <v>341</v>
      </c>
      <c r="E36" s="1317">
        <f>E37</f>
        <v>0</v>
      </c>
      <c r="F36" s="1321">
        <f t="shared" ref="F36:L36" si="16">F37</f>
        <v>261476</v>
      </c>
      <c r="G36" s="1314" t="str">
        <f t="shared" si="16"/>
        <v>261 476,00</v>
      </c>
      <c r="H36" s="1317">
        <f t="shared" si="16"/>
        <v>256112.21</v>
      </c>
      <c r="I36" s="1321">
        <f t="shared" si="16"/>
        <v>0</v>
      </c>
      <c r="J36" s="1326">
        <f t="shared" si="2"/>
        <v>0.97948649206810567</v>
      </c>
      <c r="K36" s="1321">
        <f t="shared" si="16"/>
        <v>0</v>
      </c>
      <c r="L36" s="1916">
        <f t="shared" si="16"/>
        <v>0</v>
      </c>
      <c r="M36" s="1307"/>
    </row>
    <row r="37" spans="1:13" ht="67.5" x14ac:dyDescent="0.2">
      <c r="A37" s="1302"/>
      <c r="B37" s="1302"/>
      <c r="C37" s="1303" t="s">
        <v>139</v>
      </c>
      <c r="D37" s="1313" t="s">
        <v>910</v>
      </c>
      <c r="E37" s="1318">
        <v>0</v>
      </c>
      <c r="F37" s="1322">
        <f>G37-E37</f>
        <v>261476</v>
      </c>
      <c r="G37" s="1316" t="s">
        <v>909</v>
      </c>
      <c r="H37" s="1325">
        <v>256112.21</v>
      </c>
      <c r="I37" s="1308">
        <v>0</v>
      </c>
      <c r="J37" s="1658">
        <f t="shared" si="2"/>
        <v>0.97948649206810567</v>
      </c>
      <c r="K37" s="1308">
        <v>0</v>
      </c>
      <c r="L37" s="1308">
        <v>0</v>
      </c>
      <c r="M37" s="1307"/>
    </row>
    <row r="38" spans="1:13" ht="15" x14ac:dyDescent="0.2">
      <c r="A38" s="1299"/>
      <c r="B38" s="1305" t="s">
        <v>146</v>
      </c>
      <c r="C38" s="1300"/>
      <c r="D38" s="1312" t="s">
        <v>390</v>
      </c>
      <c r="E38" s="1317">
        <f>E39+E40+E41+E42+E43</f>
        <v>7033665.5499999998</v>
      </c>
      <c r="F38" s="1321">
        <f t="shared" ref="F38:L38" si="17">F39+F40+F41+F42+F43</f>
        <v>-1876075.34</v>
      </c>
      <c r="G38" s="1314">
        <f t="shared" si="17"/>
        <v>5157590.21</v>
      </c>
      <c r="H38" s="1317">
        <f t="shared" si="17"/>
        <v>4964540.66</v>
      </c>
      <c r="I38" s="1321">
        <f t="shared" si="17"/>
        <v>1525937.26</v>
      </c>
      <c r="J38" s="1326">
        <f t="shared" si="2"/>
        <v>0.96256981610797654</v>
      </c>
      <c r="K38" s="1321">
        <f t="shared" si="17"/>
        <v>16433.55</v>
      </c>
      <c r="L38" s="1916">
        <f t="shared" si="17"/>
        <v>53978.400000000009</v>
      </c>
      <c r="M38" s="1307"/>
    </row>
    <row r="39" spans="1:13" x14ac:dyDescent="0.2">
      <c r="A39" s="1302"/>
      <c r="B39" s="1302"/>
      <c r="C39" s="1303" t="s">
        <v>391</v>
      </c>
      <c r="D39" s="1313" t="s">
        <v>17</v>
      </c>
      <c r="E39" s="1318">
        <v>40084.76</v>
      </c>
      <c r="F39" s="1322">
        <f>G39-E39</f>
        <v>1500</v>
      </c>
      <c r="G39" s="1316" t="s">
        <v>911</v>
      </c>
      <c r="H39" s="1325">
        <v>35522.660000000003</v>
      </c>
      <c r="I39" s="1308">
        <v>0</v>
      </c>
      <c r="J39" s="1658">
        <f t="shared" si="2"/>
        <v>0.85422303747815309</v>
      </c>
      <c r="K39" s="1308">
        <v>0</v>
      </c>
      <c r="L39" s="1308">
        <v>28008.65</v>
      </c>
      <c r="M39" s="1307"/>
    </row>
    <row r="40" spans="1:13" x14ac:dyDescent="0.2">
      <c r="A40" s="1302"/>
      <c r="B40" s="1302"/>
      <c r="C40" s="1303" t="s">
        <v>912</v>
      </c>
      <c r="D40" s="1313" t="s">
        <v>78</v>
      </c>
      <c r="E40" s="1318">
        <v>117000</v>
      </c>
      <c r="F40" s="1322">
        <f t="shared" ref="F40:F43" si="18">G40-E40</f>
        <v>247864</v>
      </c>
      <c r="G40" s="1316" t="s">
        <v>913</v>
      </c>
      <c r="H40" s="1325">
        <v>320690.74</v>
      </c>
      <c r="I40" s="1308">
        <v>0</v>
      </c>
      <c r="J40" s="1658">
        <f t="shared" si="2"/>
        <v>0.87893225969128219</v>
      </c>
      <c r="K40" s="1308">
        <v>0</v>
      </c>
      <c r="L40" s="1308">
        <v>0</v>
      </c>
      <c r="M40" s="1307"/>
    </row>
    <row r="41" spans="1:13" x14ac:dyDescent="0.2">
      <c r="A41" s="1302"/>
      <c r="B41" s="1302"/>
      <c r="C41" s="1303" t="s">
        <v>404</v>
      </c>
      <c r="D41" s="1313" t="s">
        <v>18</v>
      </c>
      <c r="E41" s="1318">
        <v>544500</v>
      </c>
      <c r="F41" s="1322">
        <f t="shared" si="18"/>
        <v>792241.45</v>
      </c>
      <c r="G41" s="1316" t="s">
        <v>914</v>
      </c>
      <c r="H41" s="1325">
        <v>1283438.6599999999</v>
      </c>
      <c r="I41" s="1308">
        <v>0</v>
      </c>
      <c r="J41" s="1658">
        <f t="shared" si="2"/>
        <v>0.96012483191869302</v>
      </c>
      <c r="K41" s="1308">
        <v>16433.55</v>
      </c>
      <c r="L41" s="1308">
        <v>16509.2</v>
      </c>
      <c r="M41" s="1307"/>
    </row>
    <row r="42" spans="1:13" x14ac:dyDescent="0.2">
      <c r="A42" s="1302"/>
      <c r="B42" s="1302"/>
      <c r="C42" s="1303" t="s">
        <v>897</v>
      </c>
      <c r="D42" s="1313" t="s">
        <v>19</v>
      </c>
      <c r="E42" s="1318">
        <v>10000</v>
      </c>
      <c r="F42" s="1322">
        <f t="shared" si="18"/>
        <v>27000</v>
      </c>
      <c r="G42" s="1316" t="s">
        <v>915</v>
      </c>
      <c r="H42" s="1325">
        <v>30138.52</v>
      </c>
      <c r="I42" s="1308">
        <v>0</v>
      </c>
      <c r="J42" s="1658">
        <f t="shared" si="2"/>
        <v>0.81455459459459456</v>
      </c>
      <c r="K42" s="1308">
        <v>0</v>
      </c>
      <c r="L42" s="1308">
        <v>0</v>
      </c>
      <c r="M42" s="1307"/>
    </row>
    <row r="43" spans="1:13" ht="22.5" x14ac:dyDescent="0.2">
      <c r="A43" s="1302"/>
      <c r="B43" s="1302"/>
      <c r="C43" s="1303" t="s">
        <v>147</v>
      </c>
      <c r="D43" s="1313" t="s">
        <v>45</v>
      </c>
      <c r="E43" s="1318">
        <v>6322080.79</v>
      </c>
      <c r="F43" s="1322">
        <f t="shared" si="18"/>
        <v>-2944680.79</v>
      </c>
      <c r="G43" s="1316" t="s">
        <v>916</v>
      </c>
      <c r="H43" s="1325">
        <v>3294750.08</v>
      </c>
      <c r="I43" s="1308">
        <v>1525937.26</v>
      </c>
      <c r="J43" s="1658">
        <f t="shared" si="2"/>
        <v>0.97552853674424111</v>
      </c>
      <c r="K43" s="1308">
        <v>0</v>
      </c>
      <c r="L43" s="1308">
        <v>9460.5499999999993</v>
      </c>
      <c r="M43" s="1307"/>
    </row>
    <row r="44" spans="1:13" x14ac:dyDescent="0.2">
      <c r="A44" s="1334" t="s">
        <v>177</v>
      </c>
      <c r="B44" s="1334"/>
      <c r="C44" s="1334"/>
      <c r="D44" s="1335" t="s">
        <v>416</v>
      </c>
      <c r="E44" s="1336">
        <f>E45</f>
        <v>37600</v>
      </c>
      <c r="F44" s="1330">
        <f t="shared" ref="F44:L44" si="19">F45</f>
        <v>9000</v>
      </c>
      <c r="G44" s="1337">
        <f t="shared" si="19"/>
        <v>46600</v>
      </c>
      <c r="H44" s="1336">
        <f t="shared" si="19"/>
        <v>42627.199999999997</v>
      </c>
      <c r="I44" s="1330">
        <f t="shared" si="19"/>
        <v>0</v>
      </c>
      <c r="J44" s="1333">
        <f t="shared" si="2"/>
        <v>0.91474678111587981</v>
      </c>
      <c r="K44" s="1330">
        <f t="shared" si="19"/>
        <v>0</v>
      </c>
      <c r="L44" s="1917">
        <f t="shared" si="19"/>
        <v>5337</v>
      </c>
      <c r="M44" s="1307"/>
    </row>
    <row r="45" spans="1:13" ht="15" x14ac:dyDescent="0.2">
      <c r="A45" s="1299"/>
      <c r="B45" s="1305" t="s">
        <v>178</v>
      </c>
      <c r="C45" s="1300"/>
      <c r="D45" s="1312" t="s">
        <v>11</v>
      </c>
      <c r="E45" s="1317">
        <f>E46+E47+E48+E49</f>
        <v>37600</v>
      </c>
      <c r="F45" s="1321">
        <f t="shared" ref="F45:L45" si="20">F46+F47+F48+F49</f>
        <v>9000</v>
      </c>
      <c r="G45" s="1314">
        <f t="shared" si="20"/>
        <v>46600</v>
      </c>
      <c r="H45" s="1317">
        <f t="shared" si="20"/>
        <v>42627.199999999997</v>
      </c>
      <c r="I45" s="1321">
        <f t="shared" si="20"/>
        <v>0</v>
      </c>
      <c r="J45" s="1326">
        <f t="shared" si="2"/>
        <v>0.91474678111587981</v>
      </c>
      <c r="K45" s="1321">
        <f t="shared" si="20"/>
        <v>0</v>
      </c>
      <c r="L45" s="1916">
        <f t="shared" si="20"/>
        <v>5337</v>
      </c>
      <c r="M45" s="1307"/>
    </row>
    <row r="46" spans="1:13" x14ac:dyDescent="0.2">
      <c r="A46" s="1302"/>
      <c r="B46" s="1302"/>
      <c r="C46" s="1303" t="s">
        <v>391</v>
      </c>
      <c r="D46" s="1313" t="s">
        <v>17</v>
      </c>
      <c r="E46" s="1318">
        <v>5600</v>
      </c>
      <c r="F46" s="1322">
        <f>G46-E46</f>
        <v>12620</v>
      </c>
      <c r="G46" s="1316" t="s">
        <v>917</v>
      </c>
      <c r="H46" s="1325">
        <v>17956.849999999999</v>
      </c>
      <c r="I46" s="1308">
        <v>0</v>
      </c>
      <c r="J46" s="1658">
        <f t="shared" si="2"/>
        <v>0.98555708013172327</v>
      </c>
      <c r="K46" s="1308">
        <v>0</v>
      </c>
      <c r="L46" s="1308">
        <v>5337</v>
      </c>
      <c r="M46" s="1307"/>
    </row>
    <row r="47" spans="1:13" x14ac:dyDescent="0.2">
      <c r="A47" s="1302"/>
      <c r="B47" s="1302"/>
      <c r="C47" s="1303" t="s">
        <v>404</v>
      </c>
      <c r="D47" s="1313" t="s">
        <v>18</v>
      </c>
      <c r="E47" s="1318">
        <v>28000</v>
      </c>
      <c r="F47" s="1322">
        <f t="shared" ref="F47:F49" si="21">G47-E47</f>
        <v>-650</v>
      </c>
      <c r="G47" s="1316" t="s">
        <v>918</v>
      </c>
      <c r="H47" s="1325">
        <v>23919.9</v>
      </c>
      <c r="I47" s="1308">
        <v>0</v>
      </c>
      <c r="J47" s="1658">
        <f t="shared" si="2"/>
        <v>0.87458500914076787</v>
      </c>
      <c r="K47" s="1308">
        <v>0</v>
      </c>
      <c r="L47" s="1308">
        <v>0</v>
      </c>
      <c r="M47" s="1307"/>
    </row>
    <row r="48" spans="1:13" ht="22.5" x14ac:dyDescent="0.2">
      <c r="A48" s="1302"/>
      <c r="B48" s="1302"/>
      <c r="C48" s="1303" t="s">
        <v>468</v>
      </c>
      <c r="D48" s="1313" t="s">
        <v>919</v>
      </c>
      <c r="E48" s="1318">
        <v>0</v>
      </c>
      <c r="F48" s="1322">
        <f t="shared" si="21"/>
        <v>1030</v>
      </c>
      <c r="G48" s="1316" t="s">
        <v>920</v>
      </c>
      <c r="H48" s="1325">
        <v>750.45</v>
      </c>
      <c r="I48" s="1308">
        <v>0</v>
      </c>
      <c r="J48" s="1658">
        <f t="shared" si="2"/>
        <v>0.72859223300970877</v>
      </c>
      <c r="K48" s="1308">
        <v>0</v>
      </c>
      <c r="L48" s="1308">
        <v>0</v>
      </c>
      <c r="M48" s="1307"/>
    </row>
    <row r="49" spans="1:13" ht="22.5" x14ac:dyDescent="0.2">
      <c r="A49" s="1302"/>
      <c r="B49" s="1302"/>
      <c r="C49" s="1303" t="s">
        <v>179</v>
      </c>
      <c r="D49" s="1313" t="s">
        <v>75</v>
      </c>
      <c r="E49" s="1318">
        <v>4000</v>
      </c>
      <c r="F49" s="1322">
        <f t="shared" si="21"/>
        <v>-4000</v>
      </c>
      <c r="G49" s="1316" t="s">
        <v>636</v>
      </c>
      <c r="H49" s="1325">
        <v>0</v>
      </c>
      <c r="I49" s="1308">
        <v>0</v>
      </c>
      <c r="J49" s="1658">
        <v>0</v>
      </c>
      <c r="K49" s="1308">
        <v>0</v>
      </c>
      <c r="L49" s="1308">
        <v>0</v>
      </c>
      <c r="M49" s="1307"/>
    </row>
    <row r="50" spans="1:13" x14ac:dyDescent="0.2">
      <c r="A50" s="1334" t="s">
        <v>182</v>
      </c>
      <c r="B50" s="1334"/>
      <c r="C50" s="1334"/>
      <c r="D50" s="1335" t="s">
        <v>73</v>
      </c>
      <c r="E50" s="1336">
        <f>E51+E53</f>
        <v>693367.2</v>
      </c>
      <c r="F50" s="1330">
        <f t="shared" ref="F50:L50" si="22">F51+F53</f>
        <v>3040293.65</v>
      </c>
      <c r="G50" s="1337">
        <f t="shared" si="22"/>
        <v>3733660.85</v>
      </c>
      <c r="H50" s="1336">
        <f t="shared" si="22"/>
        <v>3569263.92</v>
      </c>
      <c r="I50" s="1330">
        <f t="shared" si="22"/>
        <v>0</v>
      </c>
      <c r="J50" s="1333">
        <f t="shared" si="2"/>
        <v>0.95596897077569321</v>
      </c>
      <c r="K50" s="1330">
        <f t="shared" si="22"/>
        <v>333013.55</v>
      </c>
      <c r="L50" s="1917">
        <f t="shared" si="22"/>
        <v>0</v>
      </c>
      <c r="M50" s="1307"/>
    </row>
    <row r="51" spans="1:13" ht="15" x14ac:dyDescent="0.2">
      <c r="A51" s="1299"/>
      <c r="B51" s="1305" t="s">
        <v>921</v>
      </c>
      <c r="C51" s="1300"/>
      <c r="D51" s="1312" t="s">
        <v>922</v>
      </c>
      <c r="E51" s="1317">
        <f>E52</f>
        <v>202667.2</v>
      </c>
      <c r="F51" s="1321">
        <f t="shared" ref="F51:L51" si="23">F52</f>
        <v>237188.14999999997</v>
      </c>
      <c r="G51" s="1314" t="str">
        <f t="shared" si="23"/>
        <v>439 855,35</v>
      </c>
      <c r="H51" s="1317">
        <f t="shared" si="23"/>
        <v>432037.88</v>
      </c>
      <c r="I51" s="1321">
        <f t="shared" si="23"/>
        <v>0</v>
      </c>
      <c r="J51" s="1326">
        <f t="shared" si="2"/>
        <v>0.98222717991266906</v>
      </c>
      <c r="K51" s="1321">
        <f t="shared" si="23"/>
        <v>0</v>
      </c>
      <c r="L51" s="1916">
        <f t="shared" si="23"/>
        <v>0</v>
      </c>
      <c r="M51" s="1307"/>
    </row>
    <row r="52" spans="1:13" ht="22.5" x14ac:dyDescent="0.2">
      <c r="A52" s="1302"/>
      <c r="B52" s="1302"/>
      <c r="C52" s="1303" t="s">
        <v>924</v>
      </c>
      <c r="D52" s="1313" t="s">
        <v>317</v>
      </c>
      <c r="E52" s="1318">
        <v>202667.2</v>
      </c>
      <c r="F52" s="1322">
        <f>G52-E52</f>
        <v>237188.14999999997</v>
      </c>
      <c r="G52" s="1316" t="s">
        <v>923</v>
      </c>
      <c r="H52" s="1325">
        <v>432037.88</v>
      </c>
      <c r="I52" s="1308">
        <v>0</v>
      </c>
      <c r="J52" s="1658">
        <f t="shared" si="2"/>
        <v>0.98222717991266906</v>
      </c>
      <c r="K52" s="1308">
        <v>0</v>
      </c>
      <c r="L52" s="1308">
        <v>0</v>
      </c>
      <c r="M52" s="1307"/>
    </row>
    <row r="53" spans="1:13" ht="22.5" x14ac:dyDescent="0.2">
      <c r="A53" s="1299"/>
      <c r="B53" s="1305" t="s">
        <v>183</v>
      </c>
      <c r="C53" s="1300"/>
      <c r="D53" s="1312" t="s">
        <v>74</v>
      </c>
      <c r="E53" s="1317">
        <f>E54+E55+E56+E57+E58+E59+E60+E61+E62+E63+E64+E65+E66</f>
        <v>490700</v>
      </c>
      <c r="F53" s="1321">
        <f t="shared" ref="F53:L53" si="24">F54+F55+F56+F57+F58+F59+F60+F61+F62+F63+F64+F65+F66</f>
        <v>2803105.5</v>
      </c>
      <c r="G53" s="1314">
        <f t="shared" si="24"/>
        <v>3293805.5</v>
      </c>
      <c r="H53" s="1317">
        <f>H54+H55+H56+H57+H58+H59+H60+H61+H62+H63+H64+H65+H66</f>
        <v>3137226.04</v>
      </c>
      <c r="I53" s="1321">
        <f t="shared" si="24"/>
        <v>0</v>
      </c>
      <c r="J53" s="1326">
        <f t="shared" si="2"/>
        <v>0.95246244503508182</v>
      </c>
      <c r="K53" s="1321">
        <f t="shared" si="24"/>
        <v>333013.55</v>
      </c>
      <c r="L53" s="1916">
        <f t="shared" si="24"/>
        <v>0</v>
      </c>
      <c r="M53" s="1307"/>
    </row>
    <row r="54" spans="1:13" x14ac:dyDescent="0.2">
      <c r="A54" s="1302"/>
      <c r="B54" s="1302"/>
      <c r="C54" s="1303" t="s">
        <v>391</v>
      </c>
      <c r="D54" s="1313" t="s">
        <v>17</v>
      </c>
      <c r="E54" s="1318">
        <v>8000</v>
      </c>
      <c r="F54" s="1322">
        <f>G54-E54</f>
        <v>-1400</v>
      </c>
      <c r="G54" s="1316" t="s">
        <v>925</v>
      </c>
      <c r="H54" s="1325">
        <v>6599.43</v>
      </c>
      <c r="I54" s="1308">
        <v>0</v>
      </c>
      <c r="J54" s="1658">
        <f t="shared" si="2"/>
        <v>0.99991363636363639</v>
      </c>
      <c r="K54" s="1308">
        <v>0</v>
      </c>
      <c r="L54" s="1308">
        <v>0</v>
      </c>
      <c r="M54" s="1307"/>
    </row>
    <row r="55" spans="1:13" x14ac:dyDescent="0.2">
      <c r="A55" s="1302"/>
      <c r="B55" s="1302"/>
      <c r="C55" s="1303" t="s">
        <v>902</v>
      </c>
      <c r="D55" s="1313" t="s">
        <v>41</v>
      </c>
      <c r="E55" s="1318">
        <v>85000</v>
      </c>
      <c r="F55" s="1322">
        <f t="shared" ref="F55:F66" si="25">G55-E55</f>
        <v>24000</v>
      </c>
      <c r="G55" s="1316" t="s">
        <v>926</v>
      </c>
      <c r="H55" s="1325">
        <v>102976.81</v>
      </c>
      <c r="I55" s="1308">
        <v>0</v>
      </c>
      <c r="J55" s="1658">
        <f t="shared" si="2"/>
        <v>0.94474137614678899</v>
      </c>
      <c r="K55" s="1308">
        <v>14017.39</v>
      </c>
      <c r="L55" s="1308">
        <v>0</v>
      </c>
      <c r="M55" s="1307"/>
    </row>
    <row r="56" spans="1:13" x14ac:dyDescent="0.2">
      <c r="A56" s="1302"/>
      <c r="B56" s="1302"/>
      <c r="C56" s="1303" t="s">
        <v>912</v>
      </c>
      <c r="D56" s="1313" t="s">
        <v>78</v>
      </c>
      <c r="E56" s="1318">
        <v>5000</v>
      </c>
      <c r="F56" s="1322">
        <f t="shared" si="25"/>
        <v>14400</v>
      </c>
      <c r="G56" s="1316" t="s">
        <v>927</v>
      </c>
      <c r="H56" s="1325">
        <v>19299.39</v>
      </c>
      <c r="I56" s="1308">
        <v>0</v>
      </c>
      <c r="J56" s="1658">
        <f t="shared" si="2"/>
        <v>0.99481391752577319</v>
      </c>
      <c r="K56" s="1308">
        <v>0</v>
      </c>
      <c r="L56" s="1308">
        <v>0</v>
      </c>
      <c r="M56" s="1307"/>
    </row>
    <row r="57" spans="1:13" x14ac:dyDescent="0.2">
      <c r="A57" s="1302"/>
      <c r="B57" s="1302"/>
      <c r="C57" s="1303" t="s">
        <v>404</v>
      </c>
      <c r="D57" s="1313" t="s">
        <v>18</v>
      </c>
      <c r="E57" s="1318">
        <v>130000</v>
      </c>
      <c r="F57" s="1322">
        <f t="shared" si="25"/>
        <v>-41000</v>
      </c>
      <c r="G57" s="1316" t="s">
        <v>928</v>
      </c>
      <c r="H57" s="1325">
        <v>68172.679999999993</v>
      </c>
      <c r="I57" s="1308">
        <v>0</v>
      </c>
      <c r="J57" s="1658">
        <f t="shared" si="2"/>
        <v>0.76598516853932574</v>
      </c>
      <c r="K57" s="1308">
        <v>925.96</v>
      </c>
      <c r="L57" s="1308">
        <v>0</v>
      </c>
      <c r="M57" s="1307"/>
    </row>
    <row r="58" spans="1:13" x14ac:dyDescent="0.2">
      <c r="A58" s="1302"/>
      <c r="B58" s="1302"/>
      <c r="C58" s="1303" t="s">
        <v>897</v>
      </c>
      <c r="D58" s="1313" t="s">
        <v>19</v>
      </c>
      <c r="E58" s="1318">
        <v>1500</v>
      </c>
      <c r="F58" s="1322">
        <f t="shared" si="25"/>
        <v>0</v>
      </c>
      <c r="G58" s="1316" t="s">
        <v>793</v>
      </c>
      <c r="H58" s="1325">
        <v>500</v>
      </c>
      <c r="I58" s="1308">
        <v>0</v>
      </c>
      <c r="J58" s="1658">
        <f t="shared" si="2"/>
        <v>0.33333333333333331</v>
      </c>
      <c r="K58" s="1308">
        <v>0</v>
      </c>
      <c r="L58" s="1308">
        <v>0</v>
      </c>
      <c r="M58" s="1307"/>
    </row>
    <row r="59" spans="1:13" ht="22.5" x14ac:dyDescent="0.2">
      <c r="A59" s="1302"/>
      <c r="B59" s="1302"/>
      <c r="C59" s="1303" t="s">
        <v>929</v>
      </c>
      <c r="D59" s="1313" t="s">
        <v>930</v>
      </c>
      <c r="E59" s="1318">
        <v>700</v>
      </c>
      <c r="F59" s="1322">
        <f t="shared" si="25"/>
        <v>0</v>
      </c>
      <c r="G59" s="1316" t="s">
        <v>931</v>
      </c>
      <c r="H59" s="1325">
        <v>672</v>
      </c>
      <c r="I59" s="1308">
        <v>0</v>
      </c>
      <c r="J59" s="1658">
        <f t="shared" si="2"/>
        <v>0.96</v>
      </c>
      <c r="K59" s="1308">
        <v>0</v>
      </c>
      <c r="L59" s="1308">
        <v>0</v>
      </c>
      <c r="M59" s="1307"/>
    </row>
    <row r="60" spans="1:13" x14ac:dyDescent="0.2">
      <c r="A60" s="1302"/>
      <c r="B60" s="1302"/>
      <c r="C60" s="1303" t="s">
        <v>932</v>
      </c>
      <c r="D60" s="1313" t="s">
        <v>933</v>
      </c>
      <c r="E60" s="1318">
        <v>0</v>
      </c>
      <c r="F60" s="1322">
        <f t="shared" si="25"/>
        <v>120</v>
      </c>
      <c r="G60" s="1316" t="s">
        <v>934</v>
      </c>
      <c r="H60" s="1325">
        <v>80</v>
      </c>
      <c r="I60" s="1308">
        <v>0</v>
      </c>
      <c r="J60" s="1658">
        <f t="shared" si="2"/>
        <v>0.66666666666666663</v>
      </c>
      <c r="K60" s="1308">
        <v>0</v>
      </c>
      <c r="L60" s="1308">
        <v>0</v>
      </c>
      <c r="M60" s="1307"/>
    </row>
    <row r="61" spans="1:13" ht="22.5" x14ac:dyDescent="0.2">
      <c r="A61" s="1302"/>
      <c r="B61" s="1302"/>
      <c r="C61" s="1303" t="s">
        <v>935</v>
      </c>
      <c r="D61" s="1313" t="s">
        <v>936</v>
      </c>
      <c r="E61" s="1318">
        <v>5500</v>
      </c>
      <c r="F61" s="1322">
        <f t="shared" si="25"/>
        <v>0</v>
      </c>
      <c r="G61" s="1316" t="s">
        <v>937</v>
      </c>
      <c r="H61" s="1325">
        <v>5045.13</v>
      </c>
      <c r="I61" s="1308">
        <v>0</v>
      </c>
      <c r="J61" s="1658">
        <f t="shared" si="2"/>
        <v>0.91729636363636369</v>
      </c>
      <c r="K61" s="1308">
        <v>0</v>
      </c>
      <c r="L61" s="1308">
        <v>0</v>
      </c>
      <c r="M61" s="1307"/>
    </row>
    <row r="62" spans="1:13" ht="22.5" x14ac:dyDescent="0.2">
      <c r="A62" s="1302"/>
      <c r="B62" s="1302"/>
      <c r="C62" s="1303" t="s">
        <v>938</v>
      </c>
      <c r="D62" s="1313" t="s">
        <v>939</v>
      </c>
      <c r="E62" s="1318">
        <v>50000</v>
      </c>
      <c r="F62" s="1322">
        <f t="shared" si="25"/>
        <v>10000</v>
      </c>
      <c r="G62" s="1316" t="s">
        <v>940</v>
      </c>
      <c r="H62" s="1325">
        <v>56355.12</v>
      </c>
      <c r="I62" s="1308">
        <v>0</v>
      </c>
      <c r="J62" s="1658">
        <f t="shared" si="2"/>
        <v>0.93925200000000009</v>
      </c>
      <c r="K62" s="1308">
        <v>2570.1999999999998</v>
      </c>
      <c r="L62" s="1308">
        <v>0</v>
      </c>
      <c r="M62" s="1307"/>
    </row>
    <row r="63" spans="1:13" ht="33.75" x14ac:dyDescent="0.2">
      <c r="A63" s="1302"/>
      <c r="B63" s="1302"/>
      <c r="C63" s="1303" t="s">
        <v>941</v>
      </c>
      <c r="D63" s="1313" t="s">
        <v>942</v>
      </c>
      <c r="E63" s="1318">
        <v>100000</v>
      </c>
      <c r="F63" s="1322">
        <f t="shared" si="25"/>
        <v>-10000</v>
      </c>
      <c r="G63" s="1316" t="s">
        <v>943</v>
      </c>
      <c r="H63" s="1325">
        <v>68927.58</v>
      </c>
      <c r="I63" s="1308">
        <v>0</v>
      </c>
      <c r="J63" s="1658">
        <f t="shared" si="2"/>
        <v>0.76586200000000004</v>
      </c>
      <c r="K63" s="1308">
        <v>500</v>
      </c>
      <c r="L63" s="1308">
        <v>0</v>
      </c>
      <c r="M63" s="1307"/>
    </row>
    <row r="64" spans="1:13" ht="22.5" x14ac:dyDescent="0.2">
      <c r="A64" s="1302"/>
      <c r="B64" s="1302"/>
      <c r="C64" s="1303" t="s">
        <v>944</v>
      </c>
      <c r="D64" s="1313" t="s">
        <v>945</v>
      </c>
      <c r="E64" s="1318">
        <v>5000</v>
      </c>
      <c r="F64" s="1322">
        <f t="shared" si="25"/>
        <v>-120</v>
      </c>
      <c r="G64" s="1316" t="s">
        <v>946</v>
      </c>
      <c r="H64" s="1325">
        <v>3356.25</v>
      </c>
      <c r="I64" s="1308">
        <v>0</v>
      </c>
      <c r="J64" s="1658">
        <f t="shared" si="2"/>
        <v>0.68775614754098358</v>
      </c>
      <c r="K64" s="1308">
        <v>0</v>
      </c>
      <c r="L64" s="1308">
        <v>0</v>
      </c>
      <c r="M64" s="1307"/>
    </row>
    <row r="65" spans="1:13" ht="22.5" x14ac:dyDescent="0.2">
      <c r="A65" s="1302"/>
      <c r="B65" s="1302"/>
      <c r="C65" s="1303" t="s">
        <v>147</v>
      </c>
      <c r="D65" s="1313" t="s">
        <v>45</v>
      </c>
      <c r="E65" s="1318">
        <v>0</v>
      </c>
      <c r="F65" s="1322">
        <f t="shared" si="25"/>
        <v>2753455.5</v>
      </c>
      <c r="G65" s="1316" t="s">
        <v>947</v>
      </c>
      <c r="H65" s="1325">
        <v>2653274.15</v>
      </c>
      <c r="I65" s="1308">
        <v>0</v>
      </c>
      <c r="J65" s="1658">
        <f t="shared" si="2"/>
        <v>0.96361613616054442</v>
      </c>
      <c r="K65" s="1308">
        <v>0</v>
      </c>
      <c r="L65" s="1308">
        <v>0</v>
      </c>
      <c r="M65" s="1307"/>
    </row>
    <row r="66" spans="1:13" ht="22.5" x14ac:dyDescent="0.2">
      <c r="A66" s="1302"/>
      <c r="B66" s="1302"/>
      <c r="C66" s="1303" t="s">
        <v>179</v>
      </c>
      <c r="D66" s="1313" t="s">
        <v>75</v>
      </c>
      <c r="E66" s="1318">
        <v>100000</v>
      </c>
      <c r="F66" s="1322">
        <f t="shared" si="25"/>
        <v>53650</v>
      </c>
      <c r="G66" s="1316" t="s">
        <v>948</v>
      </c>
      <c r="H66" s="1325">
        <v>151967.5</v>
      </c>
      <c r="I66" s="1308">
        <v>0</v>
      </c>
      <c r="J66" s="1658">
        <f t="shared" si="2"/>
        <v>0.98904978848031244</v>
      </c>
      <c r="K66" s="1308">
        <v>315000</v>
      </c>
      <c r="L66" s="1308">
        <v>0</v>
      </c>
      <c r="M66" s="1307"/>
    </row>
    <row r="67" spans="1:13" x14ac:dyDescent="0.2">
      <c r="A67" s="1334" t="s">
        <v>949</v>
      </c>
      <c r="B67" s="1334"/>
      <c r="C67" s="1334"/>
      <c r="D67" s="1335" t="s">
        <v>950</v>
      </c>
      <c r="E67" s="1336">
        <f>E68+E71</f>
        <v>105000</v>
      </c>
      <c r="F67" s="1330">
        <f t="shared" ref="F67:L67" si="26">F68+F71</f>
        <v>0</v>
      </c>
      <c r="G67" s="1337">
        <f t="shared" si="26"/>
        <v>105000</v>
      </c>
      <c r="H67" s="1336">
        <f t="shared" si="26"/>
        <v>65857.149999999994</v>
      </c>
      <c r="I67" s="1330">
        <f t="shared" si="26"/>
        <v>0</v>
      </c>
      <c r="J67" s="1333">
        <f t="shared" si="2"/>
        <v>0.62721095238095237</v>
      </c>
      <c r="K67" s="1330">
        <f t="shared" si="26"/>
        <v>0</v>
      </c>
      <c r="L67" s="1917">
        <f t="shared" si="26"/>
        <v>0</v>
      </c>
      <c r="M67" s="1307"/>
    </row>
    <row r="68" spans="1:13" ht="22.5" x14ac:dyDescent="0.2">
      <c r="A68" s="1299"/>
      <c r="B68" s="1305" t="s">
        <v>951</v>
      </c>
      <c r="C68" s="1300"/>
      <c r="D68" s="1312" t="s">
        <v>952</v>
      </c>
      <c r="E68" s="1317">
        <f>E69+E70</f>
        <v>95000</v>
      </c>
      <c r="F68" s="1321">
        <f t="shared" ref="F68:L68" si="27">F69+F70</f>
        <v>0</v>
      </c>
      <c r="G68" s="1314">
        <f t="shared" si="27"/>
        <v>95000</v>
      </c>
      <c r="H68" s="1317">
        <f t="shared" si="27"/>
        <v>56857.2</v>
      </c>
      <c r="I68" s="1321">
        <f t="shared" si="27"/>
        <v>0</v>
      </c>
      <c r="J68" s="1326">
        <f t="shared" si="2"/>
        <v>0.5984968421052631</v>
      </c>
      <c r="K68" s="1321">
        <f t="shared" si="27"/>
        <v>0</v>
      </c>
      <c r="L68" s="1916">
        <f t="shared" si="27"/>
        <v>0</v>
      </c>
      <c r="M68" s="1307"/>
    </row>
    <row r="69" spans="1:13" x14ac:dyDescent="0.2">
      <c r="A69" s="1302"/>
      <c r="B69" s="1302"/>
      <c r="C69" s="1303" t="s">
        <v>442</v>
      </c>
      <c r="D69" s="1313" t="s">
        <v>31</v>
      </c>
      <c r="E69" s="1318">
        <v>45000</v>
      </c>
      <c r="F69" s="1322">
        <f>G69-E69</f>
        <v>0</v>
      </c>
      <c r="G69" s="1316" t="s">
        <v>953</v>
      </c>
      <c r="H69" s="1325">
        <v>28056</v>
      </c>
      <c r="I69" s="1308">
        <v>0</v>
      </c>
      <c r="J69" s="1658">
        <f t="shared" si="2"/>
        <v>0.62346666666666661</v>
      </c>
      <c r="K69" s="1308">
        <v>0</v>
      </c>
      <c r="L69" s="1308">
        <v>0</v>
      </c>
      <c r="M69" s="1307"/>
    </row>
    <row r="70" spans="1:13" x14ac:dyDescent="0.2">
      <c r="A70" s="1302"/>
      <c r="B70" s="1302"/>
      <c r="C70" s="1303" t="s">
        <v>404</v>
      </c>
      <c r="D70" s="1313" t="s">
        <v>18</v>
      </c>
      <c r="E70" s="1318">
        <v>50000</v>
      </c>
      <c r="F70" s="1322">
        <f>G70-E70</f>
        <v>0</v>
      </c>
      <c r="G70" s="1316" t="s">
        <v>639</v>
      </c>
      <c r="H70" s="1325">
        <v>28801.200000000001</v>
      </c>
      <c r="I70" s="1308">
        <v>0</v>
      </c>
      <c r="J70" s="1658">
        <f t="shared" si="2"/>
        <v>0.57602399999999998</v>
      </c>
      <c r="K70" s="1308">
        <v>0</v>
      </c>
      <c r="L70" s="1308">
        <v>0</v>
      </c>
      <c r="M70" s="1307"/>
    </row>
    <row r="71" spans="1:13" ht="15" x14ac:dyDescent="0.2">
      <c r="A71" s="1299"/>
      <c r="B71" s="1305" t="s">
        <v>954</v>
      </c>
      <c r="C71" s="1300"/>
      <c r="D71" s="1312" t="s">
        <v>955</v>
      </c>
      <c r="E71" s="1317">
        <f>E72+E73</f>
        <v>10000</v>
      </c>
      <c r="F71" s="1321">
        <f t="shared" ref="F71:L71" si="28">F72+F73</f>
        <v>0</v>
      </c>
      <c r="G71" s="1314">
        <f t="shared" si="28"/>
        <v>10000</v>
      </c>
      <c r="H71" s="1317">
        <f t="shared" si="28"/>
        <v>8999.9500000000007</v>
      </c>
      <c r="I71" s="1321">
        <f t="shared" si="28"/>
        <v>0</v>
      </c>
      <c r="J71" s="1326">
        <f t="shared" si="2"/>
        <v>0.8999950000000001</v>
      </c>
      <c r="K71" s="1321">
        <f t="shared" si="28"/>
        <v>0</v>
      </c>
      <c r="L71" s="1916">
        <f t="shared" si="28"/>
        <v>0</v>
      </c>
      <c r="M71" s="1307"/>
    </row>
    <row r="72" spans="1:13" x14ac:dyDescent="0.2">
      <c r="A72" s="1302"/>
      <c r="B72" s="1302"/>
      <c r="C72" s="1303" t="s">
        <v>442</v>
      </c>
      <c r="D72" s="1313" t="s">
        <v>31</v>
      </c>
      <c r="E72" s="1318">
        <v>0</v>
      </c>
      <c r="F72" s="1322">
        <f>G72-E72</f>
        <v>0</v>
      </c>
      <c r="G72" s="1316" t="s">
        <v>636</v>
      </c>
      <c r="H72" s="1325">
        <v>0</v>
      </c>
      <c r="I72" s="1308">
        <v>0</v>
      </c>
      <c r="J72" s="1658">
        <v>0</v>
      </c>
      <c r="K72" s="1308">
        <v>0</v>
      </c>
      <c r="L72" s="1308">
        <v>0</v>
      </c>
      <c r="M72" s="1307"/>
    </row>
    <row r="73" spans="1:13" x14ac:dyDescent="0.2">
      <c r="A73" s="1302"/>
      <c r="B73" s="1302"/>
      <c r="C73" s="1303" t="s">
        <v>404</v>
      </c>
      <c r="D73" s="1313" t="s">
        <v>18</v>
      </c>
      <c r="E73" s="1318">
        <v>10000</v>
      </c>
      <c r="F73" s="1322">
        <f>G73-E73</f>
        <v>0</v>
      </c>
      <c r="G73" s="1316" t="s">
        <v>648</v>
      </c>
      <c r="H73" s="1325">
        <v>8999.9500000000007</v>
      </c>
      <c r="I73" s="1308">
        <v>0</v>
      </c>
      <c r="J73" s="1658">
        <f t="shared" si="2"/>
        <v>0.8999950000000001</v>
      </c>
      <c r="K73" s="1308">
        <v>0</v>
      </c>
      <c r="L73" s="1308">
        <v>0</v>
      </c>
      <c r="M73" s="1307"/>
    </row>
    <row r="74" spans="1:13" x14ac:dyDescent="0.2">
      <c r="A74" s="1334" t="s">
        <v>192</v>
      </c>
      <c r="B74" s="1334"/>
      <c r="C74" s="1334"/>
      <c r="D74" s="1335" t="s">
        <v>20</v>
      </c>
      <c r="E74" s="1336">
        <f>E75+E84+E92+E116+E119+E125+E143</f>
        <v>6083334.3699999992</v>
      </c>
      <c r="F74" s="1330">
        <f t="shared" ref="F74:L74" si="29">F75+F84+F92+F116+F119+F125+F143</f>
        <v>302626.86000000034</v>
      </c>
      <c r="G74" s="1337">
        <f t="shared" si="29"/>
        <v>6385961.2300000004</v>
      </c>
      <c r="H74" s="1336">
        <f t="shared" si="29"/>
        <v>6008780.0000000019</v>
      </c>
      <c r="I74" s="1330">
        <f t="shared" si="29"/>
        <v>39445.79</v>
      </c>
      <c r="J74" s="1333">
        <f t="shared" si="2"/>
        <v>0.94093587223359976</v>
      </c>
      <c r="K74" s="1330">
        <f t="shared" si="29"/>
        <v>392774.16000000003</v>
      </c>
      <c r="L74" s="1917">
        <f t="shared" si="29"/>
        <v>0</v>
      </c>
      <c r="M74" s="1307"/>
    </row>
    <row r="75" spans="1:13" ht="15" x14ac:dyDescent="0.2">
      <c r="A75" s="1299"/>
      <c r="B75" s="1305" t="s">
        <v>675</v>
      </c>
      <c r="C75" s="1300"/>
      <c r="D75" s="1312" t="s">
        <v>21</v>
      </c>
      <c r="E75" s="1317">
        <f>E76+E77+E78+E79+E80+E81+E82+E83</f>
        <v>143228</v>
      </c>
      <c r="F75" s="1321">
        <f t="shared" ref="F75:L75" si="30">F76+F77+F78+F79+F80+F81+F82+F83</f>
        <v>33103.999999999993</v>
      </c>
      <c r="G75" s="1314">
        <f t="shared" si="30"/>
        <v>176332</v>
      </c>
      <c r="H75" s="1317">
        <f t="shared" si="30"/>
        <v>170530.93999999997</v>
      </c>
      <c r="I75" s="1321">
        <f t="shared" si="30"/>
        <v>0</v>
      </c>
      <c r="J75" s="1326">
        <f t="shared" ref="J75:J138" si="31">H75/G75</f>
        <v>0.96710149037043747</v>
      </c>
      <c r="K75" s="1321">
        <f t="shared" si="30"/>
        <v>0</v>
      </c>
      <c r="L75" s="1916">
        <f t="shared" si="30"/>
        <v>0</v>
      </c>
      <c r="M75" s="1307"/>
    </row>
    <row r="76" spans="1:13" ht="22.5" x14ac:dyDescent="0.2">
      <c r="A76" s="1302"/>
      <c r="B76" s="1302"/>
      <c r="C76" s="1303" t="s">
        <v>956</v>
      </c>
      <c r="D76" s="1313" t="s">
        <v>957</v>
      </c>
      <c r="E76" s="1318">
        <v>0</v>
      </c>
      <c r="F76" s="1322">
        <f>G76-E76</f>
        <v>0</v>
      </c>
      <c r="G76" s="1316" t="s">
        <v>636</v>
      </c>
      <c r="H76" s="1325">
        <v>0</v>
      </c>
      <c r="I76" s="1308">
        <v>0</v>
      </c>
      <c r="J76" s="1658">
        <v>0</v>
      </c>
      <c r="K76" s="1308">
        <v>0</v>
      </c>
      <c r="L76" s="1308">
        <v>0</v>
      </c>
      <c r="M76" s="1307"/>
    </row>
    <row r="77" spans="1:13" ht="22.5" x14ac:dyDescent="0.2">
      <c r="A77" s="1302"/>
      <c r="B77" s="1302"/>
      <c r="C77" s="1303" t="s">
        <v>890</v>
      </c>
      <c r="D77" s="1313" t="s">
        <v>13</v>
      </c>
      <c r="E77" s="1318">
        <v>108934.8</v>
      </c>
      <c r="F77" s="1322">
        <f t="shared" ref="F77:F83" si="32">G77-E77</f>
        <v>16776.839999999997</v>
      </c>
      <c r="G77" s="1316" t="s">
        <v>958</v>
      </c>
      <c r="H77" s="1325">
        <v>121870.89</v>
      </c>
      <c r="I77" s="1308">
        <v>0</v>
      </c>
      <c r="J77" s="1658">
        <f t="shared" si="31"/>
        <v>0.96944793656339223</v>
      </c>
      <c r="K77" s="1308">
        <v>0</v>
      </c>
      <c r="L77" s="1308">
        <v>0</v>
      </c>
      <c r="M77" s="1307"/>
    </row>
    <row r="78" spans="1:13" x14ac:dyDescent="0.2">
      <c r="A78" s="1302"/>
      <c r="B78" s="1302"/>
      <c r="C78" s="1303" t="s">
        <v>959</v>
      </c>
      <c r="D78" s="1313" t="s">
        <v>960</v>
      </c>
      <c r="E78" s="1318">
        <v>7663.58</v>
      </c>
      <c r="F78" s="1322">
        <f t="shared" si="32"/>
        <v>0</v>
      </c>
      <c r="G78" s="1316" t="s">
        <v>961</v>
      </c>
      <c r="H78" s="1325">
        <v>7663.58</v>
      </c>
      <c r="I78" s="1308">
        <v>0</v>
      </c>
      <c r="J78" s="1658">
        <f t="shared" si="31"/>
        <v>1</v>
      </c>
      <c r="K78" s="1308">
        <v>0</v>
      </c>
      <c r="L78" s="1308">
        <v>0</v>
      </c>
      <c r="M78" s="1307"/>
    </row>
    <row r="79" spans="1:13" x14ac:dyDescent="0.2">
      <c r="A79" s="1302"/>
      <c r="B79" s="1302"/>
      <c r="C79" s="1303" t="s">
        <v>447</v>
      </c>
      <c r="D79" s="1313" t="s">
        <v>14</v>
      </c>
      <c r="E79" s="1318">
        <v>19547.400000000001</v>
      </c>
      <c r="F79" s="1322">
        <f t="shared" si="32"/>
        <v>2795.0199999999968</v>
      </c>
      <c r="G79" s="1316" t="s">
        <v>962</v>
      </c>
      <c r="H79" s="1325">
        <v>21967.09</v>
      </c>
      <c r="I79" s="1308">
        <v>0</v>
      </c>
      <c r="J79" s="1658">
        <f t="shared" si="31"/>
        <v>0.98320101403518512</v>
      </c>
      <c r="K79" s="1308">
        <v>0</v>
      </c>
      <c r="L79" s="1308">
        <v>0</v>
      </c>
      <c r="M79" s="1307"/>
    </row>
    <row r="80" spans="1:13" x14ac:dyDescent="0.2">
      <c r="A80" s="1302"/>
      <c r="B80" s="1302"/>
      <c r="C80" s="1303" t="s">
        <v>450</v>
      </c>
      <c r="D80" s="1313" t="s">
        <v>15</v>
      </c>
      <c r="E80" s="1318">
        <v>2284.2199999999998</v>
      </c>
      <c r="F80" s="1322">
        <f t="shared" si="32"/>
        <v>324.14000000000033</v>
      </c>
      <c r="G80" s="1316" t="s">
        <v>963</v>
      </c>
      <c r="H80" s="1325">
        <v>2608.36</v>
      </c>
      <c r="I80" s="1308">
        <v>0</v>
      </c>
      <c r="J80" s="1658">
        <f t="shared" si="31"/>
        <v>1</v>
      </c>
      <c r="K80" s="1308">
        <v>0</v>
      </c>
      <c r="L80" s="1308">
        <v>0</v>
      </c>
      <c r="M80" s="1307"/>
    </row>
    <row r="81" spans="1:13" x14ac:dyDescent="0.2">
      <c r="A81" s="1302"/>
      <c r="B81" s="1302"/>
      <c r="C81" s="1303" t="s">
        <v>391</v>
      </c>
      <c r="D81" s="1313" t="s">
        <v>17</v>
      </c>
      <c r="E81" s="1318">
        <v>1798</v>
      </c>
      <c r="F81" s="1322">
        <f t="shared" si="32"/>
        <v>11162.6</v>
      </c>
      <c r="G81" s="1316" t="s">
        <v>964</v>
      </c>
      <c r="H81" s="1325">
        <v>11375.62</v>
      </c>
      <c r="I81" s="1308">
        <v>0</v>
      </c>
      <c r="J81" s="1658">
        <f t="shared" si="31"/>
        <v>0.87770782216872678</v>
      </c>
      <c r="K81" s="1308">
        <v>0</v>
      </c>
      <c r="L81" s="1308">
        <v>0</v>
      </c>
      <c r="M81" s="1307"/>
    </row>
    <row r="82" spans="1:13" x14ac:dyDescent="0.2">
      <c r="A82" s="1302"/>
      <c r="B82" s="1302"/>
      <c r="C82" s="1303" t="s">
        <v>404</v>
      </c>
      <c r="D82" s="1313" t="s">
        <v>18</v>
      </c>
      <c r="E82" s="1318">
        <v>3000</v>
      </c>
      <c r="F82" s="1322">
        <f t="shared" si="32"/>
        <v>-451.59999999999991</v>
      </c>
      <c r="G82" s="1316" t="s">
        <v>965</v>
      </c>
      <c r="H82" s="1325">
        <v>2548.4</v>
      </c>
      <c r="I82" s="1308">
        <v>0</v>
      </c>
      <c r="J82" s="1658">
        <f t="shared" si="31"/>
        <v>1</v>
      </c>
      <c r="K82" s="1308">
        <v>0</v>
      </c>
      <c r="L82" s="1308">
        <v>0</v>
      </c>
      <c r="M82" s="1307"/>
    </row>
    <row r="83" spans="1:13" ht="22.5" x14ac:dyDescent="0.2">
      <c r="A83" s="1302"/>
      <c r="B83" s="1302"/>
      <c r="C83" s="1303" t="s">
        <v>966</v>
      </c>
      <c r="D83" s="1313" t="s">
        <v>967</v>
      </c>
      <c r="E83" s="1318">
        <v>0</v>
      </c>
      <c r="F83" s="1322">
        <f t="shared" si="32"/>
        <v>2497</v>
      </c>
      <c r="G83" s="1316" t="s">
        <v>968</v>
      </c>
      <c r="H83" s="1325">
        <v>2497</v>
      </c>
      <c r="I83" s="1308">
        <v>0</v>
      </c>
      <c r="J83" s="1658">
        <f t="shared" si="31"/>
        <v>1</v>
      </c>
      <c r="K83" s="1308">
        <v>0</v>
      </c>
      <c r="L83" s="1308">
        <v>0</v>
      </c>
      <c r="M83" s="1307"/>
    </row>
    <row r="84" spans="1:13" ht="22.5" x14ac:dyDescent="0.2">
      <c r="A84" s="1299"/>
      <c r="B84" s="1305" t="s">
        <v>193</v>
      </c>
      <c r="C84" s="1300"/>
      <c r="D84" s="1312" t="s">
        <v>969</v>
      </c>
      <c r="E84" s="1317">
        <f>E85+E86+E87+E88+E89+E90+E91</f>
        <v>341888.8</v>
      </c>
      <c r="F84" s="1321">
        <f t="shared" ref="F84:L84" si="33">F85+F86+F87+F88+F89+F90+F91</f>
        <v>57434</v>
      </c>
      <c r="G84" s="1314">
        <f t="shared" si="33"/>
        <v>399322.8</v>
      </c>
      <c r="H84" s="1317">
        <f t="shared" si="33"/>
        <v>381278.41000000003</v>
      </c>
      <c r="I84" s="1321">
        <f t="shared" si="33"/>
        <v>0</v>
      </c>
      <c r="J84" s="1326">
        <f t="shared" si="31"/>
        <v>0.95481252260076321</v>
      </c>
      <c r="K84" s="1321">
        <f t="shared" si="33"/>
        <v>65</v>
      </c>
      <c r="L84" s="1916">
        <f t="shared" si="33"/>
        <v>0</v>
      </c>
      <c r="M84" s="1307"/>
    </row>
    <row r="85" spans="1:13" ht="22.5" x14ac:dyDescent="0.2">
      <c r="A85" s="1302"/>
      <c r="B85" s="1302"/>
      <c r="C85" s="1303" t="s">
        <v>970</v>
      </c>
      <c r="D85" s="1313" t="s">
        <v>971</v>
      </c>
      <c r="E85" s="1318">
        <v>313888.8</v>
      </c>
      <c r="F85" s="1322">
        <f>G85-E85</f>
        <v>0</v>
      </c>
      <c r="G85" s="1316" t="s">
        <v>972</v>
      </c>
      <c r="H85" s="1325">
        <v>304062.09000000003</v>
      </c>
      <c r="I85" s="1308">
        <v>0</v>
      </c>
      <c r="J85" s="1658">
        <f t="shared" si="31"/>
        <v>0.96869365839112465</v>
      </c>
      <c r="K85" s="1308">
        <v>0</v>
      </c>
      <c r="L85" s="1308">
        <v>0</v>
      </c>
      <c r="M85" s="1307"/>
    </row>
    <row r="86" spans="1:13" x14ac:dyDescent="0.2">
      <c r="A86" s="1302"/>
      <c r="B86" s="1302"/>
      <c r="C86" s="1303" t="s">
        <v>973</v>
      </c>
      <c r="D86" s="1313" t="s">
        <v>974</v>
      </c>
      <c r="E86" s="1318">
        <v>4000</v>
      </c>
      <c r="F86" s="1322">
        <f t="shared" ref="F86:F91" si="34">G86-E86</f>
        <v>0</v>
      </c>
      <c r="G86" s="1316" t="s">
        <v>873</v>
      </c>
      <c r="H86" s="1325">
        <v>3450</v>
      </c>
      <c r="I86" s="1308">
        <v>0</v>
      </c>
      <c r="J86" s="1658">
        <f t="shared" si="31"/>
        <v>0.86250000000000004</v>
      </c>
      <c r="K86" s="1308">
        <v>0</v>
      </c>
      <c r="L86" s="1308">
        <v>0</v>
      </c>
      <c r="M86" s="1307"/>
    </row>
    <row r="87" spans="1:13" x14ac:dyDescent="0.2">
      <c r="A87" s="1302"/>
      <c r="B87" s="1302"/>
      <c r="C87" s="1303" t="s">
        <v>391</v>
      </c>
      <c r="D87" s="1313" t="s">
        <v>17</v>
      </c>
      <c r="E87" s="1318">
        <v>10000</v>
      </c>
      <c r="F87" s="1322">
        <f t="shared" si="34"/>
        <v>20284</v>
      </c>
      <c r="G87" s="1316" t="s">
        <v>975</v>
      </c>
      <c r="H87" s="1325">
        <v>28173.05</v>
      </c>
      <c r="I87" s="1308">
        <v>0</v>
      </c>
      <c r="J87" s="1658">
        <f t="shared" si="31"/>
        <v>0.93029487518161402</v>
      </c>
      <c r="K87" s="1308">
        <v>0</v>
      </c>
      <c r="L87" s="1308">
        <v>0</v>
      </c>
      <c r="M87" s="1307"/>
    </row>
    <row r="88" spans="1:13" x14ac:dyDescent="0.2">
      <c r="A88" s="1302"/>
      <c r="B88" s="1302"/>
      <c r="C88" s="1303" t="s">
        <v>404</v>
      </c>
      <c r="D88" s="1313" t="s">
        <v>18</v>
      </c>
      <c r="E88" s="1318">
        <v>9000</v>
      </c>
      <c r="F88" s="1322">
        <f t="shared" si="34"/>
        <v>7150</v>
      </c>
      <c r="G88" s="1316" t="s">
        <v>976</v>
      </c>
      <c r="H88" s="1325">
        <v>14053.38</v>
      </c>
      <c r="I88" s="1308">
        <v>0</v>
      </c>
      <c r="J88" s="1658">
        <f t="shared" si="31"/>
        <v>0.87017832817337459</v>
      </c>
      <c r="K88" s="1308">
        <v>65</v>
      </c>
      <c r="L88" s="1308">
        <v>0</v>
      </c>
      <c r="M88" s="1307"/>
    </row>
    <row r="89" spans="1:13" ht="22.5" x14ac:dyDescent="0.2">
      <c r="A89" s="1302"/>
      <c r="B89" s="1302"/>
      <c r="C89" s="1303" t="s">
        <v>468</v>
      </c>
      <c r="D89" s="1313" t="s">
        <v>919</v>
      </c>
      <c r="E89" s="1318">
        <v>1000</v>
      </c>
      <c r="F89" s="1322">
        <f t="shared" si="34"/>
        <v>0</v>
      </c>
      <c r="G89" s="1316" t="s">
        <v>680</v>
      </c>
      <c r="H89" s="1325">
        <v>811.77</v>
      </c>
      <c r="I89" s="1308">
        <v>0</v>
      </c>
      <c r="J89" s="1658">
        <f t="shared" si="31"/>
        <v>0.81176999999999999</v>
      </c>
      <c r="K89" s="1308">
        <v>0</v>
      </c>
      <c r="L89" s="1308">
        <v>0</v>
      </c>
      <c r="M89" s="1307"/>
    </row>
    <row r="90" spans="1:13" x14ac:dyDescent="0.2">
      <c r="A90" s="1302"/>
      <c r="B90" s="1302"/>
      <c r="C90" s="1303" t="s">
        <v>977</v>
      </c>
      <c r="D90" s="1313" t="s">
        <v>978</v>
      </c>
      <c r="E90" s="1318">
        <v>4000</v>
      </c>
      <c r="F90" s="1322">
        <f t="shared" si="34"/>
        <v>0</v>
      </c>
      <c r="G90" s="1316" t="s">
        <v>873</v>
      </c>
      <c r="H90" s="1325">
        <v>1011.32</v>
      </c>
      <c r="I90" s="1308">
        <v>0</v>
      </c>
      <c r="J90" s="1658">
        <f t="shared" si="31"/>
        <v>0.25283</v>
      </c>
      <c r="K90" s="1308">
        <v>0</v>
      </c>
      <c r="L90" s="1308">
        <v>0</v>
      </c>
      <c r="M90" s="1307"/>
    </row>
    <row r="91" spans="1:13" ht="22.5" x14ac:dyDescent="0.2">
      <c r="A91" s="1302"/>
      <c r="B91" s="1302"/>
      <c r="C91" s="1303" t="s">
        <v>179</v>
      </c>
      <c r="D91" s="1313" t="s">
        <v>75</v>
      </c>
      <c r="E91" s="1318">
        <v>0</v>
      </c>
      <c r="F91" s="1322">
        <f t="shared" si="34"/>
        <v>30000</v>
      </c>
      <c r="G91" s="1316" t="s">
        <v>979</v>
      </c>
      <c r="H91" s="1325">
        <v>29716.799999999999</v>
      </c>
      <c r="I91" s="1308">
        <v>0</v>
      </c>
      <c r="J91" s="1658">
        <f t="shared" si="31"/>
        <v>0.99056</v>
      </c>
      <c r="K91" s="1308">
        <v>0</v>
      </c>
      <c r="L91" s="1308">
        <v>0</v>
      </c>
      <c r="M91" s="1307"/>
    </row>
    <row r="92" spans="1:13" ht="22.5" x14ac:dyDescent="0.2">
      <c r="A92" s="1299"/>
      <c r="B92" s="1305" t="s">
        <v>196</v>
      </c>
      <c r="C92" s="1300"/>
      <c r="D92" s="1312" t="s">
        <v>677</v>
      </c>
      <c r="E92" s="1317">
        <f>E93+E94+E95+E96+E97+E99+E98+E100+E101+E102+E103+E104+E105+E106+E107+E108+E109+E110+E111+E112+E113+E114+E115</f>
        <v>4395716.5699999994</v>
      </c>
      <c r="F92" s="1321">
        <f t="shared" ref="F92:L92" si="35">F93+F94+F95+F96+F97+F99+F98+F100+F101+F102+F103+F104+F105+F106+F107+F108+F109+F110+F111+F112+F113+F114+F115</f>
        <v>73064.430000000415</v>
      </c>
      <c r="G92" s="1314">
        <f t="shared" si="35"/>
        <v>4468781.0000000009</v>
      </c>
      <c r="H92" s="1317">
        <f t="shared" si="35"/>
        <v>4141969.1500000008</v>
      </c>
      <c r="I92" s="1321">
        <f t="shared" si="35"/>
        <v>39445.79</v>
      </c>
      <c r="J92" s="1326">
        <f t="shared" si="31"/>
        <v>0.92686778564445205</v>
      </c>
      <c r="K92" s="1321">
        <f t="shared" si="35"/>
        <v>317732.04000000004</v>
      </c>
      <c r="L92" s="1916">
        <f t="shared" si="35"/>
        <v>0</v>
      </c>
      <c r="M92" s="1307"/>
    </row>
    <row r="93" spans="1:13" ht="22.5" x14ac:dyDescent="0.2">
      <c r="A93" s="1302"/>
      <c r="B93" s="1302"/>
      <c r="C93" s="1303" t="s">
        <v>956</v>
      </c>
      <c r="D93" s="1313" t="s">
        <v>957</v>
      </c>
      <c r="E93" s="1318">
        <v>6700</v>
      </c>
      <c r="F93" s="1322">
        <f>G93-E93</f>
        <v>0</v>
      </c>
      <c r="G93" s="1316" t="s">
        <v>980</v>
      </c>
      <c r="H93" s="1325">
        <v>5059.21</v>
      </c>
      <c r="I93" s="1308">
        <v>0</v>
      </c>
      <c r="J93" s="1658">
        <f t="shared" si="31"/>
        <v>0.75510597014925374</v>
      </c>
      <c r="K93" s="1308">
        <v>0</v>
      </c>
      <c r="L93" s="1308">
        <v>0</v>
      </c>
      <c r="M93" s="1307"/>
    </row>
    <row r="94" spans="1:13" ht="22.5" x14ac:dyDescent="0.2">
      <c r="A94" s="1302"/>
      <c r="B94" s="1302"/>
      <c r="C94" s="1303" t="s">
        <v>890</v>
      </c>
      <c r="D94" s="1313" t="s">
        <v>13</v>
      </c>
      <c r="E94" s="1318">
        <v>2777374.28</v>
      </c>
      <c r="F94" s="1322">
        <f t="shared" ref="F94:F115" si="36">G94-E94</f>
        <v>-231.07999999960884</v>
      </c>
      <c r="G94" s="1316" t="s">
        <v>981</v>
      </c>
      <c r="H94" s="1325">
        <v>2614767.85</v>
      </c>
      <c r="I94" s="1308">
        <v>0</v>
      </c>
      <c r="J94" s="1658">
        <f t="shared" si="31"/>
        <v>0.94153151699199378</v>
      </c>
      <c r="K94" s="1308">
        <v>1494.47</v>
      </c>
      <c r="L94" s="1308">
        <v>0</v>
      </c>
      <c r="M94" s="1307"/>
    </row>
    <row r="95" spans="1:13" x14ac:dyDescent="0.2">
      <c r="A95" s="1302"/>
      <c r="B95" s="1302"/>
      <c r="C95" s="1303" t="s">
        <v>959</v>
      </c>
      <c r="D95" s="1313" t="s">
        <v>960</v>
      </c>
      <c r="E95" s="1318">
        <v>194598.9</v>
      </c>
      <c r="F95" s="1322">
        <f t="shared" si="36"/>
        <v>-11149.799999999988</v>
      </c>
      <c r="G95" s="1316" t="s">
        <v>982</v>
      </c>
      <c r="H95" s="1325">
        <v>183449.1</v>
      </c>
      <c r="I95" s="1308">
        <v>0</v>
      </c>
      <c r="J95" s="1658">
        <f t="shared" si="31"/>
        <v>1</v>
      </c>
      <c r="K95" s="1308">
        <v>205532.03</v>
      </c>
      <c r="L95" s="1308">
        <v>0</v>
      </c>
      <c r="M95" s="1307"/>
    </row>
    <row r="96" spans="1:13" x14ac:dyDescent="0.2">
      <c r="A96" s="1302"/>
      <c r="B96" s="1302"/>
      <c r="C96" s="1303" t="s">
        <v>447</v>
      </c>
      <c r="D96" s="1313" t="s">
        <v>14</v>
      </c>
      <c r="E96" s="1318">
        <v>450079.88</v>
      </c>
      <c r="F96" s="1322">
        <f t="shared" si="36"/>
        <v>-92.049999999988358</v>
      </c>
      <c r="G96" s="1316" t="s">
        <v>983</v>
      </c>
      <c r="H96" s="1325">
        <v>395303.9</v>
      </c>
      <c r="I96" s="1308">
        <v>0</v>
      </c>
      <c r="J96" s="1658">
        <f t="shared" si="31"/>
        <v>0.87847686902999134</v>
      </c>
      <c r="K96" s="1308">
        <v>79843.3</v>
      </c>
      <c r="L96" s="1308">
        <v>0</v>
      </c>
      <c r="M96" s="1307"/>
    </row>
    <row r="97" spans="1:13" x14ac:dyDescent="0.2">
      <c r="A97" s="1302"/>
      <c r="B97" s="1302"/>
      <c r="C97" s="1303" t="s">
        <v>450</v>
      </c>
      <c r="D97" s="1313" t="s">
        <v>15</v>
      </c>
      <c r="E97" s="1318">
        <v>51536.51</v>
      </c>
      <c r="F97" s="1322">
        <f t="shared" si="36"/>
        <v>60.159999999996217</v>
      </c>
      <c r="G97" s="1316" t="s">
        <v>984</v>
      </c>
      <c r="H97" s="1325">
        <v>32594.15</v>
      </c>
      <c r="I97" s="1308">
        <v>0</v>
      </c>
      <c r="J97" s="1658">
        <f t="shared" si="31"/>
        <v>0.63171034099681245</v>
      </c>
      <c r="K97" s="1308">
        <v>7025.74</v>
      </c>
      <c r="L97" s="1308">
        <v>0</v>
      </c>
      <c r="M97" s="1307"/>
    </row>
    <row r="98" spans="1:13" ht="22.5" x14ac:dyDescent="0.2">
      <c r="A98" s="1302"/>
      <c r="B98" s="1302"/>
      <c r="C98" s="1303" t="s">
        <v>985</v>
      </c>
      <c r="D98" s="1313" t="s">
        <v>986</v>
      </c>
      <c r="E98" s="1318">
        <v>25000</v>
      </c>
      <c r="F98" s="1322">
        <f t="shared" si="36"/>
        <v>-8305</v>
      </c>
      <c r="G98" s="1316" t="s">
        <v>987</v>
      </c>
      <c r="H98" s="1325">
        <v>13253</v>
      </c>
      <c r="I98" s="1308">
        <v>0</v>
      </c>
      <c r="J98" s="1658">
        <f t="shared" si="31"/>
        <v>0.79383048817011082</v>
      </c>
      <c r="K98" s="1308">
        <v>1558</v>
      </c>
      <c r="L98" s="1308">
        <v>0</v>
      </c>
      <c r="M98" s="1307"/>
    </row>
    <row r="99" spans="1:13" x14ac:dyDescent="0.2">
      <c r="A99" s="1302"/>
      <c r="B99" s="1302"/>
      <c r="C99" s="1303" t="s">
        <v>442</v>
      </c>
      <c r="D99" s="1313" t="s">
        <v>31</v>
      </c>
      <c r="E99" s="1318">
        <v>24385</v>
      </c>
      <c r="F99" s="1322">
        <f t="shared" si="36"/>
        <v>-3000</v>
      </c>
      <c r="G99" s="1316" t="s">
        <v>988</v>
      </c>
      <c r="H99" s="1325">
        <v>12797.5</v>
      </c>
      <c r="I99" s="1308">
        <v>0</v>
      </c>
      <c r="J99" s="1658">
        <f t="shared" si="31"/>
        <v>0.59843348141220487</v>
      </c>
      <c r="K99" s="1308">
        <v>0</v>
      </c>
      <c r="L99" s="1308">
        <v>0</v>
      </c>
      <c r="M99" s="1307"/>
    </row>
    <row r="100" spans="1:13" x14ac:dyDescent="0.2">
      <c r="A100" s="1302"/>
      <c r="B100" s="1302"/>
      <c r="C100" s="1303" t="s">
        <v>391</v>
      </c>
      <c r="D100" s="1313" t="s">
        <v>17</v>
      </c>
      <c r="E100" s="1318">
        <v>122700</v>
      </c>
      <c r="F100" s="1322">
        <f t="shared" si="36"/>
        <v>25228.410000000003</v>
      </c>
      <c r="G100" s="1316" t="s">
        <v>989</v>
      </c>
      <c r="H100" s="1325">
        <v>128202.87</v>
      </c>
      <c r="I100" s="1308">
        <v>0</v>
      </c>
      <c r="J100" s="1658">
        <f t="shared" si="31"/>
        <v>0.86665482309990349</v>
      </c>
      <c r="K100" s="1308">
        <v>1350.95</v>
      </c>
      <c r="L100" s="1308">
        <v>0</v>
      </c>
      <c r="M100" s="1307"/>
    </row>
    <row r="101" spans="1:13" x14ac:dyDescent="0.2">
      <c r="A101" s="1302"/>
      <c r="B101" s="1302"/>
      <c r="C101" s="1303" t="s">
        <v>902</v>
      </c>
      <c r="D101" s="1313" t="s">
        <v>41</v>
      </c>
      <c r="E101" s="1318">
        <v>77000</v>
      </c>
      <c r="F101" s="1322">
        <f t="shared" si="36"/>
        <v>0</v>
      </c>
      <c r="G101" s="1316" t="s">
        <v>990</v>
      </c>
      <c r="H101" s="1325">
        <v>66532.39</v>
      </c>
      <c r="I101" s="1308">
        <v>0</v>
      </c>
      <c r="J101" s="1658">
        <f t="shared" si="31"/>
        <v>0.86405701298701298</v>
      </c>
      <c r="K101" s="1308">
        <v>7673.51</v>
      </c>
      <c r="L101" s="1308">
        <v>0</v>
      </c>
      <c r="M101" s="1307"/>
    </row>
    <row r="102" spans="1:13" x14ac:dyDescent="0.2">
      <c r="A102" s="1302"/>
      <c r="B102" s="1302"/>
      <c r="C102" s="1303" t="s">
        <v>912</v>
      </c>
      <c r="D102" s="1313" t="s">
        <v>78</v>
      </c>
      <c r="E102" s="1318">
        <v>59000</v>
      </c>
      <c r="F102" s="1322">
        <f t="shared" si="36"/>
        <v>-3400</v>
      </c>
      <c r="G102" s="1316" t="s">
        <v>991</v>
      </c>
      <c r="H102" s="1325">
        <v>49366.63</v>
      </c>
      <c r="I102" s="1308">
        <v>0</v>
      </c>
      <c r="J102" s="1658">
        <f t="shared" si="31"/>
        <v>0.8878890287769784</v>
      </c>
      <c r="K102" s="1308">
        <v>0</v>
      </c>
      <c r="L102" s="1308">
        <v>0</v>
      </c>
      <c r="M102" s="1307"/>
    </row>
    <row r="103" spans="1:13" x14ac:dyDescent="0.2">
      <c r="A103" s="1302"/>
      <c r="B103" s="1302"/>
      <c r="C103" s="1303" t="s">
        <v>992</v>
      </c>
      <c r="D103" s="1313" t="s">
        <v>42</v>
      </c>
      <c r="E103" s="1318">
        <v>12300</v>
      </c>
      <c r="F103" s="1322">
        <f t="shared" si="36"/>
        <v>0</v>
      </c>
      <c r="G103" s="1316" t="s">
        <v>993</v>
      </c>
      <c r="H103" s="1325">
        <v>10591</v>
      </c>
      <c r="I103" s="1308">
        <v>0</v>
      </c>
      <c r="J103" s="1658">
        <f t="shared" si="31"/>
        <v>0.86105691056910572</v>
      </c>
      <c r="K103" s="1308">
        <v>0</v>
      </c>
      <c r="L103" s="1308">
        <v>0</v>
      </c>
      <c r="M103" s="1307"/>
    </row>
    <row r="104" spans="1:13" x14ac:dyDescent="0.2">
      <c r="A104" s="1302"/>
      <c r="B104" s="1302"/>
      <c r="C104" s="1303" t="s">
        <v>404</v>
      </c>
      <c r="D104" s="1313" t="s">
        <v>18</v>
      </c>
      <c r="E104" s="1318">
        <v>293500</v>
      </c>
      <c r="F104" s="1322">
        <f t="shared" si="36"/>
        <v>17915</v>
      </c>
      <c r="G104" s="1316" t="s">
        <v>994</v>
      </c>
      <c r="H104" s="1325">
        <v>308989.51</v>
      </c>
      <c r="I104" s="1308">
        <v>0</v>
      </c>
      <c r="J104" s="1658">
        <f t="shared" si="31"/>
        <v>0.9922113899458922</v>
      </c>
      <c r="K104" s="1308">
        <v>11178.28</v>
      </c>
      <c r="L104" s="1308">
        <v>0</v>
      </c>
      <c r="M104" s="1307"/>
    </row>
    <row r="105" spans="1:13" ht="22.5" x14ac:dyDescent="0.2">
      <c r="A105" s="1302"/>
      <c r="B105" s="1302"/>
      <c r="C105" s="1303" t="s">
        <v>468</v>
      </c>
      <c r="D105" s="1313" t="s">
        <v>919</v>
      </c>
      <c r="E105" s="1318">
        <v>35000</v>
      </c>
      <c r="F105" s="1322">
        <f t="shared" si="36"/>
        <v>0</v>
      </c>
      <c r="G105" s="1316" t="s">
        <v>832</v>
      </c>
      <c r="H105" s="1325">
        <v>33921.72</v>
      </c>
      <c r="I105" s="1308">
        <v>0</v>
      </c>
      <c r="J105" s="1658">
        <f t="shared" si="31"/>
        <v>0.96919200000000005</v>
      </c>
      <c r="K105" s="1308">
        <v>137.76</v>
      </c>
      <c r="L105" s="1308">
        <v>0</v>
      </c>
      <c r="M105" s="1307"/>
    </row>
    <row r="106" spans="1:13" x14ac:dyDescent="0.2">
      <c r="A106" s="1302"/>
      <c r="B106" s="1302"/>
      <c r="C106" s="1303" t="s">
        <v>995</v>
      </c>
      <c r="D106" s="1313" t="s">
        <v>996</v>
      </c>
      <c r="E106" s="1318">
        <v>1000</v>
      </c>
      <c r="F106" s="1322">
        <f t="shared" si="36"/>
        <v>-1000</v>
      </c>
      <c r="G106" s="1316" t="s">
        <v>636</v>
      </c>
      <c r="H106" s="1325">
        <v>0</v>
      </c>
      <c r="I106" s="1308">
        <v>0</v>
      </c>
      <c r="J106" s="1658">
        <v>0</v>
      </c>
      <c r="K106" s="1308">
        <v>0</v>
      </c>
      <c r="L106" s="1308">
        <v>0</v>
      </c>
      <c r="M106" s="1307"/>
    </row>
    <row r="107" spans="1:13" ht="22.5" x14ac:dyDescent="0.2">
      <c r="A107" s="1302"/>
      <c r="B107" s="1302"/>
      <c r="C107" s="1303" t="s">
        <v>997</v>
      </c>
      <c r="D107" s="1313" t="s">
        <v>998</v>
      </c>
      <c r="E107" s="1318">
        <v>65000</v>
      </c>
      <c r="F107" s="1322">
        <f t="shared" si="36"/>
        <v>0</v>
      </c>
      <c r="G107" s="1316" t="s">
        <v>999</v>
      </c>
      <c r="H107" s="1325">
        <v>45600</v>
      </c>
      <c r="I107" s="1308">
        <v>0</v>
      </c>
      <c r="J107" s="1658">
        <f t="shared" si="31"/>
        <v>0.70153846153846156</v>
      </c>
      <c r="K107" s="1308">
        <v>0</v>
      </c>
      <c r="L107" s="1308">
        <v>0</v>
      </c>
      <c r="M107" s="1307"/>
    </row>
    <row r="108" spans="1:13" x14ac:dyDescent="0.2">
      <c r="A108" s="1302"/>
      <c r="B108" s="1302"/>
      <c r="C108" s="1303" t="s">
        <v>1000</v>
      </c>
      <c r="D108" s="1313" t="s">
        <v>24</v>
      </c>
      <c r="E108" s="1318">
        <v>38000</v>
      </c>
      <c r="F108" s="1322">
        <f t="shared" si="36"/>
        <v>1000</v>
      </c>
      <c r="G108" s="1316" t="s">
        <v>1001</v>
      </c>
      <c r="H108" s="1325">
        <v>35909.660000000003</v>
      </c>
      <c r="I108" s="1308">
        <v>0</v>
      </c>
      <c r="J108" s="1658">
        <f t="shared" si="31"/>
        <v>0.92076051282051286</v>
      </c>
      <c r="K108" s="1308">
        <v>1938</v>
      </c>
      <c r="L108" s="1308">
        <v>0</v>
      </c>
      <c r="M108" s="1307"/>
    </row>
    <row r="109" spans="1:13" x14ac:dyDescent="0.2">
      <c r="A109" s="1302"/>
      <c r="B109" s="1302"/>
      <c r="C109" s="1303" t="s">
        <v>977</v>
      </c>
      <c r="D109" s="1313" t="s">
        <v>978</v>
      </c>
      <c r="E109" s="1318">
        <v>4000</v>
      </c>
      <c r="F109" s="1322">
        <f t="shared" si="36"/>
        <v>-4000</v>
      </c>
      <c r="G109" s="1316" t="s">
        <v>636</v>
      </c>
      <c r="H109" s="1325">
        <v>0</v>
      </c>
      <c r="I109" s="1308">
        <v>0</v>
      </c>
      <c r="J109" s="1658">
        <v>0</v>
      </c>
      <c r="K109" s="1308">
        <v>0</v>
      </c>
      <c r="L109" s="1308">
        <v>0</v>
      </c>
      <c r="M109" s="1307"/>
    </row>
    <row r="110" spans="1:13" x14ac:dyDescent="0.2">
      <c r="A110" s="1302"/>
      <c r="B110" s="1302"/>
      <c r="C110" s="1303" t="s">
        <v>897</v>
      </c>
      <c r="D110" s="1313" t="s">
        <v>19</v>
      </c>
      <c r="E110" s="1318">
        <v>28000</v>
      </c>
      <c r="F110" s="1322">
        <f t="shared" si="36"/>
        <v>0</v>
      </c>
      <c r="G110" s="1316" t="s">
        <v>1002</v>
      </c>
      <c r="H110" s="1325">
        <v>26929.5</v>
      </c>
      <c r="I110" s="1308">
        <v>0</v>
      </c>
      <c r="J110" s="1658">
        <f t="shared" si="31"/>
        <v>0.96176785714285717</v>
      </c>
      <c r="K110" s="1308">
        <v>0</v>
      </c>
      <c r="L110" s="1308">
        <v>0</v>
      </c>
      <c r="M110" s="1307"/>
    </row>
    <row r="111" spans="1:13" ht="22.5" x14ac:dyDescent="0.2">
      <c r="A111" s="1302"/>
      <c r="B111" s="1302"/>
      <c r="C111" s="1303" t="s">
        <v>1003</v>
      </c>
      <c r="D111" s="1313" t="s">
        <v>44</v>
      </c>
      <c r="E111" s="1318">
        <v>75542</v>
      </c>
      <c r="F111" s="1322">
        <f t="shared" si="36"/>
        <v>593</v>
      </c>
      <c r="G111" s="1316" t="s">
        <v>1004</v>
      </c>
      <c r="H111" s="1325">
        <v>72001</v>
      </c>
      <c r="I111" s="1308">
        <v>0</v>
      </c>
      <c r="J111" s="1658">
        <f t="shared" si="31"/>
        <v>0.94570171406055037</v>
      </c>
      <c r="K111" s="1308">
        <v>0</v>
      </c>
      <c r="L111" s="1308">
        <v>0</v>
      </c>
      <c r="M111" s="1307"/>
    </row>
    <row r="112" spans="1:13" ht="22.5" x14ac:dyDescent="0.2">
      <c r="A112" s="1302"/>
      <c r="B112" s="1302"/>
      <c r="C112" s="1303" t="s">
        <v>944</v>
      </c>
      <c r="D112" s="1313" t="s">
        <v>945</v>
      </c>
      <c r="E112" s="1318">
        <v>10000</v>
      </c>
      <c r="F112" s="1322">
        <f t="shared" si="36"/>
        <v>40000</v>
      </c>
      <c r="G112" s="1316" t="s">
        <v>639</v>
      </c>
      <c r="H112" s="1325">
        <v>43399.27</v>
      </c>
      <c r="I112" s="1308">
        <v>0</v>
      </c>
      <c r="J112" s="1658">
        <f t="shared" si="31"/>
        <v>0.86798539999999991</v>
      </c>
      <c r="K112" s="1308">
        <v>0</v>
      </c>
      <c r="L112" s="1308">
        <v>0</v>
      </c>
      <c r="M112" s="1307"/>
    </row>
    <row r="113" spans="1:13" ht="22.5" x14ac:dyDescent="0.2">
      <c r="A113" s="1302"/>
      <c r="B113" s="1302"/>
      <c r="C113" s="1303" t="s">
        <v>966</v>
      </c>
      <c r="D113" s="1313" t="s">
        <v>967</v>
      </c>
      <c r="E113" s="1318">
        <v>25000</v>
      </c>
      <c r="F113" s="1322">
        <f t="shared" si="36"/>
        <v>0</v>
      </c>
      <c r="G113" s="1316" t="s">
        <v>645</v>
      </c>
      <c r="H113" s="1325">
        <v>23855.1</v>
      </c>
      <c r="I113" s="1308">
        <v>0</v>
      </c>
      <c r="J113" s="1658">
        <f t="shared" si="31"/>
        <v>0.95420399999999994</v>
      </c>
      <c r="K113" s="1308">
        <v>0</v>
      </c>
      <c r="L113" s="1308">
        <v>0</v>
      </c>
      <c r="M113" s="1307"/>
    </row>
    <row r="114" spans="1:13" ht="22.5" x14ac:dyDescent="0.2">
      <c r="A114" s="1302"/>
      <c r="B114" s="1302"/>
      <c r="C114" s="1303" t="s">
        <v>147</v>
      </c>
      <c r="D114" s="1313" t="s">
        <v>45</v>
      </c>
      <c r="E114" s="1318">
        <v>0</v>
      </c>
      <c r="F114" s="1322">
        <f t="shared" si="36"/>
        <v>39445.79</v>
      </c>
      <c r="G114" s="1316" t="s">
        <v>1005</v>
      </c>
      <c r="H114" s="1325">
        <v>39445.79</v>
      </c>
      <c r="I114" s="1308">
        <v>39445.79</v>
      </c>
      <c r="J114" s="1658">
        <f t="shared" si="31"/>
        <v>1</v>
      </c>
      <c r="K114" s="1308">
        <v>0</v>
      </c>
      <c r="L114" s="1308">
        <v>0</v>
      </c>
      <c r="M114" s="1307"/>
    </row>
    <row r="115" spans="1:13" ht="22.5" x14ac:dyDescent="0.2">
      <c r="A115" s="1302"/>
      <c r="B115" s="1302"/>
      <c r="C115" s="1303" t="s">
        <v>179</v>
      </c>
      <c r="D115" s="1313" t="s">
        <v>75</v>
      </c>
      <c r="E115" s="1318">
        <v>20000</v>
      </c>
      <c r="F115" s="1322">
        <f t="shared" si="36"/>
        <v>-20000</v>
      </c>
      <c r="G115" s="1316" t="s">
        <v>636</v>
      </c>
      <c r="H115" s="1325">
        <v>0</v>
      </c>
      <c r="I115" s="1308">
        <v>0</v>
      </c>
      <c r="J115" s="1658">
        <v>0</v>
      </c>
      <c r="K115" s="1308">
        <v>0</v>
      </c>
      <c r="L115" s="1308">
        <v>0</v>
      </c>
      <c r="M115" s="1307"/>
    </row>
    <row r="116" spans="1:13" ht="56.25" x14ac:dyDescent="0.2">
      <c r="A116" s="1299"/>
      <c r="B116" s="1305" t="s">
        <v>1006</v>
      </c>
      <c r="C116" s="1300"/>
      <c r="D116" s="1312" t="s">
        <v>1007</v>
      </c>
      <c r="E116" s="1317">
        <f>E117+E118</f>
        <v>0</v>
      </c>
      <c r="F116" s="1321">
        <f t="shared" ref="F116:L116" si="37">F117+F118</f>
        <v>21384.43</v>
      </c>
      <c r="G116" s="1314">
        <f t="shared" si="37"/>
        <v>21384.43</v>
      </c>
      <c r="H116" s="1317">
        <f t="shared" si="37"/>
        <v>17305</v>
      </c>
      <c r="I116" s="1321">
        <f t="shared" si="37"/>
        <v>0</v>
      </c>
      <c r="J116" s="1326">
        <f t="shared" si="31"/>
        <v>0.80923363400380555</v>
      </c>
      <c r="K116" s="1321">
        <f t="shared" si="37"/>
        <v>0</v>
      </c>
      <c r="L116" s="1916">
        <f t="shared" si="37"/>
        <v>0</v>
      </c>
      <c r="M116" s="1307"/>
    </row>
    <row r="117" spans="1:13" x14ac:dyDescent="0.2">
      <c r="A117" s="1302"/>
      <c r="B117" s="1302"/>
      <c r="C117" s="1303" t="s">
        <v>391</v>
      </c>
      <c r="D117" s="1313" t="s">
        <v>17</v>
      </c>
      <c r="E117" s="1318">
        <v>0</v>
      </c>
      <c r="F117" s="1322">
        <f>G117-E117</f>
        <v>1000</v>
      </c>
      <c r="G117" s="1316" t="s">
        <v>680</v>
      </c>
      <c r="H117" s="1325">
        <v>0</v>
      </c>
      <c r="I117" s="1308">
        <v>0</v>
      </c>
      <c r="J117" s="1658">
        <f t="shared" si="31"/>
        <v>0</v>
      </c>
      <c r="K117" s="1308">
        <v>0</v>
      </c>
      <c r="L117" s="1308">
        <v>0</v>
      </c>
      <c r="M117" s="1307"/>
    </row>
    <row r="118" spans="1:13" x14ac:dyDescent="0.2">
      <c r="A118" s="1302"/>
      <c r="B118" s="1302"/>
      <c r="C118" s="1303" t="s">
        <v>912</v>
      </c>
      <c r="D118" s="1313" t="s">
        <v>78</v>
      </c>
      <c r="E118" s="1318">
        <v>0</v>
      </c>
      <c r="F118" s="1322">
        <f>G118-E118</f>
        <v>20384.43</v>
      </c>
      <c r="G118" s="1316" t="s">
        <v>1008</v>
      </c>
      <c r="H118" s="1325">
        <v>17305</v>
      </c>
      <c r="I118" s="1308">
        <v>0</v>
      </c>
      <c r="J118" s="1658">
        <f t="shared" si="31"/>
        <v>0.84893224878007378</v>
      </c>
      <c r="K118" s="1308">
        <v>0</v>
      </c>
      <c r="L118" s="1308">
        <v>0</v>
      </c>
      <c r="M118" s="1307"/>
    </row>
    <row r="119" spans="1:13" ht="22.5" x14ac:dyDescent="0.2">
      <c r="A119" s="1299"/>
      <c r="B119" s="1305" t="s">
        <v>682</v>
      </c>
      <c r="C119" s="1300"/>
      <c r="D119" s="1312" t="s">
        <v>76</v>
      </c>
      <c r="E119" s="1317">
        <f>E120+E121+E122+E123+E124</f>
        <v>74896</v>
      </c>
      <c r="F119" s="1321">
        <f t="shared" ref="F119:L119" si="38">F120+F121+F122+F123+F124</f>
        <v>124140</v>
      </c>
      <c r="G119" s="1314">
        <f t="shared" si="38"/>
        <v>199036</v>
      </c>
      <c r="H119" s="1317">
        <f t="shared" si="38"/>
        <v>189351.52000000002</v>
      </c>
      <c r="I119" s="1321">
        <f t="shared" si="38"/>
        <v>0</v>
      </c>
      <c r="J119" s="1326">
        <f t="shared" si="31"/>
        <v>0.95134307361482351</v>
      </c>
      <c r="K119" s="1321">
        <f t="shared" si="38"/>
        <v>0</v>
      </c>
      <c r="L119" s="1916">
        <f t="shared" si="38"/>
        <v>0</v>
      </c>
      <c r="M119" s="1307"/>
    </row>
    <row r="120" spans="1:13" x14ac:dyDescent="0.2">
      <c r="A120" s="1302"/>
      <c r="B120" s="1302"/>
      <c r="C120" s="1303" t="s">
        <v>447</v>
      </c>
      <c r="D120" s="1313" t="s">
        <v>14</v>
      </c>
      <c r="E120" s="1318">
        <v>0</v>
      </c>
      <c r="F120" s="1322">
        <f>G120-E120</f>
        <v>1488</v>
      </c>
      <c r="G120" s="1316" t="s">
        <v>1009</v>
      </c>
      <c r="H120" s="1325">
        <v>1480.59</v>
      </c>
      <c r="I120" s="1308">
        <v>0</v>
      </c>
      <c r="J120" s="1658">
        <f t="shared" si="31"/>
        <v>0.99502016129032256</v>
      </c>
      <c r="K120" s="1308">
        <v>0</v>
      </c>
      <c r="L120" s="1308">
        <v>0</v>
      </c>
      <c r="M120" s="1307"/>
    </row>
    <row r="121" spans="1:13" x14ac:dyDescent="0.2">
      <c r="A121" s="1302"/>
      <c r="B121" s="1302"/>
      <c r="C121" s="1303" t="s">
        <v>442</v>
      </c>
      <c r="D121" s="1313" t="s">
        <v>31</v>
      </c>
      <c r="E121" s="1318">
        <v>4500</v>
      </c>
      <c r="F121" s="1322">
        <f t="shared" ref="F121:F124" si="39">G121-E121</f>
        <v>17352</v>
      </c>
      <c r="G121" s="1316" t="s">
        <v>1010</v>
      </c>
      <c r="H121" s="1325">
        <v>18724</v>
      </c>
      <c r="I121" s="1308">
        <v>0</v>
      </c>
      <c r="J121" s="1658">
        <f t="shared" si="31"/>
        <v>0.85685520776130331</v>
      </c>
      <c r="K121" s="1308">
        <v>0</v>
      </c>
      <c r="L121" s="1308">
        <v>0</v>
      </c>
      <c r="M121" s="1307"/>
    </row>
    <row r="122" spans="1:13" x14ac:dyDescent="0.2">
      <c r="A122" s="1302"/>
      <c r="B122" s="1302"/>
      <c r="C122" s="1303" t="s">
        <v>391</v>
      </c>
      <c r="D122" s="1313" t="s">
        <v>17</v>
      </c>
      <c r="E122" s="1318">
        <v>36596</v>
      </c>
      <c r="F122" s="1322">
        <f t="shared" si="39"/>
        <v>-5000</v>
      </c>
      <c r="G122" s="1316" t="s">
        <v>1011</v>
      </c>
      <c r="H122" s="1325">
        <v>29949.39</v>
      </c>
      <c r="I122" s="1308">
        <v>0</v>
      </c>
      <c r="J122" s="1658">
        <f t="shared" si="31"/>
        <v>0.9478854918344094</v>
      </c>
      <c r="K122" s="1308">
        <v>0</v>
      </c>
      <c r="L122" s="1308">
        <v>0</v>
      </c>
      <c r="M122" s="1307"/>
    </row>
    <row r="123" spans="1:13" x14ac:dyDescent="0.2">
      <c r="A123" s="1302"/>
      <c r="B123" s="1302"/>
      <c r="C123" s="1303" t="s">
        <v>404</v>
      </c>
      <c r="D123" s="1313" t="s">
        <v>18</v>
      </c>
      <c r="E123" s="1318">
        <v>33800</v>
      </c>
      <c r="F123" s="1322">
        <f t="shared" si="39"/>
        <v>110105.69</v>
      </c>
      <c r="G123" s="1316" t="s">
        <v>1012</v>
      </c>
      <c r="H123" s="1325">
        <v>139003.23000000001</v>
      </c>
      <c r="I123" s="1308">
        <v>0</v>
      </c>
      <c r="J123" s="1658">
        <f t="shared" si="31"/>
        <v>0.96593282725651786</v>
      </c>
      <c r="K123" s="1308">
        <v>0</v>
      </c>
      <c r="L123" s="1308">
        <v>0</v>
      </c>
      <c r="M123" s="1307"/>
    </row>
    <row r="124" spans="1:13" x14ac:dyDescent="0.2">
      <c r="A124" s="1302"/>
      <c r="B124" s="1302"/>
      <c r="C124" s="1303" t="s">
        <v>995</v>
      </c>
      <c r="D124" s="1313" t="s">
        <v>996</v>
      </c>
      <c r="E124" s="1318">
        <v>0</v>
      </c>
      <c r="F124" s="1322">
        <f t="shared" si="39"/>
        <v>194.31</v>
      </c>
      <c r="G124" s="1316" t="s">
        <v>1013</v>
      </c>
      <c r="H124" s="1325">
        <v>194.31</v>
      </c>
      <c r="I124" s="1308">
        <v>0</v>
      </c>
      <c r="J124" s="1658">
        <f t="shared" si="31"/>
        <v>1</v>
      </c>
      <c r="K124" s="1308">
        <v>0</v>
      </c>
      <c r="L124" s="1308">
        <v>0</v>
      </c>
      <c r="M124" s="1307"/>
    </row>
    <row r="125" spans="1:13" ht="22.5" x14ac:dyDescent="0.2">
      <c r="A125" s="1299"/>
      <c r="B125" s="1305" t="s">
        <v>1014</v>
      </c>
      <c r="C125" s="1300"/>
      <c r="D125" s="1312" t="s">
        <v>1015</v>
      </c>
      <c r="E125" s="1317">
        <f>E126+E127+E128+E129+E130+E131+E132+E133+E134+E135+E136+E137+E138+E139+E140+E141+E142</f>
        <v>939201</v>
      </c>
      <c r="F125" s="1321">
        <f t="shared" ref="F125:L125" si="40">F126+F127+F128+F129+F130+F131+F132+F133+F134+F135+F136+F137+F138+F139+F140+F141+F142</f>
        <v>-31500.000000000044</v>
      </c>
      <c r="G125" s="1314">
        <f t="shared" si="40"/>
        <v>907701</v>
      </c>
      <c r="H125" s="1317">
        <f t="shared" si="40"/>
        <v>905205.78</v>
      </c>
      <c r="I125" s="1321">
        <f t="shared" si="40"/>
        <v>0</v>
      </c>
      <c r="J125" s="1326">
        <f t="shared" si="31"/>
        <v>0.99725105513820078</v>
      </c>
      <c r="K125" s="1321">
        <f t="shared" si="40"/>
        <v>74977.119999999995</v>
      </c>
      <c r="L125" s="1916">
        <f t="shared" si="40"/>
        <v>0</v>
      </c>
      <c r="M125" s="1307"/>
    </row>
    <row r="126" spans="1:13" ht="22.5" x14ac:dyDescent="0.2">
      <c r="A126" s="1302"/>
      <c r="B126" s="1302"/>
      <c r="C126" s="1303" t="s">
        <v>956</v>
      </c>
      <c r="D126" s="1313" t="s">
        <v>957</v>
      </c>
      <c r="E126" s="1318">
        <v>1350</v>
      </c>
      <c r="F126" s="1322">
        <f>G126-E126</f>
        <v>-1291</v>
      </c>
      <c r="G126" s="1316" t="s">
        <v>1016</v>
      </c>
      <c r="H126" s="1325">
        <v>58.33</v>
      </c>
      <c r="I126" s="1308">
        <v>0</v>
      </c>
      <c r="J126" s="1658">
        <f t="shared" si="31"/>
        <v>0.98864406779661018</v>
      </c>
      <c r="K126" s="1308">
        <v>0</v>
      </c>
      <c r="L126" s="1308">
        <v>0</v>
      </c>
      <c r="M126" s="1307"/>
    </row>
    <row r="127" spans="1:13" ht="22.5" x14ac:dyDescent="0.2">
      <c r="A127" s="1302"/>
      <c r="B127" s="1302"/>
      <c r="C127" s="1303" t="s">
        <v>890</v>
      </c>
      <c r="D127" s="1313" t="s">
        <v>13</v>
      </c>
      <c r="E127" s="1318">
        <v>629000</v>
      </c>
      <c r="F127" s="1322">
        <f t="shared" ref="F127:F142" si="41">G127-E127</f>
        <v>-31817.920000000042</v>
      </c>
      <c r="G127" s="1316" t="s">
        <v>1017</v>
      </c>
      <c r="H127" s="1325">
        <v>597181.98</v>
      </c>
      <c r="I127" s="1308">
        <v>0</v>
      </c>
      <c r="J127" s="1658">
        <f t="shared" si="31"/>
        <v>0.99999983254688418</v>
      </c>
      <c r="K127" s="1308">
        <v>13888.05</v>
      </c>
      <c r="L127" s="1308">
        <v>0</v>
      </c>
      <c r="M127" s="1307"/>
    </row>
    <row r="128" spans="1:13" x14ac:dyDescent="0.2">
      <c r="A128" s="1302"/>
      <c r="B128" s="1302"/>
      <c r="C128" s="1303" t="s">
        <v>959</v>
      </c>
      <c r="D128" s="1313" t="s">
        <v>960</v>
      </c>
      <c r="E128" s="1318">
        <v>46669</v>
      </c>
      <c r="F128" s="1322">
        <f t="shared" si="41"/>
        <v>-4182.0800000000017</v>
      </c>
      <c r="G128" s="1316" t="s">
        <v>1018</v>
      </c>
      <c r="H128" s="1325">
        <v>42486.92</v>
      </c>
      <c r="I128" s="1308">
        <v>0</v>
      </c>
      <c r="J128" s="1658">
        <f t="shared" si="31"/>
        <v>1</v>
      </c>
      <c r="K128" s="1308">
        <v>43711.65</v>
      </c>
      <c r="L128" s="1308">
        <v>0</v>
      </c>
      <c r="M128" s="1307"/>
    </row>
    <row r="129" spans="1:13" x14ac:dyDescent="0.2">
      <c r="A129" s="1302"/>
      <c r="B129" s="1302"/>
      <c r="C129" s="1303" t="s">
        <v>447</v>
      </c>
      <c r="D129" s="1313" t="s">
        <v>14</v>
      </c>
      <c r="E129" s="1318">
        <v>103512</v>
      </c>
      <c r="F129" s="1322">
        <f t="shared" si="41"/>
        <v>-3400</v>
      </c>
      <c r="G129" s="1316" t="s">
        <v>1019</v>
      </c>
      <c r="H129" s="1325">
        <v>100112</v>
      </c>
      <c r="I129" s="1308">
        <v>0</v>
      </c>
      <c r="J129" s="1658">
        <f t="shared" si="31"/>
        <v>1</v>
      </c>
      <c r="K129" s="1308">
        <v>16123.06</v>
      </c>
      <c r="L129" s="1308">
        <v>0</v>
      </c>
      <c r="M129" s="1307"/>
    </row>
    <row r="130" spans="1:13" x14ac:dyDescent="0.2">
      <c r="A130" s="1302"/>
      <c r="B130" s="1302"/>
      <c r="C130" s="1303" t="s">
        <v>450</v>
      </c>
      <c r="D130" s="1313" t="s">
        <v>15</v>
      </c>
      <c r="E130" s="1318">
        <v>14754</v>
      </c>
      <c r="F130" s="1322">
        <f t="shared" si="41"/>
        <v>-5100</v>
      </c>
      <c r="G130" s="1316" t="s">
        <v>1020</v>
      </c>
      <c r="H130" s="1325">
        <v>9654</v>
      </c>
      <c r="I130" s="1308">
        <v>0</v>
      </c>
      <c r="J130" s="1658">
        <f t="shared" si="31"/>
        <v>1</v>
      </c>
      <c r="K130" s="1308">
        <v>1254.3599999999999</v>
      </c>
      <c r="L130" s="1308">
        <v>0</v>
      </c>
      <c r="M130" s="1307"/>
    </row>
    <row r="131" spans="1:13" x14ac:dyDescent="0.2">
      <c r="A131" s="1302"/>
      <c r="B131" s="1302"/>
      <c r="C131" s="1303" t="s">
        <v>442</v>
      </c>
      <c r="D131" s="1313" t="s">
        <v>31</v>
      </c>
      <c r="E131" s="1318">
        <v>3000</v>
      </c>
      <c r="F131" s="1322">
        <f t="shared" si="41"/>
        <v>-2984</v>
      </c>
      <c r="G131" s="1316" t="s">
        <v>1021</v>
      </c>
      <c r="H131" s="1325">
        <v>16</v>
      </c>
      <c r="I131" s="1308">
        <v>0</v>
      </c>
      <c r="J131" s="1658">
        <f t="shared" si="31"/>
        <v>1</v>
      </c>
      <c r="K131" s="1308">
        <v>0</v>
      </c>
      <c r="L131" s="1308">
        <v>0</v>
      </c>
      <c r="M131" s="1307"/>
    </row>
    <row r="132" spans="1:13" x14ac:dyDescent="0.2">
      <c r="A132" s="1302"/>
      <c r="B132" s="1302"/>
      <c r="C132" s="1303" t="s">
        <v>391</v>
      </c>
      <c r="D132" s="1313" t="s">
        <v>17</v>
      </c>
      <c r="E132" s="1318">
        <v>40000</v>
      </c>
      <c r="F132" s="1322">
        <f t="shared" si="41"/>
        <v>-16917.25</v>
      </c>
      <c r="G132" s="1316" t="s">
        <v>1022</v>
      </c>
      <c r="H132" s="1325">
        <v>23062.65</v>
      </c>
      <c r="I132" s="1308">
        <v>0</v>
      </c>
      <c r="J132" s="1658">
        <f t="shared" si="31"/>
        <v>0.99912921987198233</v>
      </c>
      <c r="K132" s="1308">
        <v>0</v>
      </c>
      <c r="L132" s="1308">
        <v>0</v>
      </c>
      <c r="M132" s="1307"/>
    </row>
    <row r="133" spans="1:13" x14ac:dyDescent="0.2">
      <c r="A133" s="1302"/>
      <c r="B133" s="1302"/>
      <c r="C133" s="1303" t="s">
        <v>902</v>
      </c>
      <c r="D133" s="1313" t="s">
        <v>41</v>
      </c>
      <c r="E133" s="1318">
        <v>5000</v>
      </c>
      <c r="F133" s="1322">
        <f t="shared" si="41"/>
        <v>-3400</v>
      </c>
      <c r="G133" s="1316" t="s">
        <v>1023</v>
      </c>
      <c r="H133" s="1325">
        <v>1397.46</v>
      </c>
      <c r="I133" s="1308">
        <v>0</v>
      </c>
      <c r="J133" s="1658">
        <f t="shared" si="31"/>
        <v>0.87341250000000004</v>
      </c>
      <c r="K133" s="1308">
        <v>0</v>
      </c>
      <c r="L133" s="1308">
        <v>0</v>
      </c>
      <c r="M133" s="1307"/>
    </row>
    <row r="134" spans="1:13" x14ac:dyDescent="0.2">
      <c r="A134" s="1302"/>
      <c r="B134" s="1302"/>
      <c r="C134" s="1303" t="s">
        <v>912</v>
      </c>
      <c r="D134" s="1313" t="s">
        <v>78</v>
      </c>
      <c r="E134" s="1318">
        <v>2000</v>
      </c>
      <c r="F134" s="1322">
        <f t="shared" si="41"/>
        <v>17000</v>
      </c>
      <c r="G134" s="1316" t="s">
        <v>1024</v>
      </c>
      <c r="H134" s="1325">
        <v>18929.740000000002</v>
      </c>
      <c r="I134" s="1308">
        <v>0</v>
      </c>
      <c r="J134" s="1658">
        <f t="shared" si="31"/>
        <v>0.99630210526315799</v>
      </c>
      <c r="K134" s="1308">
        <v>0</v>
      </c>
      <c r="L134" s="1308">
        <v>0</v>
      </c>
      <c r="M134" s="1307"/>
    </row>
    <row r="135" spans="1:13" x14ac:dyDescent="0.2">
      <c r="A135" s="1302"/>
      <c r="B135" s="1302"/>
      <c r="C135" s="1303" t="s">
        <v>992</v>
      </c>
      <c r="D135" s="1313" t="s">
        <v>42</v>
      </c>
      <c r="E135" s="1318">
        <v>3000</v>
      </c>
      <c r="F135" s="1322">
        <f t="shared" si="41"/>
        <v>-2510</v>
      </c>
      <c r="G135" s="1316" t="s">
        <v>1025</v>
      </c>
      <c r="H135" s="1325">
        <v>490</v>
      </c>
      <c r="I135" s="1308">
        <v>0</v>
      </c>
      <c r="J135" s="1658">
        <f t="shared" si="31"/>
        <v>1</v>
      </c>
      <c r="K135" s="1308">
        <v>0</v>
      </c>
      <c r="L135" s="1308">
        <v>0</v>
      </c>
      <c r="M135" s="1307"/>
    </row>
    <row r="136" spans="1:13" x14ac:dyDescent="0.2">
      <c r="A136" s="1302"/>
      <c r="B136" s="1302"/>
      <c r="C136" s="1303" t="s">
        <v>404</v>
      </c>
      <c r="D136" s="1313" t="s">
        <v>18</v>
      </c>
      <c r="E136" s="1318">
        <v>35000</v>
      </c>
      <c r="F136" s="1322">
        <f t="shared" si="41"/>
        <v>12000</v>
      </c>
      <c r="G136" s="1316" t="s">
        <v>1026</v>
      </c>
      <c r="H136" s="1325">
        <v>45154.400000000001</v>
      </c>
      <c r="I136" s="1308">
        <v>0</v>
      </c>
      <c r="J136" s="1658">
        <f t="shared" si="31"/>
        <v>0.96073191489361709</v>
      </c>
      <c r="K136" s="1308">
        <v>0</v>
      </c>
      <c r="L136" s="1308">
        <v>0</v>
      </c>
      <c r="M136" s="1307"/>
    </row>
    <row r="137" spans="1:13" ht="22.5" x14ac:dyDescent="0.2">
      <c r="A137" s="1302"/>
      <c r="B137" s="1302"/>
      <c r="C137" s="1303" t="s">
        <v>468</v>
      </c>
      <c r="D137" s="1313" t="s">
        <v>919</v>
      </c>
      <c r="E137" s="1318">
        <v>2800</v>
      </c>
      <c r="F137" s="1322">
        <f t="shared" si="41"/>
        <v>120</v>
      </c>
      <c r="G137" s="1316" t="s">
        <v>1027</v>
      </c>
      <c r="H137" s="1325">
        <v>2915.49</v>
      </c>
      <c r="I137" s="1308">
        <v>0</v>
      </c>
      <c r="J137" s="1658">
        <f t="shared" si="31"/>
        <v>0.99845547945205471</v>
      </c>
      <c r="K137" s="1308">
        <v>0</v>
      </c>
      <c r="L137" s="1308">
        <v>0</v>
      </c>
      <c r="M137" s="1307"/>
    </row>
    <row r="138" spans="1:13" ht="22.5" x14ac:dyDescent="0.2">
      <c r="A138" s="1302"/>
      <c r="B138" s="1302"/>
      <c r="C138" s="1303" t="s">
        <v>997</v>
      </c>
      <c r="D138" s="1313" t="s">
        <v>998</v>
      </c>
      <c r="E138" s="1318">
        <v>30000</v>
      </c>
      <c r="F138" s="1322">
        <f t="shared" si="41"/>
        <v>0</v>
      </c>
      <c r="G138" s="1316" t="s">
        <v>979</v>
      </c>
      <c r="H138" s="1325">
        <v>30000</v>
      </c>
      <c r="I138" s="1308">
        <v>0</v>
      </c>
      <c r="J138" s="1658">
        <f t="shared" si="31"/>
        <v>1</v>
      </c>
      <c r="K138" s="1308">
        <v>0</v>
      </c>
      <c r="L138" s="1308">
        <v>0</v>
      </c>
      <c r="M138" s="1307"/>
    </row>
    <row r="139" spans="1:13" x14ac:dyDescent="0.2">
      <c r="A139" s="1302"/>
      <c r="B139" s="1302"/>
      <c r="C139" s="1303" t="s">
        <v>1000</v>
      </c>
      <c r="D139" s="1313" t="s">
        <v>24</v>
      </c>
      <c r="E139" s="1318">
        <v>5000</v>
      </c>
      <c r="F139" s="1322">
        <f t="shared" si="41"/>
        <v>-2000</v>
      </c>
      <c r="G139" s="1316" t="s">
        <v>1028</v>
      </c>
      <c r="H139" s="1325">
        <v>2971.5</v>
      </c>
      <c r="I139" s="1308">
        <v>0</v>
      </c>
      <c r="J139" s="1658">
        <f t="shared" ref="J139:J202" si="42">H139/G139</f>
        <v>0.99050000000000005</v>
      </c>
      <c r="K139" s="1308">
        <v>0</v>
      </c>
      <c r="L139" s="1308">
        <v>0</v>
      </c>
      <c r="M139" s="1307"/>
    </row>
    <row r="140" spans="1:13" x14ac:dyDescent="0.2">
      <c r="A140" s="1302"/>
      <c r="B140" s="1302"/>
      <c r="C140" s="1303" t="s">
        <v>897</v>
      </c>
      <c r="D140" s="1313" t="s">
        <v>19</v>
      </c>
      <c r="E140" s="1318">
        <v>200</v>
      </c>
      <c r="F140" s="1322">
        <f t="shared" si="41"/>
        <v>-24.75</v>
      </c>
      <c r="G140" s="1316" t="s">
        <v>1029</v>
      </c>
      <c r="H140" s="1325">
        <v>154.5</v>
      </c>
      <c r="I140" s="1308">
        <v>0</v>
      </c>
      <c r="J140" s="1658">
        <f t="shared" si="42"/>
        <v>0.88159771754636229</v>
      </c>
      <c r="K140" s="1308">
        <v>0</v>
      </c>
      <c r="L140" s="1308">
        <v>0</v>
      </c>
      <c r="M140" s="1307"/>
    </row>
    <row r="141" spans="1:13" ht="22.5" x14ac:dyDescent="0.2">
      <c r="A141" s="1302"/>
      <c r="B141" s="1302"/>
      <c r="C141" s="1303" t="s">
        <v>1003</v>
      </c>
      <c r="D141" s="1313" t="s">
        <v>44</v>
      </c>
      <c r="E141" s="1318">
        <v>11916</v>
      </c>
      <c r="F141" s="1322">
        <f t="shared" si="41"/>
        <v>3007</v>
      </c>
      <c r="G141" s="1316" t="s">
        <v>1030</v>
      </c>
      <c r="H141" s="1325">
        <v>14923</v>
      </c>
      <c r="I141" s="1308">
        <v>0</v>
      </c>
      <c r="J141" s="1658">
        <f t="shared" si="42"/>
        <v>1</v>
      </c>
      <c r="K141" s="1308">
        <v>0</v>
      </c>
      <c r="L141" s="1308">
        <v>0</v>
      </c>
      <c r="M141" s="1307"/>
    </row>
    <row r="142" spans="1:13" ht="22.5" x14ac:dyDescent="0.2">
      <c r="A142" s="1302"/>
      <c r="B142" s="1302"/>
      <c r="C142" s="1303" t="s">
        <v>966</v>
      </c>
      <c r="D142" s="1313" t="s">
        <v>967</v>
      </c>
      <c r="E142" s="1318">
        <v>6000</v>
      </c>
      <c r="F142" s="1322">
        <f t="shared" si="41"/>
        <v>10000</v>
      </c>
      <c r="G142" s="1316" t="s">
        <v>1031</v>
      </c>
      <c r="H142" s="1325">
        <v>15697.81</v>
      </c>
      <c r="I142" s="1308">
        <v>0</v>
      </c>
      <c r="J142" s="1658">
        <f t="shared" si="42"/>
        <v>0.98111312499999992</v>
      </c>
      <c r="K142" s="1308">
        <v>0</v>
      </c>
      <c r="L142" s="1308">
        <v>0</v>
      </c>
      <c r="M142" s="1307"/>
    </row>
    <row r="143" spans="1:13" ht="15" x14ac:dyDescent="0.2">
      <c r="A143" s="1299"/>
      <c r="B143" s="1305" t="s">
        <v>1032</v>
      </c>
      <c r="C143" s="1300"/>
      <c r="D143" s="1312" t="s">
        <v>11</v>
      </c>
      <c r="E143" s="1317">
        <f>E144+E145+E146</f>
        <v>188404</v>
      </c>
      <c r="F143" s="1321">
        <f t="shared" ref="F143:L143" si="43">F144+F145+F146</f>
        <v>25000</v>
      </c>
      <c r="G143" s="1314">
        <f t="shared" si="43"/>
        <v>213404</v>
      </c>
      <c r="H143" s="1317">
        <f t="shared" si="43"/>
        <v>203139.20000000001</v>
      </c>
      <c r="I143" s="1321">
        <f t="shared" si="43"/>
        <v>0</v>
      </c>
      <c r="J143" s="1326">
        <f t="shared" si="42"/>
        <v>0.95189968322993013</v>
      </c>
      <c r="K143" s="1321">
        <f t="shared" si="43"/>
        <v>0</v>
      </c>
      <c r="L143" s="1916">
        <f t="shared" si="43"/>
        <v>0</v>
      </c>
      <c r="M143" s="1307"/>
    </row>
    <row r="144" spans="1:13" ht="22.5" x14ac:dyDescent="0.2">
      <c r="A144" s="1302"/>
      <c r="B144" s="1302"/>
      <c r="C144" s="1303" t="s">
        <v>970</v>
      </c>
      <c r="D144" s="1313" t="s">
        <v>971</v>
      </c>
      <c r="E144" s="1318">
        <v>111384</v>
      </c>
      <c r="F144" s="1322">
        <f>G144-E144</f>
        <v>0</v>
      </c>
      <c r="G144" s="1316" t="s">
        <v>1033</v>
      </c>
      <c r="H144" s="1325">
        <v>111384</v>
      </c>
      <c r="I144" s="1308">
        <v>0</v>
      </c>
      <c r="J144" s="1658">
        <f t="shared" si="42"/>
        <v>1</v>
      </c>
      <c r="K144" s="1308">
        <v>0</v>
      </c>
      <c r="L144" s="1308">
        <v>0</v>
      </c>
      <c r="M144" s="1307"/>
    </row>
    <row r="145" spans="1:13" x14ac:dyDescent="0.2">
      <c r="A145" s="1302"/>
      <c r="B145" s="1302"/>
      <c r="C145" s="1303" t="s">
        <v>1034</v>
      </c>
      <c r="D145" s="1313" t="s">
        <v>1035</v>
      </c>
      <c r="E145" s="1318">
        <v>3000</v>
      </c>
      <c r="F145" s="1322">
        <f t="shared" ref="F145:F146" si="44">G145-E145</f>
        <v>0</v>
      </c>
      <c r="G145" s="1316" t="s">
        <v>1028</v>
      </c>
      <c r="H145" s="1325">
        <v>1540</v>
      </c>
      <c r="I145" s="1308">
        <v>0</v>
      </c>
      <c r="J145" s="1658">
        <f t="shared" si="42"/>
        <v>0.51333333333333331</v>
      </c>
      <c r="K145" s="1308">
        <v>0</v>
      </c>
      <c r="L145" s="1308">
        <v>0</v>
      </c>
      <c r="M145" s="1307"/>
    </row>
    <row r="146" spans="1:13" x14ac:dyDescent="0.2">
      <c r="A146" s="1302"/>
      <c r="B146" s="1302"/>
      <c r="C146" s="1303" t="s">
        <v>897</v>
      </c>
      <c r="D146" s="1313" t="s">
        <v>19</v>
      </c>
      <c r="E146" s="1318">
        <v>74020</v>
      </c>
      <c r="F146" s="1322">
        <f t="shared" si="44"/>
        <v>25000</v>
      </c>
      <c r="G146" s="1316" t="s">
        <v>1036</v>
      </c>
      <c r="H146" s="1325">
        <v>90215.2</v>
      </c>
      <c r="I146" s="1308">
        <v>0</v>
      </c>
      <c r="J146" s="1658">
        <f t="shared" si="42"/>
        <v>0.91108058977984241</v>
      </c>
      <c r="K146" s="1308">
        <v>0</v>
      </c>
      <c r="L146" s="1308">
        <v>0</v>
      </c>
      <c r="M146" s="1307"/>
    </row>
    <row r="147" spans="1:13" ht="33.75" x14ac:dyDescent="0.2">
      <c r="A147" s="1334" t="s">
        <v>683</v>
      </c>
      <c r="B147" s="1334"/>
      <c r="C147" s="1334"/>
      <c r="D147" s="1335" t="s">
        <v>684</v>
      </c>
      <c r="E147" s="1336">
        <f>E148+E152</f>
        <v>3500</v>
      </c>
      <c r="F147" s="1330">
        <f t="shared" ref="F147:L147" si="45">F148+F152</f>
        <v>157570.00000000003</v>
      </c>
      <c r="G147" s="1337">
        <f t="shared" si="45"/>
        <v>161070.00000000003</v>
      </c>
      <c r="H147" s="1336">
        <f t="shared" si="45"/>
        <v>154700.76</v>
      </c>
      <c r="I147" s="1330">
        <f t="shared" si="45"/>
        <v>0</v>
      </c>
      <c r="J147" s="1333">
        <f t="shared" si="42"/>
        <v>0.96045669584652626</v>
      </c>
      <c r="K147" s="1330">
        <f t="shared" si="45"/>
        <v>0</v>
      </c>
      <c r="L147" s="1917">
        <f t="shared" si="45"/>
        <v>0</v>
      </c>
      <c r="M147" s="1307"/>
    </row>
    <row r="148" spans="1:13" ht="22.5" x14ac:dyDescent="0.2">
      <c r="A148" s="1299"/>
      <c r="B148" s="1305" t="s">
        <v>685</v>
      </c>
      <c r="C148" s="1300"/>
      <c r="D148" s="1312" t="s">
        <v>686</v>
      </c>
      <c r="E148" s="1317">
        <f>E149+E150+E151</f>
        <v>3500</v>
      </c>
      <c r="F148" s="1321">
        <f t="shared" ref="F148:L148" si="46">F149+F150+F151</f>
        <v>0</v>
      </c>
      <c r="G148" s="1314">
        <f t="shared" si="46"/>
        <v>3500</v>
      </c>
      <c r="H148" s="1317">
        <f t="shared" si="46"/>
        <v>3500</v>
      </c>
      <c r="I148" s="1321">
        <f t="shared" si="46"/>
        <v>0</v>
      </c>
      <c r="J148" s="1326">
        <f t="shared" si="42"/>
        <v>1</v>
      </c>
      <c r="K148" s="1321">
        <f t="shared" si="46"/>
        <v>0</v>
      </c>
      <c r="L148" s="1916">
        <f t="shared" si="46"/>
        <v>0</v>
      </c>
      <c r="M148" s="1307"/>
    </row>
    <row r="149" spans="1:13" ht="22.5" x14ac:dyDescent="0.2">
      <c r="A149" s="1302"/>
      <c r="B149" s="1302"/>
      <c r="C149" s="1303" t="s">
        <v>890</v>
      </c>
      <c r="D149" s="1313" t="s">
        <v>13</v>
      </c>
      <c r="E149" s="1318">
        <v>2955.23</v>
      </c>
      <c r="F149" s="1322">
        <f>G149-E149</f>
        <v>0</v>
      </c>
      <c r="G149" s="1316" t="s">
        <v>1037</v>
      </c>
      <c r="H149" s="1325">
        <v>2955.23</v>
      </c>
      <c r="I149" s="1308">
        <v>0</v>
      </c>
      <c r="J149" s="1658">
        <f t="shared" si="42"/>
        <v>1</v>
      </c>
      <c r="K149" s="1308">
        <v>0</v>
      </c>
      <c r="L149" s="1308">
        <v>0</v>
      </c>
      <c r="M149" s="1307"/>
    </row>
    <row r="150" spans="1:13" x14ac:dyDescent="0.2">
      <c r="A150" s="1302"/>
      <c r="B150" s="1302"/>
      <c r="C150" s="1303" t="s">
        <v>447</v>
      </c>
      <c r="D150" s="1313" t="s">
        <v>14</v>
      </c>
      <c r="E150" s="1318">
        <v>508</v>
      </c>
      <c r="F150" s="1322">
        <f t="shared" ref="F150:F151" si="47">G150-E150</f>
        <v>0</v>
      </c>
      <c r="G150" s="1316" t="s">
        <v>1038</v>
      </c>
      <c r="H150" s="1325">
        <v>508</v>
      </c>
      <c r="I150" s="1308">
        <v>0</v>
      </c>
      <c r="J150" s="1658">
        <f t="shared" si="42"/>
        <v>1</v>
      </c>
      <c r="K150" s="1308">
        <v>0</v>
      </c>
      <c r="L150" s="1308">
        <v>0</v>
      </c>
      <c r="M150" s="1307"/>
    </row>
    <row r="151" spans="1:13" x14ac:dyDescent="0.2">
      <c r="A151" s="1302"/>
      <c r="B151" s="1302"/>
      <c r="C151" s="1303" t="s">
        <v>450</v>
      </c>
      <c r="D151" s="1313" t="s">
        <v>15</v>
      </c>
      <c r="E151" s="1318">
        <v>36.770000000000003</v>
      </c>
      <c r="F151" s="1322">
        <f t="shared" si="47"/>
        <v>0</v>
      </c>
      <c r="G151" s="1316" t="s">
        <v>1039</v>
      </c>
      <c r="H151" s="1325">
        <v>36.770000000000003</v>
      </c>
      <c r="I151" s="1308">
        <v>0</v>
      </c>
      <c r="J151" s="1658">
        <f t="shared" si="42"/>
        <v>1</v>
      </c>
      <c r="K151" s="1308">
        <v>0</v>
      </c>
      <c r="L151" s="1308">
        <v>0</v>
      </c>
      <c r="M151" s="1307"/>
    </row>
    <row r="152" spans="1:13" ht="56.25" x14ac:dyDescent="0.2">
      <c r="A152" s="1299"/>
      <c r="B152" s="1305" t="s">
        <v>688</v>
      </c>
      <c r="C152" s="1300"/>
      <c r="D152" s="1312" t="s">
        <v>29</v>
      </c>
      <c r="E152" s="1317">
        <f>E153+E154+E155+E156+E157+E158+E159+E160</f>
        <v>0</v>
      </c>
      <c r="F152" s="1321">
        <f t="shared" ref="F152:L152" si="48">F153+F154+F155+F156+F157+F158+F159+F160</f>
        <v>157570.00000000003</v>
      </c>
      <c r="G152" s="1314">
        <f t="shared" si="48"/>
        <v>157570.00000000003</v>
      </c>
      <c r="H152" s="1317">
        <f t="shared" si="48"/>
        <v>151200.76</v>
      </c>
      <c r="I152" s="1321">
        <f t="shared" si="48"/>
        <v>0</v>
      </c>
      <c r="J152" s="1326">
        <f t="shared" si="42"/>
        <v>0.95957834613187776</v>
      </c>
      <c r="K152" s="1321">
        <f t="shared" si="48"/>
        <v>0</v>
      </c>
      <c r="L152" s="1916">
        <f t="shared" si="48"/>
        <v>0</v>
      </c>
      <c r="M152" s="1307"/>
    </row>
    <row r="153" spans="1:13" ht="22.5" x14ac:dyDescent="0.2">
      <c r="A153" s="1302"/>
      <c r="B153" s="1302"/>
      <c r="C153" s="1303" t="s">
        <v>970</v>
      </c>
      <c r="D153" s="1313" t="s">
        <v>971</v>
      </c>
      <c r="E153" s="1318">
        <v>0</v>
      </c>
      <c r="F153" s="1322">
        <f>G153-E153</f>
        <v>89615.99</v>
      </c>
      <c r="G153" s="1316" t="s">
        <v>1040</v>
      </c>
      <c r="H153" s="1325">
        <v>88115.99</v>
      </c>
      <c r="I153" s="1308">
        <v>0</v>
      </c>
      <c r="J153" s="1658">
        <f t="shared" si="42"/>
        <v>0.98326191564697329</v>
      </c>
      <c r="K153" s="1308">
        <v>0</v>
      </c>
      <c r="L153" s="1308">
        <v>0</v>
      </c>
      <c r="M153" s="1307"/>
    </row>
    <row r="154" spans="1:13" x14ac:dyDescent="0.2">
      <c r="A154" s="1302"/>
      <c r="B154" s="1302"/>
      <c r="C154" s="1303" t="s">
        <v>447</v>
      </c>
      <c r="D154" s="1313" t="s">
        <v>14</v>
      </c>
      <c r="E154" s="1318">
        <v>0</v>
      </c>
      <c r="F154" s="1322">
        <f t="shared" ref="F154:F160" si="49">G154-E154</f>
        <v>2562.5</v>
      </c>
      <c r="G154" s="1316" t="s">
        <v>1041</v>
      </c>
      <c r="H154" s="1325">
        <v>2519.73</v>
      </c>
      <c r="I154" s="1308">
        <v>0</v>
      </c>
      <c r="J154" s="1658">
        <f t="shared" si="42"/>
        <v>0.98330926829268295</v>
      </c>
      <c r="K154" s="1308">
        <v>0</v>
      </c>
      <c r="L154" s="1308">
        <v>0</v>
      </c>
      <c r="M154" s="1307"/>
    </row>
    <row r="155" spans="1:13" x14ac:dyDescent="0.2">
      <c r="A155" s="1302"/>
      <c r="B155" s="1302"/>
      <c r="C155" s="1303" t="s">
        <v>450</v>
      </c>
      <c r="D155" s="1313" t="s">
        <v>15</v>
      </c>
      <c r="E155" s="1318">
        <v>0</v>
      </c>
      <c r="F155" s="1322">
        <f t="shared" si="49"/>
        <v>281.75</v>
      </c>
      <c r="G155" s="1316" t="s">
        <v>1042</v>
      </c>
      <c r="H155" s="1325">
        <v>257.58</v>
      </c>
      <c r="I155" s="1308">
        <v>0</v>
      </c>
      <c r="J155" s="1658">
        <f t="shared" si="42"/>
        <v>0.91421472937000881</v>
      </c>
      <c r="K155" s="1308">
        <v>0</v>
      </c>
      <c r="L155" s="1308">
        <v>0</v>
      </c>
      <c r="M155" s="1307"/>
    </row>
    <row r="156" spans="1:13" x14ac:dyDescent="0.2">
      <c r="A156" s="1302"/>
      <c r="B156" s="1302"/>
      <c r="C156" s="1303" t="s">
        <v>442</v>
      </c>
      <c r="D156" s="1313" t="s">
        <v>31</v>
      </c>
      <c r="E156" s="1318">
        <v>0</v>
      </c>
      <c r="F156" s="1322">
        <f t="shared" si="49"/>
        <v>34747</v>
      </c>
      <c r="G156" s="1316" t="s">
        <v>1043</v>
      </c>
      <c r="H156" s="1325">
        <v>29976.74</v>
      </c>
      <c r="I156" s="1308">
        <v>0</v>
      </c>
      <c r="J156" s="1658">
        <f t="shared" si="42"/>
        <v>0.86271447894782283</v>
      </c>
      <c r="K156" s="1308">
        <v>0</v>
      </c>
      <c r="L156" s="1308">
        <v>0</v>
      </c>
      <c r="M156" s="1307"/>
    </row>
    <row r="157" spans="1:13" x14ac:dyDescent="0.2">
      <c r="A157" s="1302"/>
      <c r="B157" s="1302"/>
      <c r="C157" s="1303" t="s">
        <v>391</v>
      </c>
      <c r="D157" s="1313" t="s">
        <v>17</v>
      </c>
      <c r="E157" s="1318">
        <v>0</v>
      </c>
      <c r="F157" s="1322">
        <f t="shared" si="49"/>
        <v>20808.47</v>
      </c>
      <c r="G157" s="1316" t="s">
        <v>1044</v>
      </c>
      <c r="H157" s="1325">
        <v>20776.43</v>
      </c>
      <c r="I157" s="1308">
        <v>0</v>
      </c>
      <c r="J157" s="1658">
        <f t="shared" si="42"/>
        <v>0.99846024239167985</v>
      </c>
      <c r="K157" s="1308">
        <v>0</v>
      </c>
      <c r="L157" s="1308">
        <v>0</v>
      </c>
      <c r="M157" s="1307"/>
    </row>
    <row r="158" spans="1:13" x14ac:dyDescent="0.2">
      <c r="A158" s="1302"/>
      <c r="B158" s="1302"/>
      <c r="C158" s="1303" t="s">
        <v>902</v>
      </c>
      <c r="D158" s="1313" t="s">
        <v>41</v>
      </c>
      <c r="E158" s="1318">
        <v>0</v>
      </c>
      <c r="F158" s="1322">
        <f t="shared" si="49"/>
        <v>76.540000000000006</v>
      </c>
      <c r="G158" s="1316" t="s">
        <v>1045</v>
      </c>
      <c r="H158" s="1325">
        <v>76.540000000000006</v>
      </c>
      <c r="I158" s="1308">
        <v>0</v>
      </c>
      <c r="J158" s="1658">
        <f t="shared" si="42"/>
        <v>1</v>
      </c>
      <c r="K158" s="1308">
        <v>0</v>
      </c>
      <c r="L158" s="1308">
        <v>0</v>
      </c>
      <c r="M158" s="1307"/>
    </row>
    <row r="159" spans="1:13" x14ac:dyDescent="0.2">
      <c r="A159" s="1302"/>
      <c r="B159" s="1302"/>
      <c r="C159" s="1303" t="s">
        <v>404</v>
      </c>
      <c r="D159" s="1313" t="s">
        <v>18</v>
      </c>
      <c r="E159" s="1318">
        <v>0</v>
      </c>
      <c r="F159" s="1322">
        <f t="shared" si="49"/>
        <v>8495.5300000000007</v>
      </c>
      <c r="G159" s="1316" t="s">
        <v>1046</v>
      </c>
      <c r="H159" s="1325">
        <v>8495.5300000000007</v>
      </c>
      <c r="I159" s="1308">
        <v>0</v>
      </c>
      <c r="J159" s="1658">
        <f t="shared" si="42"/>
        <v>1</v>
      </c>
      <c r="K159" s="1308">
        <v>0</v>
      </c>
      <c r="L159" s="1308">
        <v>0</v>
      </c>
      <c r="M159" s="1307"/>
    </row>
    <row r="160" spans="1:13" x14ac:dyDescent="0.2">
      <c r="A160" s="1302"/>
      <c r="B160" s="1302"/>
      <c r="C160" s="1303" t="s">
        <v>1000</v>
      </c>
      <c r="D160" s="1313" t="s">
        <v>24</v>
      </c>
      <c r="E160" s="1318">
        <v>0</v>
      </c>
      <c r="F160" s="1322">
        <f t="shared" si="49"/>
        <v>982.22</v>
      </c>
      <c r="G160" s="1316" t="s">
        <v>1047</v>
      </c>
      <c r="H160" s="1325">
        <v>982.22</v>
      </c>
      <c r="I160" s="1308">
        <v>0</v>
      </c>
      <c r="J160" s="1658">
        <f t="shared" si="42"/>
        <v>1</v>
      </c>
      <c r="K160" s="1308">
        <v>0</v>
      </c>
      <c r="L160" s="1308">
        <v>0</v>
      </c>
      <c r="M160" s="1307"/>
    </row>
    <row r="161" spans="1:13" ht="22.5" x14ac:dyDescent="0.2">
      <c r="A161" s="1334" t="s">
        <v>200</v>
      </c>
      <c r="B161" s="1334"/>
      <c r="C161" s="1334"/>
      <c r="D161" s="1335" t="s">
        <v>328</v>
      </c>
      <c r="E161" s="1336">
        <f>E162+E165+E181+E186+E192</f>
        <v>660950.36</v>
      </c>
      <c r="F161" s="1330">
        <f t="shared" ref="F161:L161" si="50">F162+F165+F181+F186+F192</f>
        <v>99196.359999999986</v>
      </c>
      <c r="G161" s="1337">
        <f t="shared" si="50"/>
        <v>760146.72</v>
      </c>
      <c r="H161" s="1336">
        <f t="shared" si="50"/>
        <v>733262.29000000015</v>
      </c>
      <c r="I161" s="1330">
        <f t="shared" si="50"/>
        <v>0</v>
      </c>
      <c r="J161" s="1333">
        <f t="shared" si="42"/>
        <v>0.96463257777393319</v>
      </c>
      <c r="K161" s="1330">
        <f t="shared" si="50"/>
        <v>6104.3499999999995</v>
      </c>
      <c r="L161" s="1917">
        <f t="shared" si="50"/>
        <v>28793.61</v>
      </c>
      <c r="M161" s="1307"/>
    </row>
    <row r="162" spans="1:13" ht="22.5" x14ac:dyDescent="0.2">
      <c r="A162" s="1299"/>
      <c r="B162" s="1305" t="s">
        <v>1048</v>
      </c>
      <c r="C162" s="1300"/>
      <c r="D162" s="1312" t="s">
        <v>1049</v>
      </c>
      <c r="E162" s="1317">
        <f>E163+E164</f>
        <v>0</v>
      </c>
      <c r="F162" s="1321">
        <f t="shared" ref="F162:L162" si="51">F163+F164</f>
        <v>9300</v>
      </c>
      <c r="G162" s="1314">
        <f t="shared" si="51"/>
        <v>9300</v>
      </c>
      <c r="H162" s="1317">
        <f t="shared" si="51"/>
        <v>9300</v>
      </c>
      <c r="I162" s="1321">
        <f t="shared" si="51"/>
        <v>0</v>
      </c>
      <c r="J162" s="1326">
        <f t="shared" si="42"/>
        <v>1</v>
      </c>
      <c r="K162" s="1321">
        <f t="shared" si="51"/>
        <v>0</v>
      </c>
      <c r="L162" s="1916">
        <f t="shared" si="51"/>
        <v>0</v>
      </c>
      <c r="M162" s="1307"/>
    </row>
    <row r="163" spans="1:13" ht="22.5" x14ac:dyDescent="0.2">
      <c r="A163" s="1302"/>
      <c r="B163" s="1302"/>
      <c r="C163" s="1303" t="s">
        <v>1051</v>
      </c>
      <c r="D163" s="1313" t="s">
        <v>1052</v>
      </c>
      <c r="E163" s="1318">
        <v>0</v>
      </c>
      <c r="F163" s="1322">
        <f>G163-E163</f>
        <v>9300</v>
      </c>
      <c r="G163" s="1316" t="s">
        <v>1050</v>
      </c>
      <c r="H163" s="1325">
        <v>9300</v>
      </c>
      <c r="I163" s="1308">
        <v>0</v>
      </c>
      <c r="J163" s="1658">
        <f t="shared" si="42"/>
        <v>1</v>
      </c>
      <c r="K163" s="1308">
        <v>0</v>
      </c>
      <c r="L163" s="1308">
        <v>0</v>
      </c>
      <c r="M163" s="1307"/>
    </row>
    <row r="164" spans="1:13" ht="33.75" x14ac:dyDescent="0.2">
      <c r="A164" s="1302"/>
      <c r="B164" s="1302"/>
      <c r="C164" s="1303" t="s">
        <v>1053</v>
      </c>
      <c r="D164" s="1313" t="s">
        <v>1054</v>
      </c>
      <c r="E164" s="1318">
        <v>0</v>
      </c>
      <c r="F164" s="1322">
        <f>G164-E164</f>
        <v>0</v>
      </c>
      <c r="G164" s="1316" t="s">
        <v>636</v>
      </c>
      <c r="H164" s="1325">
        <v>0</v>
      </c>
      <c r="I164" s="1308">
        <v>0</v>
      </c>
      <c r="J164" s="1658">
        <v>0</v>
      </c>
      <c r="K164" s="1308">
        <v>0</v>
      </c>
      <c r="L164" s="1308">
        <v>0</v>
      </c>
      <c r="M164" s="1307"/>
    </row>
    <row r="165" spans="1:13" ht="15" x14ac:dyDescent="0.2">
      <c r="A165" s="1299"/>
      <c r="B165" s="1305" t="s">
        <v>204</v>
      </c>
      <c r="C165" s="1300"/>
      <c r="D165" s="1312" t="s">
        <v>329</v>
      </c>
      <c r="E165" s="1317">
        <f>E166+E167+E168+E169+E170+E171+E172+E173+E174+E175+E176+E177+E178+E179+E180</f>
        <v>487020.36</v>
      </c>
      <c r="F165" s="1321">
        <f t="shared" ref="F165:L165" si="52">F166+F167+F168+F169+F170+F171+F172+F173+F174+F175+F176+F177+F178+F179+F180</f>
        <v>68896.359999999986</v>
      </c>
      <c r="G165" s="1314">
        <f t="shared" si="52"/>
        <v>555916.72</v>
      </c>
      <c r="H165" s="1317">
        <f t="shared" si="52"/>
        <v>538670.82000000007</v>
      </c>
      <c r="I165" s="1321">
        <f>I166+I167+I168+I169+I170+I171+I172+I173+I174+I175+I176+I177+I178+I179+I180</f>
        <v>0</v>
      </c>
      <c r="J165" s="1326">
        <f t="shared" si="42"/>
        <v>0.96897754757223364</v>
      </c>
      <c r="K165" s="1321">
        <f t="shared" si="52"/>
        <v>5915.3399999999992</v>
      </c>
      <c r="L165" s="1916">
        <f t="shared" si="52"/>
        <v>28793.61</v>
      </c>
      <c r="M165" s="1307"/>
    </row>
    <row r="166" spans="1:13" ht="45" x14ac:dyDescent="0.2">
      <c r="A166" s="1302"/>
      <c r="B166" s="1302"/>
      <c r="C166" s="1303" t="s">
        <v>907</v>
      </c>
      <c r="D166" s="1313" t="s">
        <v>327</v>
      </c>
      <c r="E166" s="1318">
        <v>30000</v>
      </c>
      <c r="F166" s="1322">
        <f>G166-E166</f>
        <v>0</v>
      </c>
      <c r="G166" s="1316" t="s">
        <v>979</v>
      </c>
      <c r="H166" s="1325">
        <v>30000</v>
      </c>
      <c r="I166" s="1308">
        <v>0</v>
      </c>
      <c r="J166" s="1658">
        <f t="shared" si="42"/>
        <v>1</v>
      </c>
      <c r="K166" s="1308">
        <v>0</v>
      </c>
      <c r="L166" s="1308">
        <v>0</v>
      </c>
      <c r="M166" s="1307"/>
    </row>
    <row r="167" spans="1:13" ht="22.5" x14ac:dyDescent="0.2">
      <c r="A167" s="1302"/>
      <c r="B167" s="1302"/>
      <c r="C167" s="1303" t="s">
        <v>970</v>
      </c>
      <c r="D167" s="1313" t="s">
        <v>971</v>
      </c>
      <c r="E167" s="1318">
        <v>60000</v>
      </c>
      <c r="F167" s="1322">
        <f t="shared" ref="F167:F180" si="53">G167-E167</f>
        <v>5000</v>
      </c>
      <c r="G167" s="1316" t="s">
        <v>999</v>
      </c>
      <c r="H167" s="1325">
        <v>60137.5</v>
      </c>
      <c r="I167" s="1308">
        <v>0</v>
      </c>
      <c r="J167" s="1658">
        <f t="shared" si="42"/>
        <v>0.92519230769230765</v>
      </c>
      <c r="K167" s="1308">
        <v>2541</v>
      </c>
      <c r="L167" s="1308">
        <v>0</v>
      </c>
      <c r="M167" s="1307"/>
    </row>
    <row r="168" spans="1:13" x14ac:dyDescent="0.2">
      <c r="A168" s="1302"/>
      <c r="B168" s="1302"/>
      <c r="C168" s="1303" t="s">
        <v>447</v>
      </c>
      <c r="D168" s="1313" t="s">
        <v>14</v>
      </c>
      <c r="E168" s="1318">
        <v>6997.02</v>
      </c>
      <c r="F168" s="1322">
        <f t="shared" si="53"/>
        <v>0</v>
      </c>
      <c r="G168" s="1316" t="s">
        <v>1055</v>
      </c>
      <c r="H168" s="1325">
        <v>6054.19</v>
      </c>
      <c r="I168" s="1308">
        <v>0</v>
      </c>
      <c r="J168" s="1658">
        <f t="shared" si="42"/>
        <v>0.8652526361222348</v>
      </c>
      <c r="K168" s="1308">
        <v>569.77</v>
      </c>
      <c r="L168" s="1308">
        <v>0</v>
      </c>
      <c r="M168" s="1307"/>
    </row>
    <row r="169" spans="1:13" x14ac:dyDescent="0.2">
      <c r="A169" s="1302"/>
      <c r="B169" s="1302"/>
      <c r="C169" s="1303" t="s">
        <v>450</v>
      </c>
      <c r="D169" s="1313" t="s">
        <v>15</v>
      </c>
      <c r="E169" s="1318">
        <v>919.34</v>
      </c>
      <c r="F169" s="1322">
        <f t="shared" si="53"/>
        <v>0</v>
      </c>
      <c r="G169" s="1316" t="s">
        <v>1056</v>
      </c>
      <c r="H169" s="1325">
        <v>783.27</v>
      </c>
      <c r="I169" s="1308">
        <v>0</v>
      </c>
      <c r="J169" s="1658">
        <f t="shared" si="42"/>
        <v>0.85199164618095591</v>
      </c>
      <c r="K169" s="1308">
        <v>68.89</v>
      </c>
      <c r="L169" s="1308">
        <v>0</v>
      </c>
      <c r="M169" s="1307"/>
    </row>
    <row r="170" spans="1:13" x14ac:dyDescent="0.2">
      <c r="A170" s="1302"/>
      <c r="B170" s="1302"/>
      <c r="C170" s="1303" t="s">
        <v>442</v>
      </c>
      <c r="D170" s="1313" t="s">
        <v>31</v>
      </c>
      <c r="E170" s="1318">
        <v>40704</v>
      </c>
      <c r="F170" s="1322">
        <f t="shared" si="53"/>
        <v>0</v>
      </c>
      <c r="G170" s="1316" t="s">
        <v>1057</v>
      </c>
      <c r="H170" s="1325">
        <v>38684</v>
      </c>
      <c r="I170" s="1308">
        <v>0</v>
      </c>
      <c r="J170" s="1658">
        <f t="shared" si="42"/>
        <v>0.95037342767295596</v>
      </c>
      <c r="K170" s="1308">
        <v>0</v>
      </c>
      <c r="L170" s="1308">
        <v>0</v>
      </c>
      <c r="M170" s="1307"/>
    </row>
    <row r="171" spans="1:13" x14ac:dyDescent="0.2">
      <c r="A171" s="1302"/>
      <c r="B171" s="1302"/>
      <c r="C171" s="1303" t="s">
        <v>973</v>
      </c>
      <c r="D171" s="1313" t="s">
        <v>974</v>
      </c>
      <c r="E171" s="1318">
        <v>0</v>
      </c>
      <c r="F171" s="1322">
        <f t="shared" si="53"/>
        <v>930</v>
      </c>
      <c r="G171" s="1316" t="s">
        <v>1058</v>
      </c>
      <c r="H171" s="1325">
        <v>930</v>
      </c>
      <c r="I171" s="1308">
        <v>0</v>
      </c>
      <c r="J171" s="1658">
        <f t="shared" si="42"/>
        <v>1</v>
      </c>
      <c r="K171" s="1308">
        <v>0</v>
      </c>
      <c r="L171" s="1308">
        <v>0</v>
      </c>
      <c r="M171" s="1307"/>
    </row>
    <row r="172" spans="1:13" x14ac:dyDescent="0.2">
      <c r="A172" s="1302"/>
      <c r="B172" s="1302"/>
      <c r="C172" s="1303" t="s">
        <v>391</v>
      </c>
      <c r="D172" s="1313" t="s">
        <v>17</v>
      </c>
      <c r="E172" s="1318">
        <v>156500</v>
      </c>
      <c r="F172" s="1322">
        <f t="shared" si="53"/>
        <v>39966.359999999986</v>
      </c>
      <c r="G172" s="1316" t="s">
        <v>1059</v>
      </c>
      <c r="H172" s="1325">
        <v>193762.23</v>
      </c>
      <c r="I172" s="1308">
        <v>0</v>
      </c>
      <c r="J172" s="1658">
        <f t="shared" si="42"/>
        <v>0.98623616786100188</v>
      </c>
      <c r="K172" s="1308">
        <v>182.88</v>
      </c>
      <c r="L172" s="1308">
        <v>5996.26</v>
      </c>
      <c r="M172" s="1307"/>
    </row>
    <row r="173" spans="1:13" x14ac:dyDescent="0.2">
      <c r="A173" s="1302"/>
      <c r="B173" s="1302"/>
      <c r="C173" s="1303" t="s">
        <v>902</v>
      </c>
      <c r="D173" s="1313" t="s">
        <v>41</v>
      </c>
      <c r="E173" s="1318">
        <v>50000</v>
      </c>
      <c r="F173" s="1322">
        <f t="shared" si="53"/>
        <v>-15000</v>
      </c>
      <c r="G173" s="1316" t="s">
        <v>832</v>
      </c>
      <c r="H173" s="1325">
        <v>31397.08</v>
      </c>
      <c r="I173" s="1308">
        <v>0</v>
      </c>
      <c r="J173" s="1658">
        <f t="shared" si="42"/>
        <v>0.89705942857142862</v>
      </c>
      <c r="K173" s="1308">
        <v>2267.21</v>
      </c>
      <c r="L173" s="1308">
        <v>0</v>
      </c>
      <c r="M173" s="1307"/>
    </row>
    <row r="174" spans="1:13" x14ac:dyDescent="0.2">
      <c r="A174" s="1302"/>
      <c r="B174" s="1302"/>
      <c r="C174" s="1303" t="s">
        <v>992</v>
      </c>
      <c r="D174" s="1313" t="s">
        <v>42</v>
      </c>
      <c r="E174" s="1318">
        <v>25000</v>
      </c>
      <c r="F174" s="1322">
        <f t="shared" si="53"/>
        <v>-18500</v>
      </c>
      <c r="G174" s="1316" t="s">
        <v>1060</v>
      </c>
      <c r="H174" s="1325">
        <v>5820</v>
      </c>
      <c r="I174" s="1308">
        <v>0</v>
      </c>
      <c r="J174" s="1658">
        <f t="shared" si="42"/>
        <v>0.89538461538461533</v>
      </c>
      <c r="K174" s="1308">
        <v>0</v>
      </c>
      <c r="L174" s="1308">
        <v>0</v>
      </c>
      <c r="M174" s="1307"/>
    </row>
    <row r="175" spans="1:13" x14ac:dyDescent="0.2">
      <c r="A175" s="1302"/>
      <c r="B175" s="1302"/>
      <c r="C175" s="1303" t="s">
        <v>404</v>
      </c>
      <c r="D175" s="1313" t="s">
        <v>18</v>
      </c>
      <c r="E175" s="1318">
        <v>53900</v>
      </c>
      <c r="F175" s="1322">
        <f t="shared" si="53"/>
        <v>14600</v>
      </c>
      <c r="G175" s="1316" t="s">
        <v>1061</v>
      </c>
      <c r="H175" s="1325">
        <v>66896.289999999994</v>
      </c>
      <c r="I175" s="1308">
        <v>0</v>
      </c>
      <c r="J175" s="1658">
        <f t="shared" si="42"/>
        <v>0.97658817518248164</v>
      </c>
      <c r="K175" s="1308">
        <v>147.9</v>
      </c>
      <c r="L175" s="1308">
        <v>0</v>
      </c>
      <c r="M175" s="1307"/>
    </row>
    <row r="176" spans="1:13" ht="22.5" x14ac:dyDescent="0.2">
      <c r="A176" s="1302"/>
      <c r="B176" s="1302"/>
      <c r="C176" s="1303" t="s">
        <v>468</v>
      </c>
      <c r="D176" s="1313" t="s">
        <v>919</v>
      </c>
      <c r="E176" s="1318">
        <v>3000</v>
      </c>
      <c r="F176" s="1322">
        <f t="shared" si="53"/>
        <v>0</v>
      </c>
      <c r="G176" s="1316" t="s">
        <v>1028</v>
      </c>
      <c r="H176" s="1325">
        <v>2720.04</v>
      </c>
      <c r="I176" s="1308">
        <v>0</v>
      </c>
      <c r="J176" s="1658">
        <f t="shared" si="42"/>
        <v>0.90668000000000004</v>
      </c>
      <c r="K176" s="1308">
        <v>0</v>
      </c>
      <c r="L176" s="1308">
        <v>0</v>
      </c>
      <c r="M176" s="1307"/>
    </row>
    <row r="177" spans="1:13" x14ac:dyDescent="0.2">
      <c r="A177" s="1302"/>
      <c r="B177" s="1302"/>
      <c r="C177" s="1303" t="s">
        <v>897</v>
      </c>
      <c r="D177" s="1313" t="s">
        <v>19</v>
      </c>
      <c r="E177" s="1318">
        <v>40000</v>
      </c>
      <c r="F177" s="1322">
        <f t="shared" si="53"/>
        <v>0</v>
      </c>
      <c r="G177" s="1316" t="s">
        <v>658</v>
      </c>
      <c r="H177" s="1325">
        <v>39744.25</v>
      </c>
      <c r="I177" s="1308">
        <v>0</v>
      </c>
      <c r="J177" s="1658">
        <f t="shared" si="42"/>
        <v>0.99360625000000002</v>
      </c>
      <c r="K177" s="1308">
        <v>0</v>
      </c>
      <c r="L177" s="1308">
        <v>0</v>
      </c>
      <c r="M177" s="1307"/>
    </row>
    <row r="178" spans="1:13" ht="22.5" x14ac:dyDescent="0.2">
      <c r="A178" s="1302"/>
      <c r="B178" s="1302"/>
      <c r="C178" s="1303" t="s">
        <v>147</v>
      </c>
      <c r="D178" s="1313" t="s">
        <v>45</v>
      </c>
      <c r="E178" s="1318">
        <v>0</v>
      </c>
      <c r="F178" s="1322">
        <f t="shared" si="53"/>
        <v>52900</v>
      </c>
      <c r="G178" s="1316" t="s">
        <v>1062</v>
      </c>
      <c r="H178" s="1325">
        <v>52741.97</v>
      </c>
      <c r="I178" s="1308">
        <v>0</v>
      </c>
      <c r="J178" s="1658">
        <f t="shared" si="42"/>
        <v>0.99701266540642719</v>
      </c>
      <c r="K178" s="1308">
        <v>137.69</v>
      </c>
      <c r="L178" s="1308">
        <v>22797.35</v>
      </c>
      <c r="M178" s="1307"/>
    </row>
    <row r="179" spans="1:13" ht="22.5" x14ac:dyDescent="0.2">
      <c r="A179" s="1302"/>
      <c r="B179" s="1302"/>
      <c r="C179" s="1303" t="s">
        <v>179</v>
      </c>
      <c r="D179" s="1313" t="s">
        <v>75</v>
      </c>
      <c r="E179" s="1318">
        <v>20000</v>
      </c>
      <c r="F179" s="1322">
        <f t="shared" si="53"/>
        <v>-20000</v>
      </c>
      <c r="G179" s="1316" t="s">
        <v>636</v>
      </c>
      <c r="H179" s="1325">
        <v>0</v>
      </c>
      <c r="I179" s="1308">
        <v>0</v>
      </c>
      <c r="J179" s="1658">
        <v>0</v>
      </c>
      <c r="K179" s="1308">
        <v>0</v>
      </c>
      <c r="L179" s="1308">
        <v>0</v>
      </c>
      <c r="M179" s="1307"/>
    </row>
    <row r="180" spans="1:13" ht="67.5" x14ac:dyDescent="0.2">
      <c r="A180" s="1302"/>
      <c r="B180" s="1302"/>
      <c r="C180" s="1303" t="s">
        <v>210</v>
      </c>
      <c r="D180" s="1313" t="s">
        <v>1063</v>
      </c>
      <c r="E180" s="1318">
        <v>0</v>
      </c>
      <c r="F180" s="1322">
        <f t="shared" si="53"/>
        <v>9000</v>
      </c>
      <c r="G180" s="1316" t="s">
        <v>1064</v>
      </c>
      <c r="H180" s="1325">
        <v>9000</v>
      </c>
      <c r="I180" s="1308">
        <v>0</v>
      </c>
      <c r="J180" s="1658">
        <f t="shared" si="42"/>
        <v>1</v>
      </c>
      <c r="K180" s="1308">
        <v>0</v>
      </c>
      <c r="L180" s="1308">
        <v>0</v>
      </c>
      <c r="M180" s="1307"/>
    </row>
    <row r="181" spans="1:13" ht="15" x14ac:dyDescent="0.2">
      <c r="A181" s="1299"/>
      <c r="B181" s="1305" t="s">
        <v>1065</v>
      </c>
      <c r="C181" s="1300"/>
      <c r="D181" s="1312" t="s">
        <v>1066</v>
      </c>
      <c r="E181" s="1317">
        <f>E182+E183+E184+E185</f>
        <v>12100</v>
      </c>
      <c r="F181" s="1321">
        <f t="shared" ref="F181:L181" si="54">F182+F183+F184+F185</f>
        <v>0</v>
      </c>
      <c r="G181" s="1314">
        <f t="shared" si="54"/>
        <v>12100</v>
      </c>
      <c r="H181" s="1317">
        <f t="shared" si="54"/>
        <v>10977.8</v>
      </c>
      <c r="I181" s="1321">
        <f t="shared" si="54"/>
        <v>0</v>
      </c>
      <c r="J181" s="1326">
        <f t="shared" si="42"/>
        <v>0.90725619834710736</v>
      </c>
      <c r="K181" s="1321">
        <f t="shared" si="54"/>
        <v>189.01</v>
      </c>
      <c r="L181" s="1916">
        <f t="shared" si="54"/>
        <v>0</v>
      </c>
      <c r="M181" s="1307"/>
    </row>
    <row r="182" spans="1:13" x14ac:dyDescent="0.2">
      <c r="A182" s="1302"/>
      <c r="B182" s="1302"/>
      <c r="C182" s="1303" t="s">
        <v>391</v>
      </c>
      <c r="D182" s="1313" t="s">
        <v>17</v>
      </c>
      <c r="E182" s="1318">
        <v>5000</v>
      </c>
      <c r="F182" s="1322">
        <f>G182-E182</f>
        <v>-3400</v>
      </c>
      <c r="G182" s="1316" t="s">
        <v>1023</v>
      </c>
      <c r="H182" s="1325">
        <v>1035.8800000000001</v>
      </c>
      <c r="I182" s="1308">
        <v>0</v>
      </c>
      <c r="J182" s="1658">
        <f t="shared" si="42"/>
        <v>0.64742500000000003</v>
      </c>
      <c r="K182" s="1308">
        <v>0</v>
      </c>
      <c r="L182" s="1308">
        <v>0</v>
      </c>
      <c r="M182" s="1307"/>
    </row>
    <row r="183" spans="1:13" x14ac:dyDescent="0.2">
      <c r="A183" s="1302"/>
      <c r="B183" s="1302"/>
      <c r="C183" s="1303" t="s">
        <v>902</v>
      </c>
      <c r="D183" s="1313" t="s">
        <v>41</v>
      </c>
      <c r="E183" s="1318">
        <v>1500</v>
      </c>
      <c r="F183" s="1322">
        <f t="shared" ref="F183:F185" si="55">G183-E183</f>
        <v>0</v>
      </c>
      <c r="G183" s="1316" t="s">
        <v>793</v>
      </c>
      <c r="H183" s="1325">
        <v>1227.5999999999999</v>
      </c>
      <c r="I183" s="1308">
        <v>0</v>
      </c>
      <c r="J183" s="1658">
        <f t="shared" si="42"/>
        <v>0.81839999999999991</v>
      </c>
      <c r="K183" s="1308">
        <v>189.01</v>
      </c>
      <c r="L183" s="1308">
        <v>0</v>
      </c>
      <c r="M183" s="1307"/>
    </row>
    <row r="184" spans="1:13" x14ac:dyDescent="0.2">
      <c r="A184" s="1302"/>
      <c r="B184" s="1302"/>
      <c r="C184" s="1303" t="s">
        <v>404</v>
      </c>
      <c r="D184" s="1313" t="s">
        <v>18</v>
      </c>
      <c r="E184" s="1318">
        <v>4600</v>
      </c>
      <c r="F184" s="1322">
        <f t="shared" si="55"/>
        <v>3400</v>
      </c>
      <c r="G184" s="1316" t="s">
        <v>1067</v>
      </c>
      <c r="H184" s="1325">
        <v>7800.83</v>
      </c>
      <c r="I184" s="1308">
        <v>0</v>
      </c>
      <c r="J184" s="1658">
        <f t="shared" si="42"/>
        <v>0.97510374999999994</v>
      </c>
      <c r="K184" s="1308">
        <v>0</v>
      </c>
      <c r="L184" s="1308">
        <v>0</v>
      </c>
      <c r="M184" s="1307"/>
    </row>
    <row r="185" spans="1:13" ht="22.5" x14ac:dyDescent="0.2">
      <c r="A185" s="1302"/>
      <c r="B185" s="1302"/>
      <c r="C185" s="1303" t="s">
        <v>468</v>
      </c>
      <c r="D185" s="1313" t="s">
        <v>919</v>
      </c>
      <c r="E185" s="1318">
        <v>1000</v>
      </c>
      <c r="F185" s="1322">
        <f t="shared" si="55"/>
        <v>0</v>
      </c>
      <c r="G185" s="1316" t="s">
        <v>680</v>
      </c>
      <c r="H185" s="1325">
        <v>913.49</v>
      </c>
      <c r="I185" s="1308">
        <v>0</v>
      </c>
      <c r="J185" s="1658">
        <f t="shared" si="42"/>
        <v>0.91349000000000002</v>
      </c>
      <c r="K185" s="1308">
        <v>0</v>
      </c>
      <c r="L185" s="1308">
        <v>0</v>
      </c>
      <c r="M185" s="1307"/>
    </row>
    <row r="186" spans="1:13" ht="22.5" x14ac:dyDescent="0.2">
      <c r="A186" s="1299"/>
      <c r="B186" s="1305" t="s">
        <v>1068</v>
      </c>
      <c r="C186" s="1300"/>
      <c r="D186" s="1312" t="s">
        <v>330</v>
      </c>
      <c r="E186" s="1317">
        <f>E187+E188+E189+E190+E191</f>
        <v>60000</v>
      </c>
      <c r="F186" s="1321">
        <f t="shared" ref="F186:L186" si="56">F187+F188+F189+F190+F191</f>
        <v>21000</v>
      </c>
      <c r="G186" s="1314">
        <f t="shared" si="56"/>
        <v>81000</v>
      </c>
      <c r="H186" s="1317">
        <f t="shared" si="56"/>
        <v>80996.92</v>
      </c>
      <c r="I186" s="1321">
        <f t="shared" si="56"/>
        <v>0</v>
      </c>
      <c r="J186" s="1326">
        <f t="shared" si="42"/>
        <v>0.99996197530864195</v>
      </c>
      <c r="K186" s="1321">
        <f t="shared" si="56"/>
        <v>0</v>
      </c>
      <c r="L186" s="1916">
        <f t="shared" si="56"/>
        <v>0</v>
      </c>
      <c r="M186" s="1307"/>
    </row>
    <row r="187" spans="1:13" ht="78.75" x14ac:dyDescent="0.2">
      <c r="A187" s="1302"/>
      <c r="B187" s="1302"/>
      <c r="C187" s="1303" t="s">
        <v>834</v>
      </c>
      <c r="D187" s="1313" t="s">
        <v>1069</v>
      </c>
      <c r="E187" s="1318">
        <v>60000</v>
      </c>
      <c r="F187" s="1322">
        <f>G187-E187</f>
        <v>-40000</v>
      </c>
      <c r="G187" s="1316" t="s">
        <v>632</v>
      </c>
      <c r="H187" s="1325">
        <v>20000</v>
      </c>
      <c r="I187" s="1308">
        <v>0</v>
      </c>
      <c r="J187" s="1658">
        <f t="shared" si="42"/>
        <v>1</v>
      </c>
      <c r="K187" s="1308">
        <v>0</v>
      </c>
      <c r="L187" s="1308">
        <v>0</v>
      </c>
      <c r="M187" s="1307"/>
    </row>
    <row r="188" spans="1:13" x14ac:dyDescent="0.2">
      <c r="A188" s="1302"/>
      <c r="B188" s="1302"/>
      <c r="C188" s="1303" t="s">
        <v>447</v>
      </c>
      <c r="D188" s="1313" t="s">
        <v>14</v>
      </c>
      <c r="E188" s="1318">
        <v>0</v>
      </c>
      <c r="F188" s="1322">
        <f>G188-E188</f>
        <v>2704</v>
      </c>
      <c r="G188" s="1316" t="s">
        <v>1070</v>
      </c>
      <c r="H188" s="1325">
        <v>2701.8</v>
      </c>
      <c r="I188" s="1308">
        <v>0</v>
      </c>
      <c r="J188" s="1658">
        <f t="shared" si="42"/>
        <v>0.99918639053254443</v>
      </c>
      <c r="K188" s="1308">
        <v>0</v>
      </c>
      <c r="L188" s="1308">
        <v>0</v>
      </c>
      <c r="M188" s="1307"/>
    </row>
    <row r="189" spans="1:13" x14ac:dyDescent="0.2">
      <c r="A189" s="1302"/>
      <c r="B189" s="1302"/>
      <c r="C189" s="1303" t="s">
        <v>450</v>
      </c>
      <c r="D189" s="1313" t="s">
        <v>15</v>
      </c>
      <c r="E189" s="1318">
        <v>0</v>
      </c>
      <c r="F189" s="1322">
        <f>G189-E189</f>
        <v>388</v>
      </c>
      <c r="G189" s="1316" t="s">
        <v>1071</v>
      </c>
      <c r="H189" s="1325">
        <v>387.12</v>
      </c>
      <c r="I189" s="1308">
        <v>0</v>
      </c>
      <c r="J189" s="1658">
        <f t="shared" si="42"/>
        <v>0.99773195876288656</v>
      </c>
      <c r="K189" s="1308">
        <v>0</v>
      </c>
      <c r="L189" s="1308">
        <v>0</v>
      </c>
      <c r="M189" s="1307"/>
    </row>
    <row r="190" spans="1:13" x14ac:dyDescent="0.2">
      <c r="A190" s="1302"/>
      <c r="B190" s="1302"/>
      <c r="C190" s="1303" t="s">
        <v>442</v>
      </c>
      <c r="D190" s="1313" t="s">
        <v>31</v>
      </c>
      <c r="E190" s="1318">
        <v>0</v>
      </c>
      <c r="F190" s="1322">
        <f>G190-E190</f>
        <v>45516</v>
      </c>
      <c r="G190" s="1316" t="s">
        <v>1072</v>
      </c>
      <c r="H190" s="1325">
        <v>45516</v>
      </c>
      <c r="I190" s="1308">
        <v>0</v>
      </c>
      <c r="J190" s="1658">
        <f t="shared" si="42"/>
        <v>1</v>
      </c>
      <c r="K190" s="1308">
        <v>0</v>
      </c>
      <c r="L190" s="1308">
        <v>0</v>
      </c>
      <c r="M190" s="1307"/>
    </row>
    <row r="191" spans="1:13" x14ac:dyDescent="0.2">
      <c r="A191" s="1302"/>
      <c r="B191" s="1302"/>
      <c r="C191" s="1303" t="s">
        <v>404</v>
      </c>
      <c r="D191" s="1313" t="s">
        <v>18</v>
      </c>
      <c r="E191" s="1318">
        <v>0</v>
      </c>
      <c r="F191" s="1322">
        <f>G191-E191</f>
        <v>12392</v>
      </c>
      <c r="G191" s="1316" t="s">
        <v>1073</v>
      </c>
      <c r="H191" s="1325">
        <v>12392</v>
      </c>
      <c r="I191" s="1308">
        <v>0</v>
      </c>
      <c r="J191" s="1658">
        <f t="shared" si="42"/>
        <v>1</v>
      </c>
      <c r="K191" s="1308">
        <v>0</v>
      </c>
      <c r="L191" s="1308">
        <v>0</v>
      </c>
      <c r="M191" s="1307"/>
    </row>
    <row r="192" spans="1:13" ht="15" x14ac:dyDescent="0.2">
      <c r="A192" s="1299"/>
      <c r="B192" s="1305" t="s">
        <v>214</v>
      </c>
      <c r="C192" s="1300"/>
      <c r="D192" s="1312" t="s">
        <v>1074</v>
      </c>
      <c r="E192" s="1317">
        <f>E193+E194+E195+E196+E197</f>
        <v>101830</v>
      </c>
      <c r="F192" s="1321">
        <f t="shared" ref="F192:L192" si="57">F193+F194+F195+F196+F197</f>
        <v>0</v>
      </c>
      <c r="G192" s="1314">
        <f t="shared" si="57"/>
        <v>101830</v>
      </c>
      <c r="H192" s="1317">
        <f t="shared" si="57"/>
        <v>93316.75</v>
      </c>
      <c r="I192" s="1321">
        <f t="shared" si="57"/>
        <v>0</v>
      </c>
      <c r="J192" s="1326">
        <f t="shared" si="42"/>
        <v>0.91639742708435623</v>
      </c>
      <c r="K192" s="1321">
        <f t="shared" si="57"/>
        <v>0</v>
      </c>
      <c r="L192" s="1916">
        <f t="shared" si="57"/>
        <v>0</v>
      </c>
      <c r="M192" s="1307"/>
    </row>
    <row r="193" spans="1:13" ht="22.5" x14ac:dyDescent="0.2">
      <c r="A193" s="1302"/>
      <c r="B193" s="1302"/>
      <c r="C193" s="1303" t="s">
        <v>956</v>
      </c>
      <c r="D193" s="1313" t="s">
        <v>957</v>
      </c>
      <c r="E193" s="1318">
        <v>9830</v>
      </c>
      <c r="F193" s="1322">
        <f>G193-E193</f>
        <v>0</v>
      </c>
      <c r="G193" s="1316" t="s">
        <v>1075</v>
      </c>
      <c r="H193" s="1325">
        <v>9735.9</v>
      </c>
      <c r="I193" s="1308">
        <v>0</v>
      </c>
      <c r="J193" s="1658">
        <f t="shared" si="42"/>
        <v>0.99042726347914545</v>
      </c>
      <c r="K193" s="1308">
        <v>0</v>
      </c>
      <c r="L193" s="1308">
        <v>0</v>
      </c>
      <c r="M193" s="1307"/>
    </row>
    <row r="194" spans="1:13" x14ac:dyDescent="0.2">
      <c r="A194" s="1302"/>
      <c r="B194" s="1302"/>
      <c r="C194" s="1303" t="s">
        <v>391</v>
      </c>
      <c r="D194" s="1313" t="s">
        <v>17</v>
      </c>
      <c r="E194" s="1318">
        <v>16000</v>
      </c>
      <c r="F194" s="1322">
        <f t="shared" ref="F194:F197" si="58">G194-E194</f>
        <v>-500</v>
      </c>
      <c r="G194" s="1316" t="s">
        <v>1076</v>
      </c>
      <c r="H194" s="1325">
        <v>12833.24</v>
      </c>
      <c r="I194" s="1308">
        <v>0</v>
      </c>
      <c r="J194" s="1658">
        <f t="shared" si="42"/>
        <v>0.82795096774193544</v>
      </c>
      <c r="K194" s="1308">
        <v>0</v>
      </c>
      <c r="L194" s="1308">
        <v>0</v>
      </c>
      <c r="M194" s="1307"/>
    </row>
    <row r="195" spans="1:13" x14ac:dyDescent="0.2">
      <c r="A195" s="1302"/>
      <c r="B195" s="1302"/>
      <c r="C195" s="1303" t="s">
        <v>404</v>
      </c>
      <c r="D195" s="1313" t="s">
        <v>18</v>
      </c>
      <c r="E195" s="1318">
        <v>2000</v>
      </c>
      <c r="F195" s="1322">
        <f t="shared" si="58"/>
        <v>500</v>
      </c>
      <c r="G195" s="1316" t="s">
        <v>1077</v>
      </c>
      <c r="H195" s="1325">
        <v>2071.11</v>
      </c>
      <c r="I195" s="1308">
        <v>0</v>
      </c>
      <c r="J195" s="1658">
        <f t="shared" si="42"/>
        <v>0.82844400000000007</v>
      </c>
      <c r="K195" s="1308">
        <v>0</v>
      </c>
      <c r="L195" s="1308">
        <v>0</v>
      </c>
      <c r="M195" s="1307"/>
    </row>
    <row r="196" spans="1:13" x14ac:dyDescent="0.2">
      <c r="A196" s="1302"/>
      <c r="B196" s="1302"/>
      <c r="C196" s="1303" t="s">
        <v>897</v>
      </c>
      <c r="D196" s="1313" t="s">
        <v>19</v>
      </c>
      <c r="E196" s="1318">
        <v>4000</v>
      </c>
      <c r="F196" s="1322">
        <f t="shared" si="58"/>
        <v>0</v>
      </c>
      <c r="G196" s="1316" t="s">
        <v>873</v>
      </c>
      <c r="H196" s="1325">
        <v>3578.5</v>
      </c>
      <c r="I196" s="1308">
        <v>0</v>
      </c>
      <c r="J196" s="1658">
        <f t="shared" si="42"/>
        <v>0.894625</v>
      </c>
      <c r="K196" s="1308">
        <v>0</v>
      </c>
      <c r="L196" s="1308">
        <v>0</v>
      </c>
      <c r="M196" s="1307"/>
    </row>
    <row r="197" spans="1:13" ht="22.5" x14ac:dyDescent="0.2">
      <c r="A197" s="1302"/>
      <c r="B197" s="1302"/>
      <c r="C197" s="1303" t="s">
        <v>179</v>
      </c>
      <c r="D197" s="1313" t="s">
        <v>75</v>
      </c>
      <c r="E197" s="1318">
        <v>70000</v>
      </c>
      <c r="F197" s="1322">
        <f t="shared" si="58"/>
        <v>0</v>
      </c>
      <c r="G197" s="1316" t="s">
        <v>1078</v>
      </c>
      <c r="H197" s="1325">
        <v>65098</v>
      </c>
      <c r="I197" s="1308">
        <v>0</v>
      </c>
      <c r="J197" s="1658">
        <f t="shared" si="42"/>
        <v>0.92997142857142856</v>
      </c>
      <c r="K197" s="1308">
        <v>0</v>
      </c>
      <c r="L197" s="1308">
        <v>0</v>
      </c>
      <c r="M197" s="1307"/>
    </row>
    <row r="198" spans="1:13" x14ac:dyDescent="0.2">
      <c r="A198" s="1334" t="s">
        <v>1079</v>
      </c>
      <c r="B198" s="1334"/>
      <c r="C198" s="1334"/>
      <c r="D198" s="1335" t="s">
        <v>1080</v>
      </c>
      <c r="E198" s="1336">
        <f>E199</f>
        <v>451400</v>
      </c>
      <c r="F198" s="1330">
        <f t="shared" ref="F198:L198" si="59">F199</f>
        <v>-111000</v>
      </c>
      <c r="G198" s="1337" t="str">
        <f t="shared" si="59"/>
        <v>340 400,00</v>
      </c>
      <c r="H198" s="1336">
        <f t="shared" si="59"/>
        <v>310195.5</v>
      </c>
      <c r="I198" s="1330">
        <f t="shared" si="59"/>
        <v>0</v>
      </c>
      <c r="J198" s="1333">
        <f t="shared" si="42"/>
        <v>0.91126762632197411</v>
      </c>
      <c r="K198" s="1330">
        <f t="shared" si="59"/>
        <v>21893.200000000001</v>
      </c>
      <c r="L198" s="1917">
        <f t="shared" si="59"/>
        <v>0</v>
      </c>
      <c r="M198" s="1307"/>
    </row>
    <row r="199" spans="1:13" ht="33.75" x14ac:dyDescent="0.2">
      <c r="A199" s="1299"/>
      <c r="B199" s="1305" t="s">
        <v>1082</v>
      </c>
      <c r="C199" s="1300"/>
      <c r="D199" s="1312" t="s">
        <v>1083</v>
      </c>
      <c r="E199" s="1317">
        <f>E200</f>
        <v>451400</v>
      </c>
      <c r="F199" s="1321">
        <f t="shared" ref="F199:L199" si="60">F200</f>
        <v>-111000</v>
      </c>
      <c r="G199" s="1314" t="str">
        <f t="shared" si="60"/>
        <v>340 400,00</v>
      </c>
      <c r="H199" s="1317">
        <f t="shared" si="60"/>
        <v>310195.5</v>
      </c>
      <c r="I199" s="1321">
        <f t="shared" si="60"/>
        <v>0</v>
      </c>
      <c r="J199" s="1326">
        <f t="shared" si="42"/>
        <v>0.91126762632197411</v>
      </c>
      <c r="K199" s="1321">
        <f t="shared" si="60"/>
        <v>21893.200000000001</v>
      </c>
      <c r="L199" s="1916">
        <f t="shared" si="60"/>
        <v>0</v>
      </c>
      <c r="M199" s="1307"/>
    </row>
    <row r="200" spans="1:13" ht="45" x14ac:dyDescent="0.2">
      <c r="A200" s="1302"/>
      <c r="B200" s="1302"/>
      <c r="C200" s="1303" t="s">
        <v>1084</v>
      </c>
      <c r="D200" s="1313" t="s">
        <v>1085</v>
      </c>
      <c r="E200" s="1318">
        <v>451400</v>
      </c>
      <c r="F200" s="1322">
        <f>G200-E200</f>
        <v>-111000</v>
      </c>
      <c r="G200" s="1316" t="s">
        <v>1081</v>
      </c>
      <c r="H200" s="1325">
        <v>310195.5</v>
      </c>
      <c r="I200" s="1308">
        <v>0</v>
      </c>
      <c r="J200" s="1658">
        <f t="shared" si="42"/>
        <v>0.91126762632197411</v>
      </c>
      <c r="K200" s="1308">
        <v>21893.200000000001</v>
      </c>
      <c r="L200" s="1308">
        <v>0</v>
      </c>
      <c r="M200" s="1307"/>
    </row>
    <row r="201" spans="1:13" x14ac:dyDescent="0.2">
      <c r="A201" s="1334" t="s">
        <v>751</v>
      </c>
      <c r="B201" s="1334"/>
      <c r="C201" s="1334"/>
      <c r="D201" s="1335" t="s">
        <v>70</v>
      </c>
      <c r="E201" s="1336">
        <f>E202+E204+E207</f>
        <v>311284</v>
      </c>
      <c r="F201" s="1330">
        <f t="shared" ref="F201:I201" si="61">F202+F204+F207</f>
        <v>-49634.43</v>
      </c>
      <c r="G201" s="1337">
        <f t="shared" si="61"/>
        <v>261649.57</v>
      </c>
      <c r="H201" s="1336">
        <f t="shared" si="61"/>
        <v>35905.57</v>
      </c>
      <c r="I201" s="1330">
        <f t="shared" si="61"/>
        <v>0</v>
      </c>
      <c r="J201" s="1333">
        <f t="shared" si="42"/>
        <v>0.13722770497960307</v>
      </c>
      <c r="K201" s="1330">
        <f t="shared" ref="K201" si="62">K202+K204+K207</f>
        <v>0</v>
      </c>
      <c r="L201" s="1917">
        <f t="shared" ref="L201" si="63">L202+L204+L207</f>
        <v>0</v>
      </c>
      <c r="M201" s="1307"/>
    </row>
    <row r="202" spans="1:13" ht="22.5" x14ac:dyDescent="0.2">
      <c r="A202" s="1299"/>
      <c r="B202" s="1305" t="s">
        <v>752</v>
      </c>
      <c r="C202" s="1300"/>
      <c r="D202" s="1312" t="s">
        <v>753</v>
      </c>
      <c r="E202" s="1317">
        <f>E203</f>
        <v>0</v>
      </c>
      <c r="F202" s="1321">
        <f t="shared" ref="F202:L202" si="64">F203</f>
        <v>35905.57</v>
      </c>
      <c r="G202" s="1314" t="str">
        <f t="shared" si="64"/>
        <v>35 905,57</v>
      </c>
      <c r="H202" s="1317">
        <f t="shared" si="64"/>
        <v>35905.57</v>
      </c>
      <c r="I202" s="1321">
        <f t="shared" si="64"/>
        <v>0</v>
      </c>
      <c r="J202" s="1326">
        <f t="shared" si="42"/>
        <v>1</v>
      </c>
      <c r="K202" s="1321">
        <f t="shared" si="64"/>
        <v>0</v>
      </c>
      <c r="L202" s="1916">
        <f t="shared" si="64"/>
        <v>0</v>
      </c>
      <c r="M202" s="1307"/>
    </row>
    <row r="203" spans="1:13" ht="33.75" x14ac:dyDescent="0.2">
      <c r="A203" s="1302"/>
      <c r="B203" s="1302"/>
      <c r="C203" s="1303" t="s">
        <v>1087</v>
      </c>
      <c r="D203" s="1313" t="s">
        <v>1088</v>
      </c>
      <c r="E203" s="1318">
        <v>0</v>
      </c>
      <c r="F203" s="1322">
        <f>G203-E203</f>
        <v>35905.57</v>
      </c>
      <c r="G203" s="1316" t="s">
        <v>1086</v>
      </c>
      <c r="H203" s="1325">
        <v>35905.57</v>
      </c>
      <c r="I203" s="1308">
        <v>0</v>
      </c>
      <c r="J203" s="1658">
        <f t="shared" ref="J203:J266" si="65">H203/G203</f>
        <v>1</v>
      </c>
      <c r="K203" s="1308">
        <v>0</v>
      </c>
      <c r="L203" s="1308">
        <v>0</v>
      </c>
      <c r="M203" s="1307"/>
    </row>
    <row r="204" spans="1:13" ht="15" hidden="1" x14ac:dyDescent="0.2">
      <c r="A204" s="1299"/>
      <c r="B204" s="1305" t="s">
        <v>760</v>
      </c>
      <c r="C204" s="1300"/>
      <c r="D204" s="1312" t="s">
        <v>27</v>
      </c>
      <c r="E204" s="1317">
        <f>E205+E206</f>
        <v>0</v>
      </c>
      <c r="F204" s="1321">
        <f t="shared" ref="F204:L204" si="66">F205+F206</f>
        <v>0</v>
      </c>
      <c r="G204" s="1314">
        <f t="shared" si="66"/>
        <v>0</v>
      </c>
      <c r="H204" s="1317">
        <f t="shared" si="66"/>
        <v>0</v>
      </c>
      <c r="I204" s="1321">
        <f t="shared" si="66"/>
        <v>0</v>
      </c>
      <c r="J204" s="1326">
        <v>0</v>
      </c>
      <c r="K204" s="1321">
        <f t="shared" si="66"/>
        <v>0</v>
      </c>
      <c r="L204" s="1916">
        <f t="shared" si="66"/>
        <v>0</v>
      </c>
      <c r="M204" s="1307"/>
    </row>
    <row r="205" spans="1:13" hidden="1" x14ac:dyDescent="0.2">
      <c r="A205" s="1302"/>
      <c r="B205" s="1302"/>
      <c r="C205" s="1303" t="s">
        <v>391</v>
      </c>
      <c r="D205" s="1313" t="s">
        <v>17</v>
      </c>
      <c r="E205" s="1318">
        <v>0</v>
      </c>
      <c r="F205" s="1322">
        <f>G205-E205</f>
        <v>0</v>
      </c>
      <c r="G205" s="1316" t="s">
        <v>636</v>
      </c>
      <c r="H205" s="1325">
        <v>0</v>
      </c>
      <c r="I205" s="1308">
        <v>0</v>
      </c>
      <c r="J205" s="1658">
        <v>0</v>
      </c>
      <c r="K205" s="1308">
        <v>0</v>
      </c>
      <c r="L205" s="1308">
        <v>0</v>
      </c>
      <c r="M205" s="1307"/>
    </row>
    <row r="206" spans="1:13" hidden="1" x14ac:dyDescent="0.2">
      <c r="A206" s="1302"/>
      <c r="B206" s="1302"/>
      <c r="C206" s="1303" t="s">
        <v>404</v>
      </c>
      <c r="D206" s="1313" t="s">
        <v>18</v>
      </c>
      <c r="E206" s="1318">
        <v>0</v>
      </c>
      <c r="F206" s="1322">
        <f>G206-E206</f>
        <v>0</v>
      </c>
      <c r="G206" s="1316" t="s">
        <v>636</v>
      </c>
      <c r="H206" s="1325">
        <v>0</v>
      </c>
      <c r="I206" s="1308">
        <v>0</v>
      </c>
      <c r="J206" s="1658">
        <v>0</v>
      </c>
      <c r="K206" s="1308">
        <v>0</v>
      </c>
      <c r="L206" s="1308">
        <v>0</v>
      </c>
      <c r="M206" s="1307"/>
    </row>
    <row r="207" spans="1:13" ht="15" x14ac:dyDescent="0.2">
      <c r="A207" s="1299"/>
      <c r="B207" s="1305" t="s">
        <v>1089</v>
      </c>
      <c r="C207" s="1300"/>
      <c r="D207" s="1312" t="s">
        <v>1090</v>
      </c>
      <c r="E207" s="1317">
        <f>E208</f>
        <v>311284</v>
      </c>
      <c r="F207" s="1321">
        <f t="shared" ref="F207:L207" si="67">F208</f>
        <v>-85540</v>
      </c>
      <c r="G207" s="1314" t="str">
        <f t="shared" si="67"/>
        <v>225 744,00</v>
      </c>
      <c r="H207" s="1317">
        <f t="shared" si="67"/>
        <v>0</v>
      </c>
      <c r="I207" s="1321">
        <f t="shared" si="67"/>
        <v>0</v>
      </c>
      <c r="J207" s="1326">
        <f t="shared" si="65"/>
        <v>0</v>
      </c>
      <c r="K207" s="1321">
        <f t="shared" si="67"/>
        <v>0</v>
      </c>
      <c r="L207" s="1916">
        <f t="shared" si="67"/>
        <v>0</v>
      </c>
      <c r="M207" s="1307"/>
    </row>
    <row r="208" spans="1:13" x14ac:dyDescent="0.2">
      <c r="A208" s="1302"/>
      <c r="B208" s="1302"/>
      <c r="C208" s="1303" t="s">
        <v>1092</v>
      </c>
      <c r="D208" s="1313" t="s">
        <v>1093</v>
      </c>
      <c r="E208" s="1318">
        <v>311284</v>
      </c>
      <c r="F208" s="1322">
        <f>G208-E208</f>
        <v>-85540</v>
      </c>
      <c r="G208" s="1316" t="s">
        <v>1091</v>
      </c>
      <c r="H208" s="1325">
        <v>0</v>
      </c>
      <c r="I208" s="1308">
        <v>0</v>
      </c>
      <c r="J208" s="1658">
        <f t="shared" si="65"/>
        <v>0</v>
      </c>
      <c r="K208" s="1308">
        <v>0</v>
      </c>
      <c r="L208" s="1308">
        <v>0</v>
      </c>
      <c r="M208" s="1307"/>
    </row>
    <row r="209" spans="1:13" x14ac:dyDescent="0.2">
      <c r="A209" s="1334" t="s">
        <v>218</v>
      </c>
      <c r="B209" s="1334"/>
      <c r="C209" s="1334"/>
      <c r="D209" s="1335" t="s">
        <v>33</v>
      </c>
      <c r="E209" s="1336">
        <f>E210+E232+E246+E269+E288+E290+E293+E307+E320+E333+E338+E342</f>
        <v>25503743.600000001</v>
      </c>
      <c r="F209" s="1330">
        <f t="shared" ref="F209:L209" si="68">F210+F232+F246+F269+F288+F290+F293+F307+F320+F333+F338+F342</f>
        <v>1337191.8799999999</v>
      </c>
      <c r="G209" s="1337">
        <f t="shared" si="68"/>
        <v>26840935.48</v>
      </c>
      <c r="H209" s="1336">
        <f t="shared" si="68"/>
        <v>26429716.099999998</v>
      </c>
      <c r="I209" s="1330">
        <f t="shared" si="68"/>
        <v>50000</v>
      </c>
      <c r="J209" s="1333">
        <f t="shared" si="65"/>
        <v>0.98467939463934051</v>
      </c>
      <c r="K209" s="1330">
        <f t="shared" si="68"/>
        <v>1819580.9800000002</v>
      </c>
      <c r="L209" s="1917">
        <f t="shared" si="68"/>
        <v>3686.14</v>
      </c>
      <c r="M209" s="1307"/>
    </row>
    <row r="210" spans="1:13" ht="15" x14ac:dyDescent="0.2">
      <c r="A210" s="1299"/>
      <c r="B210" s="1305" t="s">
        <v>219</v>
      </c>
      <c r="C210" s="1300"/>
      <c r="D210" s="1312" t="s">
        <v>77</v>
      </c>
      <c r="E210" s="1317">
        <f>E211+E212+E213+E214+E215+E216+E217+E218+E219+E220+E221+E222+E223+E224+E225+E226+E227+E228+E229+E230+E231</f>
        <v>12215487</v>
      </c>
      <c r="F210" s="1321">
        <f t="shared" ref="F210:L210" si="69">F211+F212+F213+F214+F215+F216+F217+F218+F219+F220+F221+F222+F223+F224+F225+F226+F227+F228+F229+F230+F231</f>
        <v>1276185.7199999997</v>
      </c>
      <c r="G210" s="1314">
        <f t="shared" si="69"/>
        <v>13491672.720000001</v>
      </c>
      <c r="H210" s="1317">
        <f t="shared" si="69"/>
        <v>13412852.42</v>
      </c>
      <c r="I210" s="1321">
        <f t="shared" si="69"/>
        <v>50000</v>
      </c>
      <c r="J210" s="1326">
        <f t="shared" si="65"/>
        <v>0.99415785561688297</v>
      </c>
      <c r="K210" s="1321">
        <f t="shared" si="69"/>
        <v>1214727.1399999999</v>
      </c>
      <c r="L210" s="1916">
        <f t="shared" si="69"/>
        <v>0</v>
      </c>
      <c r="M210" s="1307"/>
    </row>
    <row r="211" spans="1:13" ht="45" x14ac:dyDescent="0.2">
      <c r="A211" s="1302"/>
      <c r="B211" s="1302"/>
      <c r="C211" s="1303" t="s">
        <v>795</v>
      </c>
      <c r="D211" s="1313" t="s">
        <v>905</v>
      </c>
      <c r="E211" s="1318">
        <v>0</v>
      </c>
      <c r="F211" s="1322">
        <f>G211-E211</f>
        <v>2165</v>
      </c>
      <c r="G211" s="1316" t="s">
        <v>1094</v>
      </c>
      <c r="H211" s="1673">
        <v>2164.16</v>
      </c>
      <c r="I211" s="1315">
        <v>0</v>
      </c>
      <c r="J211" s="1658">
        <f t="shared" si="65"/>
        <v>0.99961200923787519</v>
      </c>
      <c r="K211" s="1308"/>
      <c r="L211" s="1308">
        <v>0</v>
      </c>
      <c r="M211" s="1307"/>
    </row>
    <row r="212" spans="1:13" ht="22.5" x14ac:dyDescent="0.2">
      <c r="A212" s="1302"/>
      <c r="B212" s="1302"/>
      <c r="C212" s="1303" t="s">
        <v>956</v>
      </c>
      <c r="D212" s="1313" t="s">
        <v>957</v>
      </c>
      <c r="E212" s="1318">
        <v>435984</v>
      </c>
      <c r="F212" s="1322">
        <f t="shared" ref="F212:F231" si="70">G212-E212</f>
        <v>-168651.53999999998</v>
      </c>
      <c r="G212" s="1316" t="s">
        <v>1095</v>
      </c>
      <c r="H212" s="1674">
        <v>261173.69</v>
      </c>
      <c r="I212" s="1315">
        <v>0</v>
      </c>
      <c r="J212" s="1658">
        <f t="shared" si="65"/>
        <v>0.97696213172167712</v>
      </c>
      <c r="K212" s="1308">
        <v>4788.66</v>
      </c>
      <c r="L212" s="1308">
        <v>0</v>
      </c>
      <c r="M212" s="1307"/>
    </row>
    <row r="213" spans="1:13" ht="22.5" x14ac:dyDescent="0.2">
      <c r="A213" s="1302"/>
      <c r="B213" s="1302"/>
      <c r="C213" s="1303" t="s">
        <v>890</v>
      </c>
      <c r="D213" s="1313" t="s">
        <v>13</v>
      </c>
      <c r="E213" s="1318">
        <v>7908800</v>
      </c>
      <c r="F213" s="1322">
        <f t="shared" si="70"/>
        <v>782523.58999999985</v>
      </c>
      <c r="G213" s="1316" t="s">
        <v>1096</v>
      </c>
      <c r="H213" s="1674">
        <v>8690582.0399999991</v>
      </c>
      <c r="I213" s="1315">
        <v>0</v>
      </c>
      <c r="J213" s="1658">
        <f t="shared" si="65"/>
        <v>0.99991467927844113</v>
      </c>
      <c r="K213" s="1308">
        <v>170114.55</v>
      </c>
      <c r="L213" s="1308">
        <v>0</v>
      </c>
      <c r="M213" s="1307"/>
    </row>
    <row r="214" spans="1:13" x14ac:dyDescent="0.2">
      <c r="A214" s="1302"/>
      <c r="B214" s="1302"/>
      <c r="C214" s="1303" t="s">
        <v>959</v>
      </c>
      <c r="D214" s="1313" t="s">
        <v>960</v>
      </c>
      <c r="E214" s="1318">
        <v>581128</v>
      </c>
      <c r="F214" s="1322">
        <f t="shared" si="70"/>
        <v>-29677.25</v>
      </c>
      <c r="G214" s="1316" t="s">
        <v>1097</v>
      </c>
      <c r="H214" s="1674">
        <v>551450.75</v>
      </c>
      <c r="I214" s="1315">
        <v>0</v>
      </c>
      <c r="J214" s="1658">
        <f t="shared" si="65"/>
        <v>1</v>
      </c>
      <c r="K214" s="1308">
        <v>750358.94</v>
      </c>
      <c r="L214" s="1308">
        <v>0</v>
      </c>
      <c r="M214" s="1307"/>
    </row>
    <row r="215" spans="1:13" x14ac:dyDescent="0.2">
      <c r="A215" s="1302"/>
      <c r="B215" s="1302"/>
      <c r="C215" s="1303" t="s">
        <v>447</v>
      </c>
      <c r="D215" s="1313" t="s">
        <v>14</v>
      </c>
      <c r="E215" s="1318">
        <v>1502480</v>
      </c>
      <c r="F215" s="1322">
        <f t="shared" si="70"/>
        <v>70497.739999999991</v>
      </c>
      <c r="G215" s="1316" t="s">
        <v>1098</v>
      </c>
      <c r="H215" s="1674">
        <v>1572977.74</v>
      </c>
      <c r="I215" s="1315">
        <v>0</v>
      </c>
      <c r="J215" s="1658">
        <f t="shared" si="65"/>
        <v>1</v>
      </c>
      <c r="K215" s="1308">
        <v>216934.63</v>
      </c>
      <c r="L215" s="1308">
        <v>0</v>
      </c>
      <c r="M215" s="1307"/>
    </row>
    <row r="216" spans="1:13" x14ac:dyDescent="0.2">
      <c r="A216" s="1302"/>
      <c r="B216" s="1302"/>
      <c r="C216" s="1303" t="s">
        <v>450</v>
      </c>
      <c r="D216" s="1313" t="s">
        <v>15</v>
      </c>
      <c r="E216" s="1318">
        <v>214711</v>
      </c>
      <c r="F216" s="1322">
        <f t="shared" si="70"/>
        <v>-32018.140000000014</v>
      </c>
      <c r="G216" s="1316" t="s">
        <v>1099</v>
      </c>
      <c r="H216" s="1674">
        <v>182692.86</v>
      </c>
      <c r="I216" s="1315">
        <v>0</v>
      </c>
      <c r="J216" s="1658">
        <f t="shared" si="65"/>
        <v>1</v>
      </c>
      <c r="K216" s="1308">
        <v>24972.09</v>
      </c>
      <c r="L216" s="1308">
        <v>0</v>
      </c>
      <c r="M216" s="1307"/>
    </row>
    <row r="217" spans="1:13" x14ac:dyDescent="0.2">
      <c r="A217" s="1302"/>
      <c r="B217" s="1302"/>
      <c r="C217" s="1303" t="s">
        <v>442</v>
      </c>
      <c r="D217" s="1313" t="s">
        <v>31</v>
      </c>
      <c r="E217" s="1318">
        <v>54716</v>
      </c>
      <c r="F217" s="1322">
        <f t="shared" si="70"/>
        <v>-4000</v>
      </c>
      <c r="G217" s="1316" t="s">
        <v>1100</v>
      </c>
      <c r="H217" s="1674">
        <v>42295.73</v>
      </c>
      <c r="I217" s="1315">
        <v>0</v>
      </c>
      <c r="J217" s="1658">
        <f t="shared" si="65"/>
        <v>0.83397211925230708</v>
      </c>
      <c r="K217" s="1308">
        <v>535.27</v>
      </c>
      <c r="L217" s="1308">
        <v>0</v>
      </c>
      <c r="M217" s="1307"/>
    </row>
    <row r="218" spans="1:13" x14ac:dyDescent="0.2">
      <c r="A218" s="1302"/>
      <c r="B218" s="1302"/>
      <c r="C218" s="1303" t="s">
        <v>391</v>
      </c>
      <c r="D218" s="1313" t="s">
        <v>17</v>
      </c>
      <c r="E218" s="1318">
        <v>332150</v>
      </c>
      <c r="F218" s="1322">
        <f t="shared" si="70"/>
        <v>63650</v>
      </c>
      <c r="G218" s="1316" t="s">
        <v>1101</v>
      </c>
      <c r="H218" s="1674">
        <v>375069.02</v>
      </c>
      <c r="I218" s="1315">
        <v>0</v>
      </c>
      <c r="J218" s="1658">
        <f t="shared" si="65"/>
        <v>0.94762258716523506</v>
      </c>
      <c r="K218" s="1308">
        <v>30.75</v>
      </c>
      <c r="L218" s="1308">
        <v>0</v>
      </c>
      <c r="M218" s="1307"/>
    </row>
    <row r="219" spans="1:13" ht="22.5" x14ac:dyDescent="0.2">
      <c r="A219" s="1302"/>
      <c r="B219" s="1302"/>
      <c r="C219" s="1303" t="s">
        <v>1102</v>
      </c>
      <c r="D219" s="1313" t="s">
        <v>36</v>
      </c>
      <c r="E219" s="1318">
        <v>29500</v>
      </c>
      <c r="F219" s="1322">
        <f t="shared" si="70"/>
        <v>105000</v>
      </c>
      <c r="G219" s="1316" t="s">
        <v>1103</v>
      </c>
      <c r="H219" s="1674">
        <v>134346.32</v>
      </c>
      <c r="I219" s="1315">
        <v>0</v>
      </c>
      <c r="J219" s="1658">
        <f t="shared" si="65"/>
        <v>0.99885739776951676</v>
      </c>
      <c r="K219" s="1308">
        <v>0</v>
      </c>
      <c r="L219" s="1308">
        <v>0</v>
      </c>
      <c r="M219" s="1307"/>
    </row>
    <row r="220" spans="1:13" x14ac:dyDescent="0.2">
      <c r="A220" s="1302"/>
      <c r="B220" s="1302"/>
      <c r="C220" s="1303" t="s">
        <v>902</v>
      </c>
      <c r="D220" s="1313" t="s">
        <v>41</v>
      </c>
      <c r="E220" s="1318">
        <v>398000</v>
      </c>
      <c r="F220" s="1322">
        <f t="shared" si="70"/>
        <v>-28232</v>
      </c>
      <c r="G220" s="1316" t="s">
        <v>1104</v>
      </c>
      <c r="H220" s="1674">
        <v>349314.79</v>
      </c>
      <c r="I220" s="1315">
        <v>0</v>
      </c>
      <c r="J220" s="1658">
        <f t="shared" si="65"/>
        <v>0.94468637091365393</v>
      </c>
      <c r="K220" s="1308">
        <v>41307.83</v>
      </c>
      <c r="L220" s="1308">
        <v>0</v>
      </c>
      <c r="M220" s="1307"/>
    </row>
    <row r="221" spans="1:13" x14ac:dyDescent="0.2">
      <c r="A221" s="1302"/>
      <c r="B221" s="1302"/>
      <c r="C221" s="1303" t="s">
        <v>912</v>
      </c>
      <c r="D221" s="1313" t="s">
        <v>78</v>
      </c>
      <c r="E221" s="1318">
        <v>82400</v>
      </c>
      <c r="F221" s="1322">
        <f t="shared" si="70"/>
        <v>270026.32</v>
      </c>
      <c r="G221" s="1316" t="s">
        <v>1105</v>
      </c>
      <c r="H221" s="1674">
        <v>348124.5</v>
      </c>
      <c r="I221" s="1315">
        <v>0</v>
      </c>
      <c r="J221" s="1658">
        <f t="shared" si="65"/>
        <v>0.98779370394356469</v>
      </c>
      <c r="K221" s="1308">
        <v>0</v>
      </c>
      <c r="L221" s="1308">
        <v>0</v>
      </c>
      <c r="M221" s="1307"/>
    </row>
    <row r="222" spans="1:13" x14ac:dyDescent="0.2">
      <c r="A222" s="1302"/>
      <c r="B222" s="1302"/>
      <c r="C222" s="1303" t="s">
        <v>992</v>
      </c>
      <c r="D222" s="1313" t="s">
        <v>42</v>
      </c>
      <c r="E222" s="1318">
        <v>23000</v>
      </c>
      <c r="F222" s="1322">
        <f t="shared" si="70"/>
        <v>-1630</v>
      </c>
      <c r="G222" s="1316" t="s">
        <v>1106</v>
      </c>
      <c r="H222" s="1674">
        <v>19957</v>
      </c>
      <c r="I222" s="1315">
        <v>0</v>
      </c>
      <c r="J222" s="1658">
        <f t="shared" si="65"/>
        <v>0.93387927000467941</v>
      </c>
      <c r="K222" s="1308">
        <v>0</v>
      </c>
      <c r="L222" s="1308">
        <v>0</v>
      </c>
      <c r="M222" s="1307"/>
    </row>
    <row r="223" spans="1:13" x14ac:dyDescent="0.2">
      <c r="A223" s="1302"/>
      <c r="B223" s="1302"/>
      <c r="C223" s="1303" t="s">
        <v>404</v>
      </c>
      <c r="D223" s="1313" t="s">
        <v>18</v>
      </c>
      <c r="E223" s="1318">
        <v>185400</v>
      </c>
      <c r="F223" s="1322">
        <f t="shared" si="70"/>
        <v>55433.25</v>
      </c>
      <c r="G223" s="1316" t="s">
        <v>1107</v>
      </c>
      <c r="H223" s="1674">
        <v>238124.46</v>
      </c>
      <c r="I223" s="1315">
        <v>0</v>
      </c>
      <c r="J223" s="1658">
        <f t="shared" si="65"/>
        <v>0.98875242517384954</v>
      </c>
      <c r="K223" s="1308">
        <v>5505.45</v>
      </c>
      <c r="L223" s="1308">
        <v>0</v>
      </c>
      <c r="M223" s="1307"/>
    </row>
    <row r="224" spans="1:13" ht="33.75" x14ac:dyDescent="0.2">
      <c r="A224" s="1302"/>
      <c r="B224" s="1302"/>
      <c r="C224" s="1303" t="s">
        <v>1108</v>
      </c>
      <c r="D224" s="1313" t="s">
        <v>1109</v>
      </c>
      <c r="E224" s="1318">
        <v>0</v>
      </c>
      <c r="F224" s="1322">
        <f t="shared" si="70"/>
        <v>30000</v>
      </c>
      <c r="G224" s="1316" t="s">
        <v>979</v>
      </c>
      <c r="H224" s="1674">
        <v>23079.72</v>
      </c>
      <c r="I224" s="1315">
        <v>0</v>
      </c>
      <c r="J224" s="1658">
        <f t="shared" si="65"/>
        <v>0.76932400000000001</v>
      </c>
      <c r="K224" s="1308">
        <v>0</v>
      </c>
      <c r="L224" s="1308">
        <v>0</v>
      </c>
      <c r="M224" s="1307"/>
    </row>
    <row r="225" spans="1:13" ht="22.5" x14ac:dyDescent="0.2">
      <c r="A225" s="1302"/>
      <c r="B225" s="1302"/>
      <c r="C225" s="1303" t="s">
        <v>468</v>
      </c>
      <c r="D225" s="1313" t="s">
        <v>919</v>
      </c>
      <c r="E225" s="1318">
        <v>40520</v>
      </c>
      <c r="F225" s="1322">
        <f t="shared" si="70"/>
        <v>-2095</v>
      </c>
      <c r="G225" s="1316" t="s">
        <v>1110</v>
      </c>
      <c r="H225" s="1674">
        <v>35954.959999999999</v>
      </c>
      <c r="I225" s="1315">
        <v>0</v>
      </c>
      <c r="J225" s="1658">
        <f t="shared" si="65"/>
        <v>0.93571789199739752</v>
      </c>
      <c r="K225" s="1308">
        <v>178.97</v>
      </c>
      <c r="L225" s="1308">
        <v>0</v>
      </c>
      <c r="M225" s="1307"/>
    </row>
    <row r="226" spans="1:13" x14ac:dyDescent="0.2">
      <c r="A226" s="1302"/>
      <c r="B226" s="1302"/>
      <c r="C226" s="1303" t="s">
        <v>1000</v>
      </c>
      <c r="D226" s="1313" t="s">
        <v>24</v>
      </c>
      <c r="E226" s="1318">
        <v>11600</v>
      </c>
      <c r="F226" s="1322">
        <f t="shared" si="70"/>
        <v>0</v>
      </c>
      <c r="G226" s="1316" t="s">
        <v>1111</v>
      </c>
      <c r="H226" s="1674">
        <v>8852.31</v>
      </c>
      <c r="I226" s="1315">
        <v>0</v>
      </c>
      <c r="J226" s="1658">
        <f t="shared" si="65"/>
        <v>0.76313017241379311</v>
      </c>
      <c r="K226" s="1308">
        <v>0</v>
      </c>
      <c r="L226" s="1308">
        <v>0</v>
      </c>
      <c r="M226" s="1307"/>
    </row>
    <row r="227" spans="1:13" x14ac:dyDescent="0.2">
      <c r="A227" s="1302"/>
      <c r="B227" s="1302"/>
      <c r="C227" s="1303" t="s">
        <v>897</v>
      </c>
      <c r="D227" s="1313" t="s">
        <v>19</v>
      </c>
      <c r="E227" s="1318">
        <v>9900</v>
      </c>
      <c r="F227" s="1322">
        <f t="shared" si="70"/>
        <v>-300.25</v>
      </c>
      <c r="G227" s="1316" t="s">
        <v>1112</v>
      </c>
      <c r="H227" s="1674">
        <v>9080.8700000000008</v>
      </c>
      <c r="I227" s="1315">
        <v>0</v>
      </c>
      <c r="J227" s="1658">
        <f t="shared" si="65"/>
        <v>0.94594859241126084</v>
      </c>
      <c r="K227" s="1308">
        <v>0</v>
      </c>
      <c r="L227" s="1308">
        <v>0</v>
      </c>
      <c r="M227" s="1307"/>
    </row>
    <row r="228" spans="1:13" ht="22.5" x14ac:dyDescent="0.2">
      <c r="A228" s="1302"/>
      <c r="B228" s="1302"/>
      <c r="C228" s="1303" t="s">
        <v>1003</v>
      </c>
      <c r="D228" s="1313" t="s">
        <v>44</v>
      </c>
      <c r="E228" s="1318">
        <v>402198</v>
      </c>
      <c r="F228" s="1322">
        <f t="shared" si="70"/>
        <v>40181</v>
      </c>
      <c r="G228" s="1316" t="s">
        <v>1113</v>
      </c>
      <c r="H228" s="1674">
        <v>442379</v>
      </c>
      <c r="I228" s="1315">
        <v>0</v>
      </c>
      <c r="J228" s="1658">
        <f t="shared" si="65"/>
        <v>1</v>
      </c>
      <c r="K228" s="1308">
        <v>0</v>
      </c>
      <c r="L228" s="1308">
        <v>0</v>
      </c>
      <c r="M228" s="1307"/>
    </row>
    <row r="229" spans="1:13" x14ac:dyDescent="0.2">
      <c r="A229" s="1302"/>
      <c r="B229" s="1302"/>
      <c r="C229" s="1303" t="s">
        <v>1114</v>
      </c>
      <c r="D229" s="1313" t="s">
        <v>1115</v>
      </c>
      <c r="E229" s="1318">
        <v>1000</v>
      </c>
      <c r="F229" s="1322">
        <f t="shared" si="70"/>
        <v>-897</v>
      </c>
      <c r="G229" s="1316" t="s">
        <v>1116</v>
      </c>
      <c r="H229" s="1674">
        <v>103</v>
      </c>
      <c r="I229" s="1315">
        <v>0</v>
      </c>
      <c r="J229" s="1658">
        <f t="shared" si="65"/>
        <v>1</v>
      </c>
      <c r="K229" s="1308">
        <v>0</v>
      </c>
      <c r="L229" s="1308">
        <v>0</v>
      </c>
      <c r="M229" s="1307"/>
    </row>
    <row r="230" spans="1:13" ht="22.5" x14ac:dyDescent="0.2">
      <c r="A230" s="1302"/>
      <c r="B230" s="1302"/>
      <c r="C230" s="1303" t="s">
        <v>966</v>
      </c>
      <c r="D230" s="1313" t="s">
        <v>967</v>
      </c>
      <c r="E230" s="1318">
        <v>2000</v>
      </c>
      <c r="F230" s="1322">
        <f t="shared" si="70"/>
        <v>-790</v>
      </c>
      <c r="G230" s="1316" t="s">
        <v>1117</v>
      </c>
      <c r="H230" s="1674">
        <v>210</v>
      </c>
      <c r="I230" s="1315">
        <v>0</v>
      </c>
      <c r="J230" s="1658">
        <f t="shared" si="65"/>
        <v>0.17355371900826447</v>
      </c>
      <c r="K230" s="1308">
        <v>0</v>
      </c>
      <c r="L230" s="1308">
        <v>0</v>
      </c>
      <c r="M230" s="1307"/>
    </row>
    <row r="231" spans="1:13" ht="22.5" x14ac:dyDescent="0.2">
      <c r="A231" s="1302"/>
      <c r="B231" s="1302"/>
      <c r="C231" s="1303" t="s">
        <v>147</v>
      </c>
      <c r="D231" s="1313" t="s">
        <v>45</v>
      </c>
      <c r="E231" s="1318">
        <v>0</v>
      </c>
      <c r="F231" s="1322">
        <f t="shared" si="70"/>
        <v>125000</v>
      </c>
      <c r="G231" s="1316" t="s">
        <v>1118</v>
      </c>
      <c r="H231" s="1325">
        <v>124919.5</v>
      </c>
      <c r="I231" s="1308">
        <v>50000</v>
      </c>
      <c r="J231" s="1658">
        <f t="shared" si="65"/>
        <v>0.99935600000000002</v>
      </c>
      <c r="K231" s="1308">
        <v>0</v>
      </c>
      <c r="L231" s="1308">
        <v>0</v>
      </c>
      <c r="M231" s="1307"/>
    </row>
    <row r="232" spans="1:13" ht="22.5" x14ac:dyDescent="0.2">
      <c r="A232" s="1299"/>
      <c r="B232" s="1305" t="s">
        <v>782</v>
      </c>
      <c r="C232" s="1300"/>
      <c r="D232" s="1312" t="s">
        <v>783</v>
      </c>
      <c r="E232" s="1317">
        <f>E233+E234+E235+E236+E237+E238+E239+E240+E241+E242+E243+E244+E245</f>
        <v>756322</v>
      </c>
      <c r="F232" s="1321">
        <f t="shared" ref="F232:L232" si="71">F233+F234+F235+F236+F237+F238+F239+F240+F241+F242+F243+F244+F245</f>
        <v>28929.140000000036</v>
      </c>
      <c r="G232" s="1314">
        <f t="shared" si="71"/>
        <v>785251.14</v>
      </c>
      <c r="H232" s="1317">
        <f t="shared" si="71"/>
        <v>777702.21000000008</v>
      </c>
      <c r="I232" s="1321">
        <f t="shared" si="71"/>
        <v>0</v>
      </c>
      <c r="J232" s="1326">
        <f t="shared" si="65"/>
        <v>0.99038660421429003</v>
      </c>
      <c r="K232" s="1321">
        <f t="shared" si="71"/>
        <v>59880.06</v>
      </c>
      <c r="L232" s="1916">
        <f t="shared" si="71"/>
        <v>0</v>
      </c>
      <c r="M232" s="1307"/>
    </row>
    <row r="233" spans="1:13" ht="22.5" x14ac:dyDescent="0.2">
      <c r="A233" s="1302"/>
      <c r="B233" s="1302"/>
      <c r="C233" s="1303" t="s">
        <v>956</v>
      </c>
      <c r="D233" s="1313" t="s">
        <v>957</v>
      </c>
      <c r="E233" s="1318">
        <v>17422</v>
      </c>
      <c r="F233" s="1322">
        <f>G233-E233</f>
        <v>-1251</v>
      </c>
      <c r="G233" s="1316" t="s">
        <v>1119</v>
      </c>
      <c r="H233" s="1325">
        <v>15817.93</v>
      </c>
      <c r="I233" s="1308">
        <v>0</v>
      </c>
      <c r="J233" s="1658">
        <f t="shared" si="65"/>
        <v>0.9781664708428669</v>
      </c>
      <c r="K233" s="1308">
        <v>100.48</v>
      </c>
      <c r="L233" s="1308">
        <v>0</v>
      </c>
      <c r="M233" s="1307"/>
    </row>
    <row r="234" spans="1:13" ht="22.5" x14ac:dyDescent="0.2">
      <c r="A234" s="1302"/>
      <c r="B234" s="1302"/>
      <c r="C234" s="1303" t="s">
        <v>890</v>
      </c>
      <c r="D234" s="1313" t="s">
        <v>13</v>
      </c>
      <c r="E234" s="1318">
        <v>511200</v>
      </c>
      <c r="F234" s="1322">
        <f t="shared" ref="F234:F245" si="72">G234-E234</f>
        <v>35876.660000000033</v>
      </c>
      <c r="G234" s="1316" t="s">
        <v>1120</v>
      </c>
      <c r="H234" s="1325">
        <v>546638.56000000006</v>
      </c>
      <c r="I234" s="1308">
        <v>0</v>
      </c>
      <c r="J234" s="1658">
        <f t="shared" si="65"/>
        <v>0.99919919815259528</v>
      </c>
      <c r="K234" s="1308">
        <v>8193.8700000000008</v>
      </c>
      <c r="L234" s="1308">
        <v>0</v>
      </c>
      <c r="M234" s="1307"/>
    </row>
    <row r="235" spans="1:13" x14ac:dyDescent="0.2">
      <c r="A235" s="1302"/>
      <c r="B235" s="1302"/>
      <c r="C235" s="1303" t="s">
        <v>959</v>
      </c>
      <c r="D235" s="1313" t="s">
        <v>960</v>
      </c>
      <c r="E235" s="1318">
        <v>38094</v>
      </c>
      <c r="F235" s="1322">
        <f t="shared" si="72"/>
        <v>-3641.5199999999968</v>
      </c>
      <c r="G235" s="1316" t="s">
        <v>1121</v>
      </c>
      <c r="H235" s="1325">
        <v>34452.480000000003</v>
      </c>
      <c r="I235" s="1308">
        <v>0</v>
      </c>
      <c r="J235" s="1658">
        <f t="shared" si="65"/>
        <v>1</v>
      </c>
      <c r="K235" s="1308">
        <v>38816.449999999997</v>
      </c>
      <c r="L235" s="1308">
        <v>0</v>
      </c>
      <c r="M235" s="1307"/>
    </row>
    <row r="236" spans="1:13" x14ac:dyDescent="0.2">
      <c r="A236" s="1302"/>
      <c r="B236" s="1302"/>
      <c r="C236" s="1303" t="s">
        <v>447</v>
      </c>
      <c r="D236" s="1313" t="s">
        <v>14</v>
      </c>
      <c r="E236" s="1318">
        <v>92244</v>
      </c>
      <c r="F236" s="1322">
        <f t="shared" si="72"/>
        <v>6872</v>
      </c>
      <c r="G236" s="1316" t="s">
        <v>1122</v>
      </c>
      <c r="H236" s="1325">
        <v>99116</v>
      </c>
      <c r="I236" s="1308">
        <v>0</v>
      </c>
      <c r="J236" s="1658">
        <f t="shared" si="65"/>
        <v>1</v>
      </c>
      <c r="K236" s="1308">
        <v>11667.11</v>
      </c>
      <c r="L236" s="1308">
        <v>0</v>
      </c>
      <c r="M236" s="1307"/>
    </row>
    <row r="237" spans="1:13" x14ac:dyDescent="0.2">
      <c r="A237" s="1302"/>
      <c r="B237" s="1302"/>
      <c r="C237" s="1303" t="s">
        <v>450</v>
      </c>
      <c r="D237" s="1313" t="s">
        <v>15</v>
      </c>
      <c r="E237" s="1318">
        <v>13216</v>
      </c>
      <c r="F237" s="1322">
        <f t="shared" si="72"/>
        <v>-1988</v>
      </c>
      <c r="G237" s="1316" t="s">
        <v>1123</v>
      </c>
      <c r="H237" s="1325">
        <v>11228</v>
      </c>
      <c r="I237" s="1308">
        <v>0</v>
      </c>
      <c r="J237" s="1658">
        <f t="shared" si="65"/>
        <v>1</v>
      </c>
      <c r="K237" s="1308">
        <v>1102.1500000000001</v>
      </c>
      <c r="L237" s="1308">
        <v>0</v>
      </c>
      <c r="M237" s="1307"/>
    </row>
    <row r="238" spans="1:13" x14ac:dyDescent="0.2">
      <c r="A238" s="1302"/>
      <c r="B238" s="1302"/>
      <c r="C238" s="1303" t="s">
        <v>391</v>
      </c>
      <c r="D238" s="1313" t="s">
        <v>17</v>
      </c>
      <c r="E238" s="1318">
        <v>26600</v>
      </c>
      <c r="F238" s="1322">
        <f t="shared" si="72"/>
        <v>0</v>
      </c>
      <c r="G238" s="1316" t="s">
        <v>1124</v>
      </c>
      <c r="H238" s="1325">
        <v>21980.02</v>
      </c>
      <c r="I238" s="1308">
        <v>0</v>
      </c>
      <c r="J238" s="1658">
        <f t="shared" si="65"/>
        <v>0.8263165413533835</v>
      </c>
      <c r="K238" s="1308">
        <v>0</v>
      </c>
      <c r="L238" s="1308">
        <v>0</v>
      </c>
      <c r="M238" s="1307"/>
    </row>
    <row r="239" spans="1:13" ht="22.5" x14ac:dyDescent="0.2">
      <c r="A239" s="1302"/>
      <c r="B239" s="1302"/>
      <c r="C239" s="1303" t="s">
        <v>1102</v>
      </c>
      <c r="D239" s="1313" t="s">
        <v>36</v>
      </c>
      <c r="E239" s="1318">
        <v>3500</v>
      </c>
      <c r="F239" s="1322">
        <f t="shared" si="72"/>
        <v>0</v>
      </c>
      <c r="G239" s="1316" t="s">
        <v>687</v>
      </c>
      <c r="H239" s="1325">
        <v>3483.18</v>
      </c>
      <c r="I239" s="1308">
        <v>0</v>
      </c>
      <c r="J239" s="1658">
        <f t="shared" si="65"/>
        <v>0.9951942857142857</v>
      </c>
      <c r="K239" s="1308">
        <v>0</v>
      </c>
      <c r="L239" s="1308">
        <v>0</v>
      </c>
      <c r="M239" s="1307"/>
    </row>
    <row r="240" spans="1:13" x14ac:dyDescent="0.2">
      <c r="A240" s="1302"/>
      <c r="B240" s="1302"/>
      <c r="C240" s="1303" t="s">
        <v>902</v>
      </c>
      <c r="D240" s="1313" t="s">
        <v>41</v>
      </c>
      <c r="E240" s="1318">
        <v>21000</v>
      </c>
      <c r="F240" s="1322">
        <f t="shared" si="72"/>
        <v>-7719</v>
      </c>
      <c r="G240" s="1316" t="s">
        <v>1125</v>
      </c>
      <c r="H240" s="1308">
        <v>11575.89</v>
      </c>
      <c r="I240" s="1308">
        <v>0</v>
      </c>
      <c r="J240" s="1658">
        <f t="shared" si="65"/>
        <v>0.87161283035915971</v>
      </c>
      <c r="K240" s="1308">
        <v>0</v>
      </c>
      <c r="L240" s="1308">
        <v>0</v>
      </c>
      <c r="M240" s="1307"/>
    </row>
    <row r="241" spans="1:13" x14ac:dyDescent="0.2">
      <c r="A241" s="1302"/>
      <c r="B241" s="1302"/>
      <c r="C241" s="1303" t="s">
        <v>912</v>
      </c>
      <c r="D241" s="1313" t="s">
        <v>78</v>
      </c>
      <c r="E241" s="1318">
        <v>800</v>
      </c>
      <c r="F241" s="1322">
        <f t="shared" si="72"/>
        <v>1500</v>
      </c>
      <c r="G241" s="1316" t="s">
        <v>1126</v>
      </c>
      <c r="H241" s="1308">
        <v>2298.8200000000002</v>
      </c>
      <c r="I241" s="1308">
        <v>0</v>
      </c>
      <c r="J241" s="1658">
        <f t="shared" si="65"/>
        <v>0.99948695652173924</v>
      </c>
      <c r="K241" s="1308">
        <v>0</v>
      </c>
      <c r="L241" s="1308">
        <v>0</v>
      </c>
      <c r="M241" s="1307"/>
    </row>
    <row r="242" spans="1:13" x14ac:dyDescent="0.2">
      <c r="A242" s="1302"/>
      <c r="B242" s="1302"/>
      <c r="C242" s="1303" t="s">
        <v>992</v>
      </c>
      <c r="D242" s="1313" t="s">
        <v>42</v>
      </c>
      <c r="E242" s="1318">
        <v>2100</v>
      </c>
      <c r="F242" s="1322">
        <f t="shared" si="72"/>
        <v>-720</v>
      </c>
      <c r="G242" s="1316" t="s">
        <v>1127</v>
      </c>
      <c r="H242" s="1308">
        <v>1380</v>
      </c>
      <c r="I242" s="1308">
        <v>0</v>
      </c>
      <c r="J242" s="1658">
        <f t="shared" si="65"/>
        <v>1</v>
      </c>
      <c r="K242" s="1308">
        <v>0</v>
      </c>
      <c r="L242" s="1308">
        <v>0</v>
      </c>
      <c r="M242" s="1307"/>
    </row>
    <row r="243" spans="1:13" x14ac:dyDescent="0.2">
      <c r="A243" s="1302"/>
      <c r="B243" s="1302"/>
      <c r="C243" s="1303" t="s">
        <v>404</v>
      </c>
      <c r="D243" s="1313" t="s">
        <v>18</v>
      </c>
      <c r="E243" s="1318">
        <v>3400</v>
      </c>
      <c r="F243" s="1322">
        <f t="shared" si="72"/>
        <v>0</v>
      </c>
      <c r="G243" s="1316" t="s">
        <v>1128</v>
      </c>
      <c r="H243" s="1308">
        <v>3013.63</v>
      </c>
      <c r="I243" s="1308">
        <v>0</v>
      </c>
      <c r="J243" s="1658">
        <f t="shared" si="65"/>
        <v>0.88636176470588235</v>
      </c>
      <c r="K243" s="1308">
        <v>0</v>
      </c>
      <c r="L243" s="1308">
        <v>0</v>
      </c>
      <c r="M243" s="1307"/>
    </row>
    <row r="244" spans="1:13" ht="22.5" x14ac:dyDescent="0.2">
      <c r="A244" s="1302"/>
      <c r="B244" s="1302"/>
      <c r="C244" s="1303" t="s">
        <v>468</v>
      </c>
      <c r="D244" s="1313" t="s">
        <v>919</v>
      </c>
      <c r="E244" s="1318">
        <v>1000</v>
      </c>
      <c r="F244" s="1322">
        <f t="shared" si="72"/>
        <v>0</v>
      </c>
      <c r="G244" s="1316" t="s">
        <v>680</v>
      </c>
      <c r="H244" s="1325">
        <v>971.7</v>
      </c>
      <c r="I244" s="1308">
        <v>0</v>
      </c>
      <c r="J244" s="1658">
        <f t="shared" si="65"/>
        <v>0.97170000000000001</v>
      </c>
      <c r="K244" s="1308">
        <v>0</v>
      </c>
      <c r="L244" s="1308">
        <v>0</v>
      </c>
      <c r="M244" s="1307"/>
    </row>
    <row r="245" spans="1:13" ht="22.5" x14ac:dyDescent="0.2">
      <c r="A245" s="1302"/>
      <c r="B245" s="1302"/>
      <c r="C245" s="1303" t="s">
        <v>1003</v>
      </c>
      <c r="D245" s="1313" t="s">
        <v>44</v>
      </c>
      <c r="E245" s="1318">
        <v>25746</v>
      </c>
      <c r="F245" s="1322">
        <f t="shared" si="72"/>
        <v>0</v>
      </c>
      <c r="G245" s="1316" t="s">
        <v>1129</v>
      </c>
      <c r="H245" s="1325">
        <v>25746</v>
      </c>
      <c r="I245" s="1308">
        <v>0</v>
      </c>
      <c r="J245" s="1658">
        <f t="shared" si="65"/>
        <v>1</v>
      </c>
      <c r="K245" s="1308">
        <v>0</v>
      </c>
      <c r="L245" s="1308">
        <v>0</v>
      </c>
      <c r="M245" s="1307"/>
    </row>
    <row r="246" spans="1:13" ht="15" x14ac:dyDescent="0.2">
      <c r="A246" s="1299"/>
      <c r="B246" s="1305" t="s">
        <v>427</v>
      </c>
      <c r="C246" s="1300"/>
      <c r="D246" s="1312" t="s">
        <v>785</v>
      </c>
      <c r="E246" s="1317">
        <f>E247+E248+E249+E250+E251+E252+E253+E254+E255+E256+E257+E258+E259+E260+E261+E262+E263+E264+E265+E266+E267+E268</f>
        <v>5867011</v>
      </c>
      <c r="F246" s="1321">
        <f t="shared" ref="F246:L246" si="73">F247+F248+F249+F250+F251+F252+F253+F254+F255+F256+F257+F258+F259+F260+F261+F262+F263+F264+F265+F266+F267+F268</f>
        <v>-156853.34000000003</v>
      </c>
      <c r="G246" s="1314">
        <f t="shared" si="73"/>
        <v>5710157.6600000001</v>
      </c>
      <c r="H246" s="1317">
        <f t="shared" si="73"/>
        <v>5588506.5699999994</v>
      </c>
      <c r="I246" s="1321">
        <f t="shared" si="73"/>
        <v>0</v>
      </c>
      <c r="J246" s="1326">
        <f t="shared" si="65"/>
        <v>0.97869566879874892</v>
      </c>
      <c r="K246" s="1321">
        <f t="shared" si="73"/>
        <v>328510.67000000004</v>
      </c>
      <c r="L246" s="1916">
        <f t="shared" si="73"/>
        <v>500</v>
      </c>
      <c r="M246" s="1307"/>
    </row>
    <row r="247" spans="1:13" ht="45" x14ac:dyDescent="0.2">
      <c r="A247" s="1302"/>
      <c r="B247" s="1302"/>
      <c r="C247" s="1303" t="s">
        <v>795</v>
      </c>
      <c r="D247" s="1313" t="s">
        <v>905</v>
      </c>
      <c r="E247" s="1318">
        <v>50000</v>
      </c>
      <c r="F247" s="1322">
        <f>G247-E247</f>
        <v>-10415</v>
      </c>
      <c r="G247" s="1316" t="s">
        <v>1130</v>
      </c>
      <c r="H247" s="1325">
        <v>37249</v>
      </c>
      <c r="I247" s="1308">
        <v>0</v>
      </c>
      <c r="J247" s="1658">
        <f t="shared" si="65"/>
        <v>0.94098774788429962</v>
      </c>
      <c r="K247" s="1308">
        <v>0</v>
      </c>
      <c r="L247" s="1308">
        <v>0</v>
      </c>
      <c r="M247" s="1307"/>
    </row>
    <row r="248" spans="1:13" ht="22.5" x14ac:dyDescent="0.2">
      <c r="A248" s="1302"/>
      <c r="B248" s="1302"/>
      <c r="C248" s="1303" t="s">
        <v>1131</v>
      </c>
      <c r="D248" s="1313" t="s">
        <v>321</v>
      </c>
      <c r="E248" s="1318">
        <v>1443800</v>
      </c>
      <c r="F248" s="1322">
        <f t="shared" ref="F248:F268" si="74">G248-E248</f>
        <v>-150304.47999999998</v>
      </c>
      <c r="G248" s="1316" t="s">
        <v>1132</v>
      </c>
      <c r="H248" s="1325">
        <v>1291941.8</v>
      </c>
      <c r="I248" s="1308">
        <v>0</v>
      </c>
      <c r="J248" s="1658">
        <f t="shared" si="65"/>
        <v>0.9987988207334495</v>
      </c>
      <c r="K248" s="1308">
        <v>0</v>
      </c>
      <c r="L248" s="1308">
        <v>0</v>
      </c>
      <c r="M248" s="1307"/>
    </row>
    <row r="249" spans="1:13" ht="22.5" x14ac:dyDescent="0.2">
      <c r="A249" s="1302"/>
      <c r="B249" s="1302"/>
      <c r="C249" s="1303" t="s">
        <v>956</v>
      </c>
      <c r="D249" s="1313" t="s">
        <v>957</v>
      </c>
      <c r="E249" s="1318">
        <v>90821</v>
      </c>
      <c r="F249" s="1322">
        <f t="shared" si="74"/>
        <v>-33138</v>
      </c>
      <c r="G249" s="1316" t="s">
        <v>1133</v>
      </c>
      <c r="H249" s="1325">
        <v>54361.33</v>
      </c>
      <c r="I249" s="1308">
        <v>0</v>
      </c>
      <c r="J249" s="1658">
        <f t="shared" si="65"/>
        <v>0.94241509630220344</v>
      </c>
      <c r="K249" s="1308">
        <v>108</v>
      </c>
      <c r="L249" s="1308">
        <v>0</v>
      </c>
      <c r="M249" s="1307"/>
    </row>
    <row r="250" spans="1:13" ht="22.5" x14ac:dyDescent="0.2">
      <c r="A250" s="1302"/>
      <c r="B250" s="1302"/>
      <c r="C250" s="1303" t="s">
        <v>890</v>
      </c>
      <c r="D250" s="1313" t="s">
        <v>13</v>
      </c>
      <c r="E250" s="1318">
        <v>2446600</v>
      </c>
      <c r="F250" s="1322">
        <f t="shared" si="74"/>
        <v>12482.939999999944</v>
      </c>
      <c r="G250" s="1316" t="s">
        <v>1134</v>
      </c>
      <c r="H250" s="1325">
        <v>2459082.94</v>
      </c>
      <c r="I250" s="1308">
        <v>0</v>
      </c>
      <c r="J250" s="1658">
        <f t="shared" si="65"/>
        <v>1</v>
      </c>
      <c r="K250" s="1308">
        <v>37593.35</v>
      </c>
      <c r="L250" s="1308">
        <v>0</v>
      </c>
      <c r="M250" s="1307"/>
    </row>
    <row r="251" spans="1:13" x14ac:dyDescent="0.2">
      <c r="A251" s="1302"/>
      <c r="B251" s="1302"/>
      <c r="C251" s="1303" t="s">
        <v>959</v>
      </c>
      <c r="D251" s="1313" t="s">
        <v>960</v>
      </c>
      <c r="E251" s="1318">
        <v>184632</v>
      </c>
      <c r="F251" s="1322">
        <f t="shared" si="74"/>
        <v>-8477.9400000000023</v>
      </c>
      <c r="G251" s="1316" t="s">
        <v>1135</v>
      </c>
      <c r="H251" s="1325">
        <v>176153.26</v>
      </c>
      <c r="I251" s="1308">
        <v>0</v>
      </c>
      <c r="J251" s="1658">
        <f t="shared" si="65"/>
        <v>0.99999545852079719</v>
      </c>
      <c r="K251" s="1308">
        <v>198322.45</v>
      </c>
      <c r="L251" s="1308">
        <v>0</v>
      </c>
      <c r="M251" s="1307"/>
    </row>
    <row r="252" spans="1:13" x14ac:dyDescent="0.2">
      <c r="A252" s="1302"/>
      <c r="B252" s="1302"/>
      <c r="C252" s="1303" t="s">
        <v>447</v>
      </c>
      <c r="D252" s="1313" t="s">
        <v>14</v>
      </c>
      <c r="E252" s="1318">
        <v>459213</v>
      </c>
      <c r="F252" s="1322">
        <f t="shared" si="74"/>
        <v>6712.140000000014</v>
      </c>
      <c r="G252" s="1316" t="s">
        <v>1136</v>
      </c>
      <c r="H252" s="1325">
        <v>465925.14</v>
      </c>
      <c r="I252" s="1308">
        <v>0</v>
      </c>
      <c r="J252" s="1658">
        <f t="shared" si="65"/>
        <v>1</v>
      </c>
      <c r="K252" s="1308">
        <v>55240.58</v>
      </c>
      <c r="L252" s="1308">
        <v>0</v>
      </c>
      <c r="M252" s="1307"/>
    </row>
    <row r="253" spans="1:13" x14ac:dyDescent="0.2">
      <c r="A253" s="1302"/>
      <c r="B253" s="1302"/>
      <c r="C253" s="1303" t="s">
        <v>450</v>
      </c>
      <c r="D253" s="1313" t="s">
        <v>15</v>
      </c>
      <c r="E253" s="1318">
        <v>65209</v>
      </c>
      <c r="F253" s="1322">
        <f t="shared" si="74"/>
        <v>-8000</v>
      </c>
      <c r="G253" s="1316" t="s">
        <v>1137</v>
      </c>
      <c r="H253" s="1325">
        <v>56667.58</v>
      </c>
      <c r="I253" s="1308">
        <v>0</v>
      </c>
      <c r="J253" s="1658">
        <f t="shared" si="65"/>
        <v>0.99053610445908868</v>
      </c>
      <c r="K253" s="1308">
        <v>5815.64</v>
      </c>
      <c r="L253" s="1308">
        <v>0</v>
      </c>
      <c r="M253" s="1307"/>
    </row>
    <row r="254" spans="1:13" x14ac:dyDescent="0.2">
      <c r="A254" s="1302"/>
      <c r="B254" s="1302"/>
      <c r="C254" s="1303" t="s">
        <v>442</v>
      </c>
      <c r="D254" s="1313" t="s">
        <v>31</v>
      </c>
      <c r="E254" s="1318">
        <v>6000</v>
      </c>
      <c r="F254" s="1322">
        <f t="shared" si="74"/>
        <v>0</v>
      </c>
      <c r="G254" s="1316" t="s">
        <v>716</v>
      </c>
      <c r="H254" s="1325">
        <v>4929.5200000000004</v>
      </c>
      <c r="I254" s="1308">
        <v>0</v>
      </c>
      <c r="J254" s="1658">
        <f t="shared" si="65"/>
        <v>0.82158666666666669</v>
      </c>
      <c r="K254" s="1308">
        <v>0</v>
      </c>
      <c r="L254" s="1308">
        <v>0</v>
      </c>
      <c r="M254" s="1307"/>
    </row>
    <row r="255" spans="1:13" x14ac:dyDescent="0.2">
      <c r="A255" s="1302"/>
      <c r="B255" s="1302"/>
      <c r="C255" s="1303" t="s">
        <v>391</v>
      </c>
      <c r="D255" s="1313" t="s">
        <v>17</v>
      </c>
      <c r="E255" s="1318">
        <v>124500</v>
      </c>
      <c r="F255" s="1322">
        <f t="shared" si="74"/>
        <v>14368</v>
      </c>
      <c r="G255" s="1316" t="s">
        <v>1138</v>
      </c>
      <c r="H255" s="1325">
        <v>136953.16</v>
      </c>
      <c r="I255" s="1308">
        <v>0</v>
      </c>
      <c r="J255" s="1658">
        <f t="shared" si="65"/>
        <v>0.98621107814615316</v>
      </c>
      <c r="K255" s="1308">
        <v>0</v>
      </c>
      <c r="L255" s="1308">
        <v>500</v>
      </c>
      <c r="M255" s="1307"/>
    </row>
    <row r="256" spans="1:13" x14ac:dyDescent="0.2">
      <c r="A256" s="1302"/>
      <c r="B256" s="1302"/>
      <c r="C256" s="1303" t="s">
        <v>1139</v>
      </c>
      <c r="D256" s="1313" t="s">
        <v>40</v>
      </c>
      <c r="E256" s="1318">
        <v>422290</v>
      </c>
      <c r="F256" s="1322">
        <f t="shared" si="74"/>
        <v>0</v>
      </c>
      <c r="G256" s="1316" t="s">
        <v>791</v>
      </c>
      <c r="H256" s="1325">
        <v>353892.17</v>
      </c>
      <c r="I256" s="1308">
        <v>0</v>
      </c>
      <c r="J256" s="1658">
        <f t="shared" si="65"/>
        <v>0.83803113973809462</v>
      </c>
      <c r="K256" s="1308">
        <v>0</v>
      </c>
      <c r="L256" s="1308">
        <v>0</v>
      </c>
      <c r="M256" s="1307"/>
    </row>
    <row r="257" spans="1:13" ht="22.5" x14ac:dyDescent="0.2">
      <c r="A257" s="1302"/>
      <c r="B257" s="1302"/>
      <c r="C257" s="1303" t="s">
        <v>1102</v>
      </c>
      <c r="D257" s="1313" t="s">
        <v>36</v>
      </c>
      <c r="E257" s="1318">
        <v>15000</v>
      </c>
      <c r="F257" s="1322">
        <f t="shared" si="74"/>
        <v>-91</v>
      </c>
      <c r="G257" s="1316" t="s">
        <v>1140</v>
      </c>
      <c r="H257" s="1325">
        <v>14661.5</v>
      </c>
      <c r="I257" s="1308">
        <v>0</v>
      </c>
      <c r="J257" s="1658">
        <f t="shared" si="65"/>
        <v>0.98339928902005502</v>
      </c>
      <c r="K257" s="1308">
        <v>0</v>
      </c>
      <c r="L257" s="1308">
        <v>0</v>
      </c>
      <c r="M257" s="1307"/>
    </row>
    <row r="258" spans="1:13" x14ac:dyDescent="0.2">
      <c r="A258" s="1302"/>
      <c r="B258" s="1302"/>
      <c r="C258" s="1303" t="s">
        <v>902</v>
      </c>
      <c r="D258" s="1313" t="s">
        <v>41</v>
      </c>
      <c r="E258" s="1318">
        <v>248000</v>
      </c>
      <c r="F258" s="1322">
        <f t="shared" si="74"/>
        <v>1000</v>
      </c>
      <c r="G258" s="1316" t="s">
        <v>1141</v>
      </c>
      <c r="H258" s="1325">
        <v>219101.54</v>
      </c>
      <c r="I258" s="1308">
        <v>0</v>
      </c>
      <c r="J258" s="1658">
        <f t="shared" si="65"/>
        <v>0.87992586345381529</v>
      </c>
      <c r="K258" s="1308">
        <v>27924.7</v>
      </c>
      <c r="L258" s="1308">
        <v>0</v>
      </c>
      <c r="M258" s="1307"/>
    </row>
    <row r="259" spans="1:13" x14ac:dyDescent="0.2">
      <c r="A259" s="1302"/>
      <c r="B259" s="1302"/>
      <c r="C259" s="1303" t="s">
        <v>912</v>
      </c>
      <c r="D259" s="1313" t="s">
        <v>78</v>
      </c>
      <c r="E259" s="1318">
        <v>36850</v>
      </c>
      <c r="F259" s="1322">
        <f t="shared" si="74"/>
        <v>-2500</v>
      </c>
      <c r="G259" s="1316" t="s">
        <v>1142</v>
      </c>
      <c r="H259" s="1325">
        <v>33336</v>
      </c>
      <c r="I259" s="1308">
        <v>0</v>
      </c>
      <c r="J259" s="1658">
        <f t="shared" si="65"/>
        <v>0.97048034934497818</v>
      </c>
      <c r="K259" s="1308">
        <v>0</v>
      </c>
      <c r="L259" s="1308">
        <v>0</v>
      </c>
      <c r="M259" s="1307"/>
    </row>
    <row r="260" spans="1:13" x14ac:dyDescent="0.2">
      <c r="A260" s="1302"/>
      <c r="B260" s="1302"/>
      <c r="C260" s="1303" t="s">
        <v>992</v>
      </c>
      <c r="D260" s="1313" t="s">
        <v>42</v>
      </c>
      <c r="E260" s="1318">
        <v>6500</v>
      </c>
      <c r="F260" s="1322">
        <f t="shared" si="74"/>
        <v>1200</v>
      </c>
      <c r="G260" s="1316" t="s">
        <v>1143</v>
      </c>
      <c r="H260" s="1325">
        <v>6567</v>
      </c>
      <c r="I260" s="1308">
        <v>0</v>
      </c>
      <c r="J260" s="1658">
        <f t="shared" si="65"/>
        <v>0.85285714285714287</v>
      </c>
      <c r="K260" s="1308">
        <v>0</v>
      </c>
      <c r="L260" s="1308">
        <v>0</v>
      </c>
      <c r="M260" s="1307"/>
    </row>
    <row r="261" spans="1:13" x14ac:dyDescent="0.2">
      <c r="A261" s="1302"/>
      <c r="B261" s="1302"/>
      <c r="C261" s="1303" t="s">
        <v>404</v>
      </c>
      <c r="D261" s="1313" t="s">
        <v>18</v>
      </c>
      <c r="E261" s="1318">
        <v>79000</v>
      </c>
      <c r="F261" s="1322">
        <f t="shared" si="74"/>
        <v>0</v>
      </c>
      <c r="G261" s="1316" t="s">
        <v>761</v>
      </c>
      <c r="H261" s="1325">
        <v>76190.25</v>
      </c>
      <c r="I261" s="1308">
        <v>0</v>
      </c>
      <c r="J261" s="1658">
        <f t="shared" si="65"/>
        <v>0.96443354430379746</v>
      </c>
      <c r="K261" s="1308">
        <v>3505.95</v>
      </c>
      <c r="L261" s="1308">
        <v>0</v>
      </c>
      <c r="M261" s="1307"/>
    </row>
    <row r="262" spans="1:13" ht="33.75" x14ac:dyDescent="0.2">
      <c r="A262" s="1302"/>
      <c r="B262" s="1302"/>
      <c r="C262" s="1303" t="s">
        <v>1108</v>
      </c>
      <c r="D262" s="1313" t="s">
        <v>1109</v>
      </c>
      <c r="E262" s="1318">
        <v>48000</v>
      </c>
      <c r="F262" s="1322">
        <f t="shared" si="74"/>
        <v>11500</v>
      </c>
      <c r="G262" s="1316" t="s">
        <v>1144</v>
      </c>
      <c r="H262" s="1325">
        <v>54997.02</v>
      </c>
      <c r="I262" s="1308">
        <v>0</v>
      </c>
      <c r="J262" s="1658">
        <f t="shared" si="65"/>
        <v>0.9243196638655462</v>
      </c>
      <c r="K262" s="1308">
        <v>0</v>
      </c>
      <c r="L262" s="1308">
        <v>0</v>
      </c>
      <c r="M262" s="1307"/>
    </row>
    <row r="263" spans="1:13" ht="22.5" x14ac:dyDescent="0.2">
      <c r="A263" s="1302"/>
      <c r="B263" s="1302"/>
      <c r="C263" s="1303" t="s">
        <v>468</v>
      </c>
      <c r="D263" s="1313" t="s">
        <v>919</v>
      </c>
      <c r="E263" s="1318">
        <v>6500</v>
      </c>
      <c r="F263" s="1322">
        <f t="shared" si="74"/>
        <v>-400</v>
      </c>
      <c r="G263" s="1316" t="s">
        <v>1145</v>
      </c>
      <c r="H263" s="1325">
        <v>4421.75</v>
      </c>
      <c r="I263" s="1308">
        <v>0</v>
      </c>
      <c r="J263" s="1658">
        <f t="shared" si="65"/>
        <v>0.72487704918032791</v>
      </c>
      <c r="K263" s="1308">
        <v>0</v>
      </c>
      <c r="L263" s="1308">
        <v>0</v>
      </c>
      <c r="M263" s="1307"/>
    </row>
    <row r="264" spans="1:13" x14ac:dyDescent="0.2">
      <c r="A264" s="1302"/>
      <c r="B264" s="1302"/>
      <c r="C264" s="1303" t="s">
        <v>1000</v>
      </c>
      <c r="D264" s="1313" t="s">
        <v>24</v>
      </c>
      <c r="E264" s="1318">
        <v>3500</v>
      </c>
      <c r="F264" s="1322">
        <f t="shared" si="74"/>
        <v>-500</v>
      </c>
      <c r="G264" s="1316" t="s">
        <v>1028</v>
      </c>
      <c r="H264" s="1325">
        <v>1970.36</v>
      </c>
      <c r="I264" s="1308">
        <v>0</v>
      </c>
      <c r="J264" s="1658">
        <f t="shared" si="65"/>
        <v>0.65678666666666663</v>
      </c>
      <c r="K264" s="1308">
        <v>0</v>
      </c>
      <c r="L264" s="1308">
        <v>0</v>
      </c>
      <c r="M264" s="1307"/>
    </row>
    <row r="265" spans="1:13" x14ac:dyDescent="0.2">
      <c r="A265" s="1302"/>
      <c r="B265" s="1302"/>
      <c r="C265" s="1303" t="s">
        <v>897</v>
      </c>
      <c r="D265" s="1313" t="s">
        <v>19</v>
      </c>
      <c r="E265" s="1318">
        <v>2410</v>
      </c>
      <c r="F265" s="1322">
        <f t="shared" si="74"/>
        <v>0</v>
      </c>
      <c r="G265" s="1316" t="s">
        <v>1146</v>
      </c>
      <c r="H265" s="1325">
        <v>2209.25</v>
      </c>
      <c r="I265" s="1308">
        <v>0</v>
      </c>
      <c r="J265" s="1658">
        <f t="shared" si="65"/>
        <v>0.91670124481327797</v>
      </c>
      <c r="K265" s="1308">
        <v>0</v>
      </c>
      <c r="L265" s="1308">
        <v>0</v>
      </c>
      <c r="M265" s="1307"/>
    </row>
    <row r="266" spans="1:13" ht="22.5" x14ac:dyDescent="0.2">
      <c r="A266" s="1302"/>
      <c r="B266" s="1302"/>
      <c r="C266" s="1303" t="s">
        <v>1003</v>
      </c>
      <c r="D266" s="1313" t="s">
        <v>44</v>
      </c>
      <c r="E266" s="1318">
        <v>127286</v>
      </c>
      <c r="F266" s="1322">
        <f t="shared" si="74"/>
        <v>10287</v>
      </c>
      <c r="G266" s="1316" t="s">
        <v>1147</v>
      </c>
      <c r="H266" s="1325">
        <v>137573</v>
      </c>
      <c r="I266" s="1308">
        <v>0</v>
      </c>
      <c r="J266" s="1658">
        <f t="shared" si="65"/>
        <v>1</v>
      </c>
      <c r="K266" s="1308">
        <v>0</v>
      </c>
      <c r="L266" s="1308">
        <v>0</v>
      </c>
      <c r="M266" s="1307"/>
    </row>
    <row r="267" spans="1:13" x14ac:dyDescent="0.2">
      <c r="A267" s="1302"/>
      <c r="B267" s="1302"/>
      <c r="C267" s="1303" t="s">
        <v>1114</v>
      </c>
      <c r="D267" s="1313" t="s">
        <v>1115</v>
      </c>
      <c r="E267" s="1318">
        <v>400</v>
      </c>
      <c r="F267" s="1322">
        <f t="shared" si="74"/>
        <v>-77</v>
      </c>
      <c r="G267" s="1316" t="s">
        <v>1148</v>
      </c>
      <c r="H267" s="1325">
        <v>323</v>
      </c>
      <c r="I267" s="1308">
        <v>0</v>
      </c>
      <c r="J267" s="1658">
        <f t="shared" ref="J267:J329" si="75">H267/G267</f>
        <v>1</v>
      </c>
      <c r="K267" s="1308">
        <v>0</v>
      </c>
      <c r="L267" s="1308">
        <v>0</v>
      </c>
      <c r="M267" s="1307"/>
    </row>
    <row r="268" spans="1:13" ht="22.5" x14ac:dyDescent="0.2">
      <c r="A268" s="1302"/>
      <c r="B268" s="1302"/>
      <c r="C268" s="1303" t="s">
        <v>966</v>
      </c>
      <c r="D268" s="1313" t="s">
        <v>967</v>
      </c>
      <c r="E268" s="1318">
        <v>500</v>
      </c>
      <c r="F268" s="1322">
        <f t="shared" si="74"/>
        <v>-500</v>
      </c>
      <c r="G268" s="1316" t="s">
        <v>636</v>
      </c>
      <c r="H268" s="1325">
        <v>0</v>
      </c>
      <c r="I268" s="1308">
        <v>0</v>
      </c>
      <c r="J268" s="1658">
        <v>0</v>
      </c>
      <c r="K268" s="1308">
        <v>0</v>
      </c>
      <c r="L268" s="1308">
        <v>0</v>
      </c>
      <c r="M268" s="1307"/>
    </row>
    <row r="269" spans="1:13" ht="15" x14ac:dyDescent="0.2">
      <c r="A269" s="1299"/>
      <c r="B269" s="1305" t="s">
        <v>1149</v>
      </c>
      <c r="C269" s="1300"/>
      <c r="D269" s="1312" t="s">
        <v>306</v>
      </c>
      <c r="E269" s="1317">
        <f>E270+E271+E272+E273+E274+E275+E276+E277+E278+E279+E280+E281+E282+E283+E284+E285+E286+E287</f>
        <v>3340106</v>
      </c>
      <c r="F269" s="1321">
        <f t="shared" ref="F269:L269" si="76">F270+F271+F272+F273+F274+F275+F276+F277+F278+F279+F280+F281+F282+F283+F284+F285+F286+F287</f>
        <v>-222874.52000000002</v>
      </c>
      <c r="G269" s="1314">
        <f t="shared" si="76"/>
        <v>3117231.48</v>
      </c>
      <c r="H269" s="1317">
        <f t="shared" si="76"/>
        <v>3106439.05</v>
      </c>
      <c r="I269" s="1321">
        <f t="shared" si="76"/>
        <v>0</v>
      </c>
      <c r="J269" s="1326">
        <f t="shared" si="75"/>
        <v>0.99653781566455879</v>
      </c>
      <c r="K269" s="1321">
        <f t="shared" si="76"/>
        <v>109313.57</v>
      </c>
      <c r="L269" s="1916">
        <f t="shared" si="76"/>
        <v>0</v>
      </c>
      <c r="M269" s="1307"/>
    </row>
    <row r="270" spans="1:13" ht="45" x14ac:dyDescent="0.2">
      <c r="A270" s="1302"/>
      <c r="B270" s="1302"/>
      <c r="C270" s="1303" t="s">
        <v>1150</v>
      </c>
      <c r="D270" s="1313" t="s">
        <v>1151</v>
      </c>
      <c r="E270" s="1318">
        <v>900000</v>
      </c>
      <c r="F270" s="1322">
        <f>G270-E270</f>
        <v>72500</v>
      </c>
      <c r="G270" s="1316" t="s">
        <v>1152</v>
      </c>
      <c r="H270" s="1325">
        <v>972500</v>
      </c>
      <c r="I270" s="1308">
        <v>0</v>
      </c>
      <c r="J270" s="1658">
        <f t="shared" si="75"/>
        <v>1</v>
      </c>
      <c r="K270" s="1308">
        <v>0</v>
      </c>
      <c r="L270" s="1308">
        <v>0</v>
      </c>
      <c r="M270" s="1307"/>
    </row>
    <row r="271" spans="1:13" ht="22.5" x14ac:dyDescent="0.2">
      <c r="A271" s="1302"/>
      <c r="B271" s="1302"/>
      <c r="C271" s="1303" t="s">
        <v>1131</v>
      </c>
      <c r="D271" s="1313" t="s">
        <v>321</v>
      </c>
      <c r="E271" s="1318">
        <v>436080</v>
      </c>
      <c r="F271" s="1322">
        <f t="shared" ref="F271:F287" si="77">G271-E271</f>
        <v>-49215</v>
      </c>
      <c r="G271" s="1316" t="s">
        <v>1153</v>
      </c>
      <c r="H271" s="1325">
        <v>386710.66</v>
      </c>
      <c r="I271" s="1308">
        <v>0</v>
      </c>
      <c r="J271" s="1658">
        <f t="shared" si="75"/>
        <v>0.99960104946169848</v>
      </c>
      <c r="K271" s="1308">
        <v>0</v>
      </c>
      <c r="L271" s="1308">
        <v>0</v>
      </c>
      <c r="M271" s="1307"/>
    </row>
    <row r="272" spans="1:13" ht="22.5" x14ac:dyDescent="0.2">
      <c r="A272" s="1302"/>
      <c r="B272" s="1302"/>
      <c r="C272" s="1303" t="s">
        <v>956</v>
      </c>
      <c r="D272" s="1313" t="s">
        <v>957</v>
      </c>
      <c r="E272" s="1318">
        <v>46087</v>
      </c>
      <c r="F272" s="1322">
        <f t="shared" si="77"/>
        <v>-18000</v>
      </c>
      <c r="G272" s="1316" t="s">
        <v>1154</v>
      </c>
      <c r="H272" s="1325">
        <v>27932.84</v>
      </c>
      <c r="I272" s="1308">
        <v>0</v>
      </c>
      <c r="J272" s="1658">
        <f t="shared" si="75"/>
        <v>0.99451133976572792</v>
      </c>
      <c r="K272" s="1308">
        <v>99.65</v>
      </c>
      <c r="L272" s="1308">
        <v>0</v>
      </c>
      <c r="M272" s="1307"/>
    </row>
    <row r="273" spans="1:13" ht="22.5" x14ac:dyDescent="0.2">
      <c r="A273" s="1302"/>
      <c r="B273" s="1302"/>
      <c r="C273" s="1303" t="s">
        <v>890</v>
      </c>
      <c r="D273" s="1313" t="s">
        <v>13</v>
      </c>
      <c r="E273" s="1318">
        <v>1199700</v>
      </c>
      <c r="F273" s="1322">
        <f t="shared" si="77"/>
        <v>-182188</v>
      </c>
      <c r="G273" s="1316" t="s">
        <v>1155</v>
      </c>
      <c r="H273" s="1325">
        <v>1017512</v>
      </c>
      <c r="I273" s="1308">
        <v>0</v>
      </c>
      <c r="J273" s="1658">
        <f t="shared" si="75"/>
        <v>1</v>
      </c>
      <c r="K273" s="1308">
        <v>5971.09</v>
      </c>
      <c r="L273" s="1308">
        <v>0</v>
      </c>
      <c r="M273" s="1307"/>
    </row>
    <row r="274" spans="1:13" x14ac:dyDescent="0.2">
      <c r="A274" s="1302"/>
      <c r="B274" s="1302"/>
      <c r="C274" s="1303" t="s">
        <v>959</v>
      </c>
      <c r="D274" s="1313" t="s">
        <v>960</v>
      </c>
      <c r="E274" s="1318">
        <v>125654</v>
      </c>
      <c r="F274" s="1322">
        <f t="shared" si="77"/>
        <v>543.47999999999593</v>
      </c>
      <c r="G274" s="1316" t="s">
        <v>1156</v>
      </c>
      <c r="H274" s="1325">
        <v>126197.48</v>
      </c>
      <c r="I274" s="1308">
        <v>0</v>
      </c>
      <c r="J274" s="1658">
        <f t="shared" si="75"/>
        <v>1</v>
      </c>
      <c r="K274" s="1308">
        <v>65699.679999999993</v>
      </c>
      <c r="L274" s="1308">
        <v>0</v>
      </c>
      <c r="M274" s="1307"/>
    </row>
    <row r="275" spans="1:13" x14ac:dyDescent="0.2">
      <c r="A275" s="1302"/>
      <c r="B275" s="1302"/>
      <c r="C275" s="1303" t="s">
        <v>447</v>
      </c>
      <c r="D275" s="1313" t="s">
        <v>14</v>
      </c>
      <c r="E275" s="1318">
        <v>225465</v>
      </c>
      <c r="F275" s="1322">
        <f t="shared" si="77"/>
        <v>-29449</v>
      </c>
      <c r="G275" s="1316" t="s">
        <v>1157</v>
      </c>
      <c r="H275" s="1325">
        <v>196016</v>
      </c>
      <c r="I275" s="1308">
        <v>0</v>
      </c>
      <c r="J275" s="1658">
        <f t="shared" si="75"/>
        <v>1</v>
      </c>
      <c r="K275" s="1308">
        <v>17290.89</v>
      </c>
      <c r="L275" s="1308">
        <v>0</v>
      </c>
      <c r="M275" s="1307"/>
    </row>
    <row r="276" spans="1:13" x14ac:dyDescent="0.2">
      <c r="A276" s="1302"/>
      <c r="B276" s="1302"/>
      <c r="C276" s="1303" t="s">
        <v>450</v>
      </c>
      <c r="D276" s="1313" t="s">
        <v>15</v>
      </c>
      <c r="E276" s="1318">
        <v>32164</v>
      </c>
      <c r="F276" s="1322">
        <f t="shared" si="77"/>
        <v>-8728</v>
      </c>
      <c r="G276" s="1316" t="s">
        <v>1158</v>
      </c>
      <c r="H276" s="1325">
        <v>23436</v>
      </c>
      <c r="I276" s="1308">
        <v>0</v>
      </c>
      <c r="J276" s="1658">
        <f t="shared" si="75"/>
        <v>1</v>
      </c>
      <c r="K276" s="1308">
        <v>2069.46</v>
      </c>
      <c r="L276" s="1308">
        <v>0</v>
      </c>
      <c r="M276" s="1307"/>
    </row>
    <row r="277" spans="1:13" x14ac:dyDescent="0.2">
      <c r="A277" s="1302"/>
      <c r="B277" s="1302"/>
      <c r="C277" s="1303" t="s">
        <v>442</v>
      </c>
      <c r="D277" s="1313" t="s">
        <v>31</v>
      </c>
      <c r="E277" s="1318">
        <v>3000</v>
      </c>
      <c r="F277" s="1322">
        <f t="shared" si="77"/>
        <v>0</v>
      </c>
      <c r="G277" s="1316" t="s">
        <v>1028</v>
      </c>
      <c r="H277" s="1325">
        <v>2820</v>
      </c>
      <c r="I277" s="1308">
        <v>0</v>
      </c>
      <c r="J277" s="1658">
        <f t="shared" si="75"/>
        <v>0.94</v>
      </c>
      <c r="K277" s="1308">
        <v>0</v>
      </c>
      <c r="L277" s="1308">
        <v>0</v>
      </c>
      <c r="M277" s="1307"/>
    </row>
    <row r="278" spans="1:13" x14ac:dyDescent="0.2">
      <c r="A278" s="1302"/>
      <c r="B278" s="1302"/>
      <c r="C278" s="1303" t="s">
        <v>391</v>
      </c>
      <c r="D278" s="1313" t="s">
        <v>17</v>
      </c>
      <c r="E278" s="1318">
        <v>50000</v>
      </c>
      <c r="F278" s="1322">
        <f t="shared" si="77"/>
        <v>0</v>
      </c>
      <c r="G278" s="1316" t="s">
        <v>639</v>
      </c>
      <c r="H278" s="1325">
        <v>49394.53</v>
      </c>
      <c r="I278" s="1308">
        <v>0</v>
      </c>
      <c r="J278" s="1658">
        <f t="shared" si="75"/>
        <v>0.98789059999999995</v>
      </c>
      <c r="K278" s="1308">
        <v>0</v>
      </c>
      <c r="L278" s="1308">
        <v>0</v>
      </c>
      <c r="M278" s="1307"/>
    </row>
    <row r="279" spans="1:13" ht="22.5" x14ac:dyDescent="0.2">
      <c r="A279" s="1302"/>
      <c r="B279" s="1302"/>
      <c r="C279" s="1303" t="s">
        <v>1102</v>
      </c>
      <c r="D279" s="1313" t="s">
        <v>36</v>
      </c>
      <c r="E279" s="1318">
        <v>6000</v>
      </c>
      <c r="F279" s="1322">
        <f t="shared" si="77"/>
        <v>0</v>
      </c>
      <c r="G279" s="1316" t="s">
        <v>716</v>
      </c>
      <c r="H279" s="1325">
        <v>5803.48</v>
      </c>
      <c r="I279" s="1308">
        <v>0</v>
      </c>
      <c r="J279" s="1658">
        <f t="shared" si="75"/>
        <v>0.96724666666666659</v>
      </c>
      <c r="K279" s="1308">
        <v>0</v>
      </c>
      <c r="L279" s="1308">
        <v>0</v>
      </c>
      <c r="M279" s="1307"/>
    </row>
    <row r="280" spans="1:13" x14ac:dyDescent="0.2">
      <c r="A280" s="1302"/>
      <c r="B280" s="1302"/>
      <c r="C280" s="1303" t="s">
        <v>902</v>
      </c>
      <c r="D280" s="1313" t="s">
        <v>41</v>
      </c>
      <c r="E280" s="1318">
        <v>132800</v>
      </c>
      <c r="F280" s="1322">
        <f t="shared" si="77"/>
        <v>-13008</v>
      </c>
      <c r="G280" s="1316" t="s">
        <v>1159</v>
      </c>
      <c r="H280" s="1325">
        <v>118479.73</v>
      </c>
      <c r="I280" s="1308">
        <v>0</v>
      </c>
      <c r="J280" s="1658">
        <f t="shared" si="75"/>
        <v>0.98904542874315482</v>
      </c>
      <c r="K280" s="1308">
        <v>17917.47</v>
      </c>
      <c r="L280" s="1308">
        <v>0</v>
      </c>
      <c r="M280" s="1307"/>
    </row>
    <row r="281" spans="1:13" x14ac:dyDescent="0.2">
      <c r="A281" s="1302"/>
      <c r="B281" s="1302"/>
      <c r="C281" s="1303" t="s">
        <v>912</v>
      </c>
      <c r="D281" s="1313" t="s">
        <v>78</v>
      </c>
      <c r="E281" s="1318">
        <v>65900</v>
      </c>
      <c r="F281" s="1322">
        <f t="shared" si="77"/>
        <v>5100</v>
      </c>
      <c r="G281" s="1316" t="s">
        <v>1160</v>
      </c>
      <c r="H281" s="1325">
        <v>70381.3</v>
      </c>
      <c r="I281" s="1308">
        <v>0</v>
      </c>
      <c r="J281" s="1658">
        <f t="shared" si="75"/>
        <v>0.99128591549295775</v>
      </c>
      <c r="K281" s="1308">
        <v>0</v>
      </c>
      <c r="L281" s="1308">
        <v>0</v>
      </c>
      <c r="M281" s="1307"/>
    </row>
    <row r="282" spans="1:13" x14ac:dyDescent="0.2">
      <c r="A282" s="1302"/>
      <c r="B282" s="1302"/>
      <c r="C282" s="1303" t="s">
        <v>992</v>
      </c>
      <c r="D282" s="1313" t="s">
        <v>42</v>
      </c>
      <c r="E282" s="1318">
        <v>2500</v>
      </c>
      <c r="F282" s="1322">
        <f t="shared" si="77"/>
        <v>-1430</v>
      </c>
      <c r="G282" s="1316" t="s">
        <v>1161</v>
      </c>
      <c r="H282" s="1325">
        <v>180</v>
      </c>
      <c r="I282" s="1308">
        <v>0</v>
      </c>
      <c r="J282" s="1658">
        <f t="shared" si="75"/>
        <v>0.16822429906542055</v>
      </c>
      <c r="K282" s="1308">
        <v>0</v>
      </c>
      <c r="L282" s="1308">
        <v>0</v>
      </c>
      <c r="M282" s="1307"/>
    </row>
    <row r="283" spans="1:13" x14ac:dyDescent="0.2">
      <c r="A283" s="1302"/>
      <c r="B283" s="1302"/>
      <c r="C283" s="1303" t="s">
        <v>404</v>
      </c>
      <c r="D283" s="1313" t="s">
        <v>18</v>
      </c>
      <c r="E283" s="1318">
        <v>48000</v>
      </c>
      <c r="F283" s="1322">
        <f t="shared" si="77"/>
        <v>1000</v>
      </c>
      <c r="G283" s="1316" t="s">
        <v>1162</v>
      </c>
      <c r="H283" s="1325">
        <v>44276.160000000003</v>
      </c>
      <c r="I283" s="1308">
        <v>0</v>
      </c>
      <c r="J283" s="1658">
        <f t="shared" si="75"/>
        <v>0.90359510204081639</v>
      </c>
      <c r="K283" s="1308">
        <v>93.75</v>
      </c>
      <c r="L283" s="1308">
        <v>0</v>
      </c>
      <c r="M283" s="1307"/>
    </row>
    <row r="284" spans="1:13" ht="22.5" x14ac:dyDescent="0.2">
      <c r="A284" s="1302"/>
      <c r="B284" s="1302"/>
      <c r="C284" s="1303" t="s">
        <v>468</v>
      </c>
      <c r="D284" s="1313" t="s">
        <v>919</v>
      </c>
      <c r="E284" s="1318">
        <v>6500</v>
      </c>
      <c r="F284" s="1322">
        <f t="shared" si="77"/>
        <v>0</v>
      </c>
      <c r="G284" s="1316" t="s">
        <v>1060</v>
      </c>
      <c r="H284" s="1325">
        <v>6020.38</v>
      </c>
      <c r="I284" s="1308">
        <v>0</v>
      </c>
      <c r="J284" s="1658">
        <f t="shared" si="75"/>
        <v>0.92621230769230767</v>
      </c>
      <c r="K284" s="1308">
        <v>171.58</v>
      </c>
      <c r="L284" s="1308">
        <v>0</v>
      </c>
      <c r="M284" s="1307"/>
    </row>
    <row r="285" spans="1:13" x14ac:dyDescent="0.2">
      <c r="A285" s="1302"/>
      <c r="B285" s="1302"/>
      <c r="C285" s="1303" t="s">
        <v>1000</v>
      </c>
      <c r="D285" s="1313" t="s">
        <v>24</v>
      </c>
      <c r="E285" s="1318">
        <v>2500</v>
      </c>
      <c r="F285" s="1322">
        <f t="shared" si="77"/>
        <v>0</v>
      </c>
      <c r="G285" s="1316" t="s">
        <v>1077</v>
      </c>
      <c r="H285" s="1325">
        <v>1189.49</v>
      </c>
      <c r="I285" s="1308">
        <v>0</v>
      </c>
      <c r="J285" s="1658">
        <f t="shared" si="75"/>
        <v>0.475796</v>
      </c>
      <c r="K285" s="1308">
        <v>0</v>
      </c>
      <c r="L285" s="1308">
        <v>0</v>
      </c>
      <c r="M285" s="1307"/>
    </row>
    <row r="286" spans="1:13" x14ac:dyDescent="0.2">
      <c r="A286" s="1302"/>
      <c r="B286" s="1302"/>
      <c r="C286" s="1303" t="s">
        <v>897</v>
      </c>
      <c r="D286" s="1313" t="s">
        <v>19</v>
      </c>
      <c r="E286" s="1318">
        <v>1200</v>
      </c>
      <c r="F286" s="1322">
        <f t="shared" si="77"/>
        <v>0</v>
      </c>
      <c r="G286" s="1316" t="s">
        <v>1163</v>
      </c>
      <c r="H286" s="1325">
        <v>1033</v>
      </c>
      <c r="I286" s="1308">
        <v>0</v>
      </c>
      <c r="J286" s="1658">
        <f t="shared" si="75"/>
        <v>0.86083333333333334</v>
      </c>
      <c r="K286" s="1308">
        <v>0</v>
      </c>
      <c r="L286" s="1308">
        <v>0</v>
      </c>
      <c r="M286" s="1307"/>
    </row>
    <row r="287" spans="1:13" ht="22.5" x14ac:dyDescent="0.2">
      <c r="A287" s="1302"/>
      <c r="B287" s="1302"/>
      <c r="C287" s="1303" t="s">
        <v>1003</v>
      </c>
      <c r="D287" s="1313" t="s">
        <v>44</v>
      </c>
      <c r="E287" s="1318">
        <v>56556</v>
      </c>
      <c r="F287" s="1322">
        <f t="shared" si="77"/>
        <v>0</v>
      </c>
      <c r="G287" s="1316" t="s">
        <v>1164</v>
      </c>
      <c r="H287" s="1325">
        <v>56556</v>
      </c>
      <c r="I287" s="1308">
        <v>0</v>
      </c>
      <c r="J287" s="1658">
        <f t="shared" si="75"/>
        <v>1</v>
      </c>
      <c r="K287" s="1308">
        <v>0</v>
      </c>
      <c r="L287" s="1308">
        <v>0</v>
      </c>
      <c r="M287" s="1307"/>
    </row>
    <row r="288" spans="1:13" ht="15" x14ac:dyDescent="0.2">
      <c r="A288" s="1299"/>
      <c r="B288" s="1305" t="s">
        <v>1165</v>
      </c>
      <c r="C288" s="1300"/>
      <c r="D288" s="1312" t="s">
        <v>1166</v>
      </c>
      <c r="E288" s="1317">
        <f>E289</f>
        <v>1002520</v>
      </c>
      <c r="F288" s="1321">
        <f t="shared" ref="F288:L288" si="78">F289</f>
        <v>-100735</v>
      </c>
      <c r="G288" s="1314" t="str">
        <f t="shared" si="78"/>
        <v>901 785,00</v>
      </c>
      <c r="H288" s="1317">
        <f t="shared" si="78"/>
        <v>901785</v>
      </c>
      <c r="I288" s="1321">
        <f t="shared" si="78"/>
        <v>0</v>
      </c>
      <c r="J288" s="1326">
        <f t="shared" si="75"/>
        <v>1</v>
      </c>
      <c r="K288" s="1321">
        <f t="shared" si="78"/>
        <v>50366.86</v>
      </c>
      <c r="L288" s="1916">
        <f t="shared" si="78"/>
        <v>0</v>
      </c>
      <c r="M288" s="1307"/>
    </row>
    <row r="289" spans="1:13" x14ac:dyDescent="0.2">
      <c r="A289" s="1302"/>
      <c r="B289" s="1302"/>
      <c r="C289" s="1303" t="s">
        <v>404</v>
      </c>
      <c r="D289" s="1313" t="s">
        <v>18</v>
      </c>
      <c r="E289" s="1318">
        <v>1002520</v>
      </c>
      <c r="F289" s="1322">
        <f>G289-E289</f>
        <v>-100735</v>
      </c>
      <c r="G289" s="1316" t="s">
        <v>1167</v>
      </c>
      <c r="H289" s="1325">
        <v>901785</v>
      </c>
      <c r="I289" s="1308">
        <v>0</v>
      </c>
      <c r="J289" s="1658">
        <f t="shared" si="75"/>
        <v>1</v>
      </c>
      <c r="K289" s="1308">
        <v>50366.86</v>
      </c>
      <c r="L289" s="1308">
        <v>0</v>
      </c>
      <c r="M289" s="1307"/>
    </row>
    <row r="290" spans="1:13" ht="22.5" x14ac:dyDescent="0.2">
      <c r="A290" s="1299"/>
      <c r="B290" s="1305" t="s">
        <v>1168</v>
      </c>
      <c r="C290" s="1300"/>
      <c r="D290" s="1312" t="s">
        <v>1169</v>
      </c>
      <c r="E290" s="1317">
        <f>E291+E292</f>
        <v>100839</v>
      </c>
      <c r="F290" s="1321">
        <f t="shared" ref="F290:L290" si="79">F291+F292</f>
        <v>-21607</v>
      </c>
      <c r="G290" s="1314">
        <f t="shared" si="79"/>
        <v>79232</v>
      </c>
      <c r="H290" s="1317">
        <f t="shared" si="79"/>
        <v>70033.33</v>
      </c>
      <c r="I290" s="1321">
        <f t="shared" si="79"/>
        <v>0</v>
      </c>
      <c r="J290" s="1326">
        <f t="shared" si="75"/>
        <v>0.88390208501615508</v>
      </c>
      <c r="K290" s="1321">
        <f t="shared" si="79"/>
        <v>0</v>
      </c>
      <c r="L290" s="1916">
        <f t="shared" si="79"/>
        <v>0</v>
      </c>
      <c r="M290" s="1307"/>
    </row>
    <row r="291" spans="1:13" x14ac:dyDescent="0.2">
      <c r="A291" s="1302"/>
      <c r="B291" s="1302"/>
      <c r="C291" s="1303" t="s">
        <v>404</v>
      </c>
      <c r="D291" s="1313" t="s">
        <v>18</v>
      </c>
      <c r="E291" s="1318">
        <v>22000</v>
      </c>
      <c r="F291" s="1322">
        <f>G291-E291</f>
        <v>-7768</v>
      </c>
      <c r="G291" s="1316" t="s">
        <v>1170</v>
      </c>
      <c r="H291" s="1325">
        <v>13910</v>
      </c>
      <c r="I291" s="1308">
        <v>0</v>
      </c>
      <c r="J291" s="1658">
        <f t="shared" si="75"/>
        <v>0.97737492973580664</v>
      </c>
      <c r="K291" s="1308">
        <v>0</v>
      </c>
      <c r="L291" s="1308">
        <v>0</v>
      </c>
      <c r="M291" s="1307"/>
    </row>
    <row r="292" spans="1:13" ht="22.5" x14ac:dyDescent="0.2">
      <c r="A292" s="1302"/>
      <c r="B292" s="1302"/>
      <c r="C292" s="1303" t="s">
        <v>966</v>
      </c>
      <c r="D292" s="1313" t="s">
        <v>967</v>
      </c>
      <c r="E292" s="1318">
        <v>78839</v>
      </c>
      <c r="F292" s="1322">
        <f>G292-E292</f>
        <v>-13839</v>
      </c>
      <c r="G292" s="1316" t="s">
        <v>999</v>
      </c>
      <c r="H292" s="1325">
        <v>56123.33</v>
      </c>
      <c r="I292" s="1308">
        <v>0</v>
      </c>
      <c r="J292" s="1658">
        <f t="shared" si="75"/>
        <v>0.86343584615384616</v>
      </c>
      <c r="K292" s="1308">
        <v>0</v>
      </c>
      <c r="L292" s="1308">
        <v>0</v>
      </c>
      <c r="M292" s="1307"/>
    </row>
    <row r="293" spans="1:13" ht="15" x14ac:dyDescent="0.2">
      <c r="A293" s="1299"/>
      <c r="B293" s="1305" t="s">
        <v>226</v>
      </c>
      <c r="C293" s="1300"/>
      <c r="D293" s="1312" t="s">
        <v>796</v>
      </c>
      <c r="E293" s="1317">
        <f>E294+E295+E296+E297+E298+E299+E300+E301+E302+E303+E304+E305+E306</f>
        <v>713616</v>
      </c>
      <c r="F293" s="1321">
        <f t="shared" ref="F293:L293" si="80">F294+F295+F296+F297+F298+F299+F300+F301+F302+F303+F304+F305+F306</f>
        <v>-59681.33</v>
      </c>
      <c r="G293" s="1314">
        <f t="shared" si="80"/>
        <v>653934.66999999993</v>
      </c>
      <c r="H293" s="1317">
        <f t="shared" si="80"/>
        <v>644301.61</v>
      </c>
      <c r="I293" s="1321">
        <f t="shared" si="80"/>
        <v>0</v>
      </c>
      <c r="J293" s="1326">
        <f t="shared" si="75"/>
        <v>0.98526907894331406</v>
      </c>
      <c r="K293" s="1321">
        <f t="shared" si="80"/>
        <v>29832.410000000003</v>
      </c>
      <c r="L293" s="1916">
        <f t="shared" si="80"/>
        <v>0</v>
      </c>
      <c r="M293" s="1307"/>
    </row>
    <row r="294" spans="1:13" ht="22.5" x14ac:dyDescent="0.2">
      <c r="A294" s="1302"/>
      <c r="B294" s="1302"/>
      <c r="C294" s="1303" t="s">
        <v>956</v>
      </c>
      <c r="D294" s="1313" t="s">
        <v>957</v>
      </c>
      <c r="E294" s="1318">
        <v>2000</v>
      </c>
      <c r="F294" s="1322">
        <f>G294-E294</f>
        <v>0</v>
      </c>
      <c r="G294" s="1316" t="s">
        <v>668</v>
      </c>
      <c r="H294" s="1325">
        <v>1097.4000000000001</v>
      </c>
      <c r="I294" s="1308">
        <v>0</v>
      </c>
      <c r="J294" s="1658">
        <f t="shared" si="75"/>
        <v>0.54870000000000008</v>
      </c>
      <c r="K294" s="1308">
        <v>0</v>
      </c>
      <c r="L294" s="1308">
        <v>0</v>
      </c>
      <c r="M294" s="1307"/>
    </row>
    <row r="295" spans="1:13" ht="22.5" x14ac:dyDescent="0.2">
      <c r="A295" s="1302"/>
      <c r="B295" s="1302"/>
      <c r="C295" s="1303" t="s">
        <v>890</v>
      </c>
      <c r="D295" s="1313" t="s">
        <v>13</v>
      </c>
      <c r="E295" s="1318">
        <v>273700</v>
      </c>
      <c r="F295" s="1322">
        <f t="shared" ref="F295:F306" si="81">G295-E295</f>
        <v>-2300</v>
      </c>
      <c r="G295" s="1316" t="s">
        <v>1171</v>
      </c>
      <c r="H295" s="1325">
        <v>271400</v>
      </c>
      <c r="I295" s="1308">
        <v>0</v>
      </c>
      <c r="J295" s="1658">
        <f t="shared" si="75"/>
        <v>1</v>
      </c>
      <c r="K295" s="1308">
        <v>4050.58</v>
      </c>
      <c r="L295" s="1308">
        <v>0</v>
      </c>
      <c r="M295" s="1307"/>
    </row>
    <row r="296" spans="1:13" x14ac:dyDescent="0.2">
      <c r="A296" s="1302"/>
      <c r="B296" s="1302"/>
      <c r="C296" s="1303" t="s">
        <v>959</v>
      </c>
      <c r="D296" s="1313" t="s">
        <v>960</v>
      </c>
      <c r="E296" s="1318">
        <v>20247</v>
      </c>
      <c r="F296" s="1322">
        <f t="shared" si="81"/>
        <v>-1201.3300000000017</v>
      </c>
      <c r="G296" s="1316" t="s">
        <v>1172</v>
      </c>
      <c r="H296" s="1325">
        <v>19045.669999999998</v>
      </c>
      <c r="I296" s="1308">
        <v>0</v>
      </c>
      <c r="J296" s="1658">
        <f t="shared" si="75"/>
        <v>1</v>
      </c>
      <c r="K296" s="1308">
        <v>19723</v>
      </c>
      <c r="L296" s="1308">
        <v>0</v>
      </c>
      <c r="M296" s="1307"/>
    </row>
    <row r="297" spans="1:13" x14ac:dyDescent="0.2">
      <c r="A297" s="1302"/>
      <c r="B297" s="1302"/>
      <c r="C297" s="1303" t="s">
        <v>447</v>
      </c>
      <c r="D297" s="1313" t="s">
        <v>14</v>
      </c>
      <c r="E297" s="1318">
        <v>47562</v>
      </c>
      <c r="F297" s="1322">
        <f t="shared" si="81"/>
        <v>-2000</v>
      </c>
      <c r="G297" s="1316" t="s">
        <v>1173</v>
      </c>
      <c r="H297" s="1325">
        <v>45562</v>
      </c>
      <c r="I297" s="1308">
        <v>0</v>
      </c>
      <c r="J297" s="1658">
        <f t="shared" si="75"/>
        <v>1</v>
      </c>
      <c r="K297" s="1308">
        <v>5442.09</v>
      </c>
      <c r="L297" s="1308">
        <v>0</v>
      </c>
      <c r="M297" s="1307"/>
    </row>
    <row r="298" spans="1:13" x14ac:dyDescent="0.2">
      <c r="A298" s="1302"/>
      <c r="B298" s="1302"/>
      <c r="C298" s="1303" t="s">
        <v>450</v>
      </c>
      <c r="D298" s="1313" t="s">
        <v>15</v>
      </c>
      <c r="E298" s="1318">
        <v>6762</v>
      </c>
      <c r="F298" s="1322">
        <f t="shared" si="81"/>
        <v>-2700</v>
      </c>
      <c r="G298" s="1316" t="s">
        <v>1174</v>
      </c>
      <c r="H298" s="1325">
        <v>4062</v>
      </c>
      <c r="I298" s="1308">
        <v>0</v>
      </c>
      <c r="J298" s="1658">
        <f t="shared" si="75"/>
        <v>1</v>
      </c>
      <c r="K298" s="1308">
        <v>616.74</v>
      </c>
      <c r="L298" s="1308">
        <v>0</v>
      </c>
      <c r="M298" s="1307"/>
    </row>
    <row r="299" spans="1:13" x14ac:dyDescent="0.2">
      <c r="A299" s="1302"/>
      <c r="B299" s="1302"/>
      <c r="C299" s="1303" t="s">
        <v>442</v>
      </c>
      <c r="D299" s="1313" t="s">
        <v>31</v>
      </c>
      <c r="E299" s="1318">
        <v>1000</v>
      </c>
      <c r="F299" s="1322">
        <f t="shared" si="81"/>
        <v>0</v>
      </c>
      <c r="G299" s="1316" t="s">
        <v>680</v>
      </c>
      <c r="H299" s="1325">
        <v>0</v>
      </c>
      <c r="I299" s="1308">
        <v>0</v>
      </c>
      <c r="J299" s="1658">
        <f t="shared" si="75"/>
        <v>0</v>
      </c>
      <c r="K299" s="1308">
        <v>0</v>
      </c>
      <c r="L299" s="1308">
        <v>0</v>
      </c>
      <c r="M299" s="1307"/>
    </row>
    <row r="300" spans="1:13" x14ac:dyDescent="0.2">
      <c r="A300" s="1302"/>
      <c r="B300" s="1302"/>
      <c r="C300" s="1303" t="s">
        <v>391</v>
      </c>
      <c r="D300" s="1313" t="s">
        <v>17</v>
      </c>
      <c r="E300" s="1318">
        <v>27100</v>
      </c>
      <c r="F300" s="1322">
        <f t="shared" si="81"/>
        <v>0</v>
      </c>
      <c r="G300" s="1316" t="s">
        <v>1175</v>
      </c>
      <c r="H300" s="1325">
        <v>27005.7</v>
      </c>
      <c r="I300" s="1308">
        <v>0</v>
      </c>
      <c r="J300" s="1658">
        <f t="shared" si="75"/>
        <v>0.99652029520295204</v>
      </c>
      <c r="K300" s="1308">
        <v>0</v>
      </c>
      <c r="L300" s="1308">
        <v>0</v>
      </c>
      <c r="M300" s="1307"/>
    </row>
    <row r="301" spans="1:13" x14ac:dyDescent="0.2">
      <c r="A301" s="1302"/>
      <c r="B301" s="1302"/>
      <c r="C301" s="1303" t="s">
        <v>1139</v>
      </c>
      <c r="D301" s="1313" t="s">
        <v>40</v>
      </c>
      <c r="E301" s="1318">
        <v>300000</v>
      </c>
      <c r="F301" s="1322">
        <f t="shared" si="81"/>
        <v>-42000</v>
      </c>
      <c r="G301" s="1316" t="s">
        <v>797</v>
      </c>
      <c r="H301" s="1325">
        <v>250726.11</v>
      </c>
      <c r="I301" s="1308">
        <v>0</v>
      </c>
      <c r="J301" s="1658">
        <f t="shared" si="75"/>
        <v>0.97180662790697669</v>
      </c>
      <c r="K301" s="1308">
        <v>0</v>
      </c>
      <c r="L301" s="1308">
        <v>0</v>
      </c>
      <c r="M301" s="1307"/>
    </row>
    <row r="302" spans="1:13" x14ac:dyDescent="0.2">
      <c r="A302" s="1302"/>
      <c r="B302" s="1302"/>
      <c r="C302" s="1303" t="s">
        <v>912</v>
      </c>
      <c r="D302" s="1313" t="s">
        <v>78</v>
      </c>
      <c r="E302" s="1318">
        <v>1500</v>
      </c>
      <c r="F302" s="1322">
        <f t="shared" si="81"/>
        <v>-1500</v>
      </c>
      <c r="G302" s="1316" t="s">
        <v>636</v>
      </c>
      <c r="H302" s="1325">
        <v>0</v>
      </c>
      <c r="I302" s="1308">
        <v>0</v>
      </c>
      <c r="J302" s="1658">
        <v>0</v>
      </c>
      <c r="K302" s="1308">
        <v>0</v>
      </c>
      <c r="L302" s="1308">
        <v>0</v>
      </c>
      <c r="M302" s="1307"/>
    </row>
    <row r="303" spans="1:13" x14ac:dyDescent="0.2">
      <c r="A303" s="1302"/>
      <c r="B303" s="1302"/>
      <c r="C303" s="1303" t="s">
        <v>992</v>
      </c>
      <c r="D303" s="1313" t="s">
        <v>42</v>
      </c>
      <c r="E303" s="1318">
        <v>7250</v>
      </c>
      <c r="F303" s="1322">
        <f t="shared" si="81"/>
        <v>-6980</v>
      </c>
      <c r="G303" s="1316" t="s">
        <v>1176</v>
      </c>
      <c r="H303" s="1325">
        <v>270</v>
      </c>
      <c r="I303" s="1308">
        <v>0</v>
      </c>
      <c r="J303" s="1658">
        <f t="shared" si="75"/>
        <v>1</v>
      </c>
      <c r="K303" s="1308">
        <v>0</v>
      </c>
      <c r="L303" s="1308">
        <v>0</v>
      </c>
      <c r="M303" s="1307"/>
    </row>
    <row r="304" spans="1:13" x14ac:dyDescent="0.2">
      <c r="A304" s="1302"/>
      <c r="B304" s="1302"/>
      <c r="C304" s="1303" t="s">
        <v>404</v>
      </c>
      <c r="D304" s="1313" t="s">
        <v>18</v>
      </c>
      <c r="E304" s="1318">
        <v>4500</v>
      </c>
      <c r="F304" s="1322">
        <f t="shared" si="81"/>
        <v>-1000</v>
      </c>
      <c r="G304" s="1316" t="s">
        <v>687</v>
      </c>
      <c r="H304" s="1325">
        <v>3434.28</v>
      </c>
      <c r="I304" s="1308">
        <v>0</v>
      </c>
      <c r="J304" s="1658">
        <f t="shared" si="75"/>
        <v>0.98122285714285717</v>
      </c>
      <c r="K304" s="1308">
        <v>0</v>
      </c>
      <c r="L304" s="1308">
        <v>0</v>
      </c>
      <c r="M304" s="1307"/>
    </row>
    <row r="305" spans="1:13" ht="22.5" x14ac:dyDescent="0.2">
      <c r="A305" s="1302"/>
      <c r="B305" s="1302"/>
      <c r="C305" s="1303" t="s">
        <v>1003</v>
      </c>
      <c r="D305" s="1313" t="s">
        <v>44</v>
      </c>
      <c r="E305" s="1318">
        <v>9995</v>
      </c>
      <c r="F305" s="1322">
        <f t="shared" si="81"/>
        <v>0</v>
      </c>
      <c r="G305" s="1316" t="s">
        <v>1177</v>
      </c>
      <c r="H305" s="1325">
        <v>9995</v>
      </c>
      <c r="I305" s="1308">
        <v>0</v>
      </c>
      <c r="J305" s="1658">
        <f t="shared" si="75"/>
        <v>1</v>
      </c>
      <c r="K305" s="1308">
        <v>0</v>
      </c>
      <c r="L305" s="1308">
        <v>0</v>
      </c>
      <c r="M305" s="1307"/>
    </row>
    <row r="306" spans="1:13" ht="22.5" x14ac:dyDescent="0.2">
      <c r="A306" s="1302"/>
      <c r="B306" s="1302"/>
      <c r="C306" s="1303" t="s">
        <v>179</v>
      </c>
      <c r="D306" s="1313" t="s">
        <v>75</v>
      </c>
      <c r="E306" s="1318">
        <v>12000</v>
      </c>
      <c r="F306" s="1322">
        <f t="shared" si="81"/>
        <v>0</v>
      </c>
      <c r="G306" s="1316" t="s">
        <v>882</v>
      </c>
      <c r="H306" s="1325">
        <v>11703.45</v>
      </c>
      <c r="I306" s="1308">
        <v>0</v>
      </c>
      <c r="J306" s="1658">
        <f t="shared" si="75"/>
        <v>0.97528750000000008</v>
      </c>
      <c r="K306" s="1308">
        <v>0</v>
      </c>
      <c r="L306" s="1308">
        <v>0</v>
      </c>
      <c r="M306" s="1307"/>
    </row>
    <row r="307" spans="1:13" ht="78.75" x14ac:dyDescent="0.2">
      <c r="A307" s="1299"/>
      <c r="B307" s="1305" t="s">
        <v>1178</v>
      </c>
      <c r="C307" s="1300"/>
      <c r="D307" s="1312" t="s">
        <v>1179</v>
      </c>
      <c r="E307" s="1317">
        <f>E308+E309+E310+E311+E312+E313+E314+E315+E316+E317+E318+E319</f>
        <v>305073</v>
      </c>
      <c r="F307" s="1321">
        <f t="shared" ref="F307:L307" si="82">F308+F309+F310+F311+F312+F313+F314+F315+F316+F317+F318+F319</f>
        <v>-43148.000000000015</v>
      </c>
      <c r="G307" s="1314">
        <f t="shared" si="82"/>
        <v>261925</v>
      </c>
      <c r="H307" s="1317">
        <f t="shared" si="82"/>
        <v>255002.66</v>
      </c>
      <c r="I307" s="1321">
        <f t="shared" si="82"/>
        <v>0</v>
      </c>
      <c r="J307" s="1326">
        <f t="shared" si="75"/>
        <v>0.97357128949126659</v>
      </c>
      <c r="K307" s="1321">
        <f t="shared" si="82"/>
        <v>12095.510000000002</v>
      </c>
      <c r="L307" s="1916">
        <f t="shared" si="82"/>
        <v>0</v>
      </c>
      <c r="M307" s="1307"/>
    </row>
    <row r="308" spans="1:13" ht="22.5" x14ac:dyDescent="0.2">
      <c r="A308" s="1302"/>
      <c r="B308" s="1302"/>
      <c r="C308" s="1303" t="s">
        <v>1131</v>
      </c>
      <c r="D308" s="1313" t="s">
        <v>321</v>
      </c>
      <c r="E308" s="1318">
        <v>48000</v>
      </c>
      <c r="F308" s="1322">
        <f>G308-E308</f>
        <v>-22463.68</v>
      </c>
      <c r="G308" s="1316" t="s">
        <v>1180</v>
      </c>
      <c r="H308" s="1325">
        <v>25536.32</v>
      </c>
      <c r="I308" s="1308">
        <v>0</v>
      </c>
      <c r="J308" s="1658">
        <f t="shared" si="75"/>
        <v>1</v>
      </c>
      <c r="K308" s="1308">
        <v>0</v>
      </c>
      <c r="L308" s="1308">
        <v>0</v>
      </c>
      <c r="M308" s="1307"/>
    </row>
    <row r="309" spans="1:13" ht="22.5" x14ac:dyDescent="0.2">
      <c r="A309" s="1302"/>
      <c r="B309" s="1302"/>
      <c r="C309" s="1303" t="s">
        <v>956</v>
      </c>
      <c r="D309" s="1313" t="s">
        <v>957</v>
      </c>
      <c r="E309" s="1318">
        <v>4483</v>
      </c>
      <c r="F309" s="1322">
        <f t="shared" ref="F309:F319" si="83">G309-E309</f>
        <v>1000</v>
      </c>
      <c r="G309" s="1316" t="s">
        <v>1181</v>
      </c>
      <c r="H309" s="1325">
        <v>5462.81</v>
      </c>
      <c r="I309" s="1308">
        <v>0</v>
      </c>
      <c r="J309" s="1658">
        <f t="shared" si="75"/>
        <v>0.99631770928323915</v>
      </c>
      <c r="K309" s="1308">
        <v>0</v>
      </c>
      <c r="L309" s="1308">
        <v>0</v>
      </c>
      <c r="M309" s="1307"/>
    </row>
    <row r="310" spans="1:13" ht="22.5" x14ac:dyDescent="0.2">
      <c r="A310" s="1302"/>
      <c r="B310" s="1302"/>
      <c r="C310" s="1303" t="s">
        <v>890</v>
      </c>
      <c r="D310" s="1313" t="s">
        <v>13</v>
      </c>
      <c r="E310" s="1318">
        <v>177800</v>
      </c>
      <c r="F310" s="1322">
        <f t="shared" si="83"/>
        <v>-13325.890000000014</v>
      </c>
      <c r="G310" s="1316" t="s">
        <v>1182</v>
      </c>
      <c r="H310" s="1325">
        <v>163496.49</v>
      </c>
      <c r="I310" s="1308">
        <v>0</v>
      </c>
      <c r="J310" s="1658">
        <f t="shared" si="75"/>
        <v>0.99405608578760518</v>
      </c>
      <c r="K310" s="1308">
        <v>870.28</v>
      </c>
      <c r="L310" s="1308">
        <v>0</v>
      </c>
      <c r="M310" s="1307"/>
    </row>
    <row r="311" spans="1:13" x14ac:dyDescent="0.2">
      <c r="A311" s="1302"/>
      <c r="B311" s="1302"/>
      <c r="C311" s="1303" t="s">
        <v>959</v>
      </c>
      <c r="D311" s="1313" t="s">
        <v>960</v>
      </c>
      <c r="E311" s="1318">
        <v>12610</v>
      </c>
      <c r="F311" s="1322">
        <f t="shared" si="83"/>
        <v>-1814.1100000000006</v>
      </c>
      <c r="G311" s="1316" t="s">
        <v>1183</v>
      </c>
      <c r="H311" s="1325">
        <v>10795.89</v>
      </c>
      <c r="I311" s="1308">
        <v>0</v>
      </c>
      <c r="J311" s="1658">
        <f t="shared" si="75"/>
        <v>1</v>
      </c>
      <c r="K311" s="1308">
        <v>9340</v>
      </c>
      <c r="L311" s="1308">
        <v>0</v>
      </c>
      <c r="M311" s="1307"/>
    </row>
    <row r="312" spans="1:13" x14ac:dyDescent="0.2">
      <c r="A312" s="1302"/>
      <c r="B312" s="1302"/>
      <c r="C312" s="1303" t="s">
        <v>447</v>
      </c>
      <c r="D312" s="1313" t="s">
        <v>14</v>
      </c>
      <c r="E312" s="1318">
        <v>33780</v>
      </c>
      <c r="F312" s="1322">
        <f t="shared" si="83"/>
        <v>-1930.369999999999</v>
      </c>
      <c r="G312" s="1316" t="s">
        <v>1184</v>
      </c>
      <c r="H312" s="1325">
        <v>30001.27</v>
      </c>
      <c r="I312" s="1308">
        <v>0</v>
      </c>
      <c r="J312" s="1658">
        <f t="shared" si="75"/>
        <v>0.94196604481747515</v>
      </c>
      <c r="K312" s="1308">
        <v>1613.96</v>
      </c>
      <c r="L312" s="1308">
        <v>0</v>
      </c>
      <c r="M312" s="1307"/>
    </row>
    <row r="313" spans="1:13" x14ac:dyDescent="0.2">
      <c r="A313" s="1302"/>
      <c r="B313" s="1302"/>
      <c r="C313" s="1303" t="s">
        <v>450</v>
      </c>
      <c r="D313" s="1313" t="s">
        <v>15</v>
      </c>
      <c r="E313" s="1318">
        <v>5009</v>
      </c>
      <c r="F313" s="1322">
        <f t="shared" si="83"/>
        <v>386.05000000000018</v>
      </c>
      <c r="G313" s="1316" t="s">
        <v>1185</v>
      </c>
      <c r="H313" s="1325">
        <v>3687.88</v>
      </c>
      <c r="I313" s="1308">
        <v>0</v>
      </c>
      <c r="J313" s="1658">
        <f t="shared" si="75"/>
        <v>0.68356734413953535</v>
      </c>
      <c r="K313" s="1308">
        <v>271.27</v>
      </c>
      <c r="L313" s="1308">
        <v>0</v>
      </c>
      <c r="M313" s="1307"/>
    </row>
    <row r="314" spans="1:13" x14ac:dyDescent="0.2">
      <c r="A314" s="1302"/>
      <c r="B314" s="1302"/>
      <c r="C314" s="1303" t="s">
        <v>391</v>
      </c>
      <c r="D314" s="1313" t="s">
        <v>17</v>
      </c>
      <c r="E314" s="1318">
        <v>8925</v>
      </c>
      <c r="F314" s="1322">
        <f t="shared" si="83"/>
        <v>-2000</v>
      </c>
      <c r="G314" s="1316" t="s">
        <v>1186</v>
      </c>
      <c r="H314" s="1325">
        <v>4630.33</v>
      </c>
      <c r="I314" s="1308">
        <v>0</v>
      </c>
      <c r="J314" s="1658">
        <f t="shared" si="75"/>
        <v>0.66863971119133569</v>
      </c>
      <c r="K314" s="1308">
        <v>0</v>
      </c>
      <c r="L314" s="1308">
        <v>0</v>
      </c>
      <c r="M314" s="1307"/>
    </row>
    <row r="315" spans="1:13" ht="22.5" x14ac:dyDescent="0.2">
      <c r="A315" s="1302"/>
      <c r="B315" s="1302"/>
      <c r="C315" s="1303" t="s">
        <v>1102</v>
      </c>
      <c r="D315" s="1313" t="s">
        <v>36</v>
      </c>
      <c r="E315" s="1318">
        <v>5000</v>
      </c>
      <c r="F315" s="1322">
        <f t="shared" si="83"/>
        <v>-2000</v>
      </c>
      <c r="G315" s="1316" t="s">
        <v>1028</v>
      </c>
      <c r="H315" s="1325">
        <v>2928.17</v>
      </c>
      <c r="I315" s="1308">
        <v>0</v>
      </c>
      <c r="J315" s="1658">
        <f t="shared" si="75"/>
        <v>0.97605666666666668</v>
      </c>
      <c r="K315" s="1308">
        <v>0</v>
      </c>
      <c r="L315" s="1308">
        <v>0</v>
      </c>
      <c r="M315" s="1307"/>
    </row>
    <row r="316" spans="1:13" x14ac:dyDescent="0.2">
      <c r="A316" s="1302"/>
      <c r="B316" s="1302"/>
      <c r="C316" s="1303" t="s">
        <v>902</v>
      </c>
      <c r="D316" s="1313" t="s">
        <v>41</v>
      </c>
      <c r="E316" s="1318">
        <v>1500</v>
      </c>
      <c r="F316" s="1322">
        <f t="shared" si="83"/>
        <v>-1500</v>
      </c>
      <c r="G316" s="1316" t="s">
        <v>636</v>
      </c>
      <c r="H316" s="1325">
        <v>0</v>
      </c>
      <c r="I316" s="1308">
        <v>0</v>
      </c>
      <c r="J316" s="1658">
        <v>0</v>
      </c>
      <c r="K316" s="1308">
        <v>0</v>
      </c>
      <c r="L316" s="1308">
        <v>0</v>
      </c>
      <c r="M316" s="1307"/>
    </row>
    <row r="317" spans="1:13" x14ac:dyDescent="0.2">
      <c r="A317" s="1302"/>
      <c r="B317" s="1302"/>
      <c r="C317" s="1303" t="s">
        <v>912</v>
      </c>
      <c r="D317" s="1313" t="s">
        <v>78</v>
      </c>
      <c r="E317" s="1318">
        <v>500</v>
      </c>
      <c r="F317" s="1322">
        <f t="shared" si="83"/>
        <v>5000</v>
      </c>
      <c r="G317" s="1316" t="s">
        <v>937</v>
      </c>
      <c r="H317" s="1325">
        <v>5497.5</v>
      </c>
      <c r="I317" s="1308">
        <v>0</v>
      </c>
      <c r="J317" s="1658">
        <f t="shared" si="75"/>
        <v>0.99954545454545451</v>
      </c>
      <c r="K317" s="1308">
        <v>0</v>
      </c>
      <c r="L317" s="1308">
        <v>0</v>
      </c>
      <c r="M317" s="1307"/>
    </row>
    <row r="318" spans="1:13" x14ac:dyDescent="0.2">
      <c r="A318" s="1302"/>
      <c r="B318" s="1302"/>
      <c r="C318" s="1303" t="s">
        <v>404</v>
      </c>
      <c r="D318" s="1313" t="s">
        <v>18</v>
      </c>
      <c r="E318" s="1318">
        <v>4500</v>
      </c>
      <c r="F318" s="1322">
        <f t="shared" si="83"/>
        <v>-4500</v>
      </c>
      <c r="G318" s="1316" t="s">
        <v>636</v>
      </c>
      <c r="H318" s="1325">
        <v>0</v>
      </c>
      <c r="I318" s="1308">
        <v>0</v>
      </c>
      <c r="J318" s="1658">
        <v>0</v>
      </c>
      <c r="K318" s="1308">
        <v>0</v>
      </c>
      <c r="L318" s="1308">
        <v>0</v>
      </c>
      <c r="M318" s="1307"/>
    </row>
    <row r="319" spans="1:13" ht="22.5" x14ac:dyDescent="0.2">
      <c r="A319" s="1302"/>
      <c r="B319" s="1302"/>
      <c r="C319" s="1303" t="s">
        <v>1003</v>
      </c>
      <c r="D319" s="1313" t="s">
        <v>44</v>
      </c>
      <c r="E319" s="1318">
        <v>2966</v>
      </c>
      <c r="F319" s="1322">
        <f t="shared" si="83"/>
        <v>0</v>
      </c>
      <c r="G319" s="1316" t="s">
        <v>1187</v>
      </c>
      <c r="H319" s="1325">
        <v>2966</v>
      </c>
      <c r="I319" s="1308">
        <v>0</v>
      </c>
      <c r="J319" s="1658">
        <f t="shared" si="75"/>
        <v>1</v>
      </c>
      <c r="K319" s="1308">
        <v>0</v>
      </c>
      <c r="L319" s="1308">
        <v>0</v>
      </c>
      <c r="M319" s="1307"/>
    </row>
    <row r="320" spans="1:13" ht="45" x14ac:dyDescent="0.2">
      <c r="A320" s="1299"/>
      <c r="B320" s="1305" t="s">
        <v>1188</v>
      </c>
      <c r="C320" s="1300"/>
      <c r="D320" s="1312" t="s">
        <v>1189</v>
      </c>
      <c r="E320" s="1317">
        <f>E321+E322+E323+E324+E325+E326+E327+E328+E329+E330+E331+E332</f>
        <v>449564</v>
      </c>
      <c r="F320" s="1321">
        <f t="shared" ref="F320:L320" si="84">F321+F322+F323+F324+F325+F326+F327+F328+F329+F330+F331+F332</f>
        <v>94054.340000000026</v>
      </c>
      <c r="G320" s="1314">
        <f t="shared" si="84"/>
        <v>543618.34000000008</v>
      </c>
      <c r="H320" s="1317">
        <f t="shared" si="84"/>
        <v>540633.73</v>
      </c>
      <c r="I320" s="1321">
        <f t="shared" si="84"/>
        <v>0</v>
      </c>
      <c r="J320" s="1326">
        <f t="shared" si="75"/>
        <v>0.99450973269224119</v>
      </c>
      <c r="K320" s="1321">
        <f t="shared" si="84"/>
        <v>14854.759999999998</v>
      </c>
      <c r="L320" s="1916">
        <f t="shared" si="84"/>
        <v>0</v>
      </c>
      <c r="M320" s="1307"/>
    </row>
    <row r="321" spans="1:13" ht="22.5" x14ac:dyDescent="0.2">
      <c r="A321" s="1302"/>
      <c r="B321" s="1302"/>
      <c r="C321" s="1303" t="s">
        <v>956</v>
      </c>
      <c r="D321" s="1313" t="s">
        <v>957</v>
      </c>
      <c r="E321" s="1318">
        <v>9365</v>
      </c>
      <c r="F321" s="1322">
        <f>G321-E321</f>
        <v>-5990</v>
      </c>
      <c r="G321" s="1316" t="s">
        <v>1190</v>
      </c>
      <c r="H321" s="1325">
        <v>2983.44</v>
      </c>
      <c r="I321" s="1308"/>
      <c r="J321" s="1658">
        <f t="shared" si="75"/>
        <v>0.88398222222222222</v>
      </c>
      <c r="K321" s="1308">
        <v>0</v>
      </c>
      <c r="L321" s="1308">
        <v>0</v>
      </c>
      <c r="M321" s="1307"/>
    </row>
    <row r="322" spans="1:13" ht="22.5" x14ac:dyDescent="0.2">
      <c r="A322" s="1302"/>
      <c r="B322" s="1302"/>
      <c r="C322" s="1303" t="s">
        <v>890</v>
      </c>
      <c r="D322" s="1313" t="s">
        <v>13</v>
      </c>
      <c r="E322" s="1318">
        <v>309800</v>
      </c>
      <c r="F322" s="1322">
        <f t="shared" ref="F322:F332" si="85">G322-E322</f>
        <v>80496.340000000026</v>
      </c>
      <c r="G322" s="1316" t="s">
        <v>1191</v>
      </c>
      <c r="H322" s="1325">
        <v>389251.95</v>
      </c>
      <c r="I322" s="1308"/>
      <c r="J322" s="1658">
        <f t="shared" si="75"/>
        <v>0.99732411018765887</v>
      </c>
      <c r="K322" s="1308">
        <v>7587.82</v>
      </c>
      <c r="L322" s="1308">
        <v>0</v>
      </c>
      <c r="M322" s="1307"/>
    </row>
    <row r="323" spans="1:13" x14ac:dyDescent="0.2">
      <c r="A323" s="1302"/>
      <c r="B323" s="1302"/>
      <c r="C323" s="1303" t="s">
        <v>959</v>
      </c>
      <c r="D323" s="1313" t="s">
        <v>960</v>
      </c>
      <c r="E323" s="1318">
        <v>17387</v>
      </c>
      <c r="F323" s="1322">
        <f t="shared" si="85"/>
        <v>-944</v>
      </c>
      <c r="G323" s="1316" t="s">
        <v>1192</v>
      </c>
      <c r="H323" s="1325">
        <v>16443</v>
      </c>
      <c r="I323" s="1308"/>
      <c r="J323" s="1658">
        <f t="shared" si="75"/>
        <v>1</v>
      </c>
      <c r="K323" s="1308">
        <v>0</v>
      </c>
      <c r="L323" s="1308">
        <v>0</v>
      </c>
      <c r="M323" s="1307"/>
    </row>
    <row r="324" spans="1:13" x14ac:dyDescent="0.2">
      <c r="A324" s="1302"/>
      <c r="B324" s="1302"/>
      <c r="C324" s="1303" t="s">
        <v>447</v>
      </c>
      <c r="D324" s="1313" t="s">
        <v>14</v>
      </c>
      <c r="E324" s="1318">
        <v>56458</v>
      </c>
      <c r="F324" s="1322">
        <f t="shared" si="85"/>
        <v>4083</v>
      </c>
      <c r="G324" s="1316" t="s">
        <v>1193</v>
      </c>
      <c r="H324" s="1325">
        <v>60444.17</v>
      </c>
      <c r="I324" s="1308"/>
      <c r="J324" s="1658">
        <f t="shared" si="75"/>
        <v>0.99840058803125153</v>
      </c>
      <c r="K324" s="1308">
        <v>6377.19</v>
      </c>
      <c r="L324" s="1308">
        <v>0</v>
      </c>
      <c r="M324" s="1307"/>
    </row>
    <row r="325" spans="1:13" x14ac:dyDescent="0.2">
      <c r="A325" s="1302"/>
      <c r="B325" s="1302"/>
      <c r="C325" s="1303" t="s">
        <v>450</v>
      </c>
      <c r="D325" s="1313" t="s">
        <v>15</v>
      </c>
      <c r="E325" s="1318">
        <v>8083</v>
      </c>
      <c r="F325" s="1322">
        <f t="shared" si="85"/>
        <v>409</v>
      </c>
      <c r="G325" s="1316" t="s">
        <v>1194</v>
      </c>
      <c r="H325" s="1325">
        <v>8481.41</v>
      </c>
      <c r="I325" s="1308"/>
      <c r="J325" s="1658">
        <f t="shared" si="75"/>
        <v>0.99875294394724445</v>
      </c>
      <c r="K325" s="1308">
        <v>889.75</v>
      </c>
      <c r="L325" s="1308">
        <v>0</v>
      </c>
      <c r="M325" s="1307"/>
    </row>
    <row r="326" spans="1:13" x14ac:dyDescent="0.2">
      <c r="A326" s="1302"/>
      <c r="B326" s="1302"/>
      <c r="C326" s="1303" t="s">
        <v>391</v>
      </c>
      <c r="D326" s="1313" t="s">
        <v>17</v>
      </c>
      <c r="E326" s="1318">
        <v>9600</v>
      </c>
      <c r="F326" s="1322">
        <f t="shared" si="85"/>
        <v>5000</v>
      </c>
      <c r="G326" s="1316" t="s">
        <v>1195</v>
      </c>
      <c r="H326" s="1325">
        <v>13256.42</v>
      </c>
      <c r="I326" s="1308"/>
      <c r="J326" s="1658">
        <f t="shared" si="75"/>
        <v>0.90797397260273971</v>
      </c>
      <c r="K326" s="1308">
        <v>0</v>
      </c>
      <c r="L326" s="1308">
        <v>0</v>
      </c>
      <c r="M326" s="1307"/>
    </row>
    <row r="327" spans="1:13" ht="22.5" x14ac:dyDescent="0.2">
      <c r="A327" s="1302"/>
      <c r="B327" s="1302"/>
      <c r="C327" s="1303" t="s">
        <v>1102</v>
      </c>
      <c r="D327" s="1313" t="s">
        <v>36</v>
      </c>
      <c r="E327" s="1318">
        <v>7000</v>
      </c>
      <c r="F327" s="1322">
        <f t="shared" si="85"/>
        <v>0</v>
      </c>
      <c r="G327" s="1316" t="s">
        <v>1196</v>
      </c>
      <c r="H327" s="1325">
        <v>6902.34</v>
      </c>
      <c r="I327" s="1308"/>
      <c r="J327" s="1658">
        <f t="shared" si="75"/>
        <v>0.9860485714285715</v>
      </c>
      <c r="K327" s="1308">
        <v>0</v>
      </c>
      <c r="L327" s="1308">
        <v>0</v>
      </c>
      <c r="M327" s="1307"/>
    </row>
    <row r="328" spans="1:13" x14ac:dyDescent="0.2">
      <c r="A328" s="1302"/>
      <c r="B328" s="1302"/>
      <c r="C328" s="1303" t="s">
        <v>902</v>
      </c>
      <c r="D328" s="1313" t="s">
        <v>41</v>
      </c>
      <c r="E328" s="1318">
        <v>10500</v>
      </c>
      <c r="F328" s="1322">
        <f t="shared" si="85"/>
        <v>-10500</v>
      </c>
      <c r="G328" s="1316" t="s">
        <v>636</v>
      </c>
      <c r="H328" s="1325">
        <v>0</v>
      </c>
      <c r="I328" s="1308"/>
      <c r="J328" s="1658">
        <v>0</v>
      </c>
      <c r="K328" s="1308">
        <v>0</v>
      </c>
      <c r="L328" s="1308">
        <v>0</v>
      </c>
      <c r="M328" s="1307"/>
    </row>
    <row r="329" spans="1:13" x14ac:dyDescent="0.2">
      <c r="A329" s="1302"/>
      <c r="B329" s="1302"/>
      <c r="C329" s="1303" t="s">
        <v>912</v>
      </c>
      <c r="D329" s="1313" t="s">
        <v>78</v>
      </c>
      <c r="E329" s="1318">
        <v>6500</v>
      </c>
      <c r="F329" s="1322">
        <f t="shared" si="85"/>
        <v>24500</v>
      </c>
      <c r="G329" s="1316" t="s">
        <v>652</v>
      </c>
      <c r="H329" s="1325">
        <v>31000</v>
      </c>
      <c r="I329" s="1308"/>
      <c r="J329" s="1658">
        <f t="shared" si="75"/>
        <v>1</v>
      </c>
      <c r="K329" s="1308">
        <v>0</v>
      </c>
      <c r="L329" s="1308">
        <v>0</v>
      </c>
      <c r="M329" s="1307"/>
    </row>
    <row r="330" spans="1:13" x14ac:dyDescent="0.2">
      <c r="A330" s="1302"/>
      <c r="B330" s="1302"/>
      <c r="C330" s="1303" t="s">
        <v>404</v>
      </c>
      <c r="D330" s="1313" t="s">
        <v>18</v>
      </c>
      <c r="E330" s="1318">
        <v>3800</v>
      </c>
      <c r="F330" s="1322">
        <f t="shared" si="85"/>
        <v>-3800</v>
      </c>
      <c r="G330" s="1316" t="s">
        <v>636</v>
      </c>
      <c r="H330" s="1325">
        <v>0</v>
      </c>
      <c r="I330" s="1308"/>
      <c r="J330" s="1658">
        <v>0</v>
      </c>
      <c r="K330" s="1308">
        <v>0</v>
      </c>
      <c r="L330" s="1308">
        <v>0</v>
      </c>
      <c r="M330" s="1307"/>
    </row>
    <row r="331" spans="1:13" ht="22.5" x14ac:dyDescent="0.2">
      <c r="A331" s="1302"/>
      <c r="B331" s="1302"/>
      <c r="C331" s="1303" t="s">
        <v>468</v>
      </c>
      <c r="D331" s="1313" t="s">
        <v>919</v>
      </c>
      <c r="E331" s="1318">
        <v>300</v>
      </c>
      <c r="F331" s="1322">
        <f t="shared" si="85"/>
        <v>-300</v>
      </c>
      <c r="G331" s="1316" t="s">
        <v>636</v>
      </c>
      <c r="H331" s="1325">
        <v>0</v>
      </c>
      <c r="I331" s="1308"/>
      <c r="J331" s="1658">
        <v>0</v>
      </c>
      <c r="K331" s="1308">
        <v>0</v>
      </c>
      <c r="L331" s="1308">
        <v>0</v>
      </c>
      <c r="M331" s="1307"/>
    </row>
    <row r="332" spans="1:13" ht="22.5" x14ac:dyDescent="0.2">
      <c r="A332" s="1302"/>
      <c r="B332" s="1302"/>
      <c r="C332" s="1303" t="s">
        <v>1003</v>
      </c>
      <c r="D332" s="1313" t="s">
        <v>44</v>
      </c>
      <c r="E332" s="1318">
        <v>10771</v>
      </c>
      <c r="F332" s="1322">
        <f t="shared" si="85"/>
        <v>1100</v>
      </c>
      <c r="G332" s="1316" t="s">
        <v>1197</v>
      </c>
      <c r="H332" s="1325">
        <v>11871</v>
      </c>
      <c r="I332" s="1308"/>
      <c r="J332" s="1658">
        <f t="shared" ref="J332:J394" si="86">H332/G332</f>
        <v>1</v>
      </c>
      <c r="K332" s="1308">
        <v>0</v>
      </c>
      <c r="L332" s="1308">
        <v>0</v>
      </c>
      <c r="M332" s="1307"/>
    </row>
    <row r="333" spans="1:13" ht="146.25" x14ac:dyDescent="0.2">
      <c r="A333" s="1299"/>
      <c r="B333" s="1305" t="s">
        <v>1198</v>
      </c>
      <c r="C333" s="1300"/>
      <c r="D333" s="1312" t="s">
        <v>1199</v>
      </c>
      <c r="E333" s="1317">
        <f>E334+E335+E336+E337</f>
        <v>24255</v>
      </c>
      <c r="F333" s="1321">
        <f t="shared" ref="F333:L333" si="87">F334+F335+F336+F337</f>
        <v>-18751.63</v>
      </c>
      <c r="G333" s="1314">
        <f t="shared" si="87"/>
        <v>5503.37</v>
      </c>
      <c r="H333" s="1317">
        <f t="shared" si="87"/>
        <v>5503.37</v>
      </c>
      <c r="I333" s="1321">
        <f t="shared" si="87"/>
        <v>0</v>
      </c>
      <c r="J333" s="1326">
        <f t="shared" si="86"/>
        <v>1</v>
      </c>
      <c r="K333" s="1321">
        <f t="shared" si="87"/>
        <v>0</v>
      </c>
      <c r="L333" s="1916">
        <f t="shared" si="87"/>
        <v>0</v>
      </c>
      <c r="M333" s="1307"/>
    </row>
    <row r="334" spans="1:13" ht="22.5" x14ac:dyDescent="0.2">
      <c r="A334" s="1302"/>
      <c r="B334" s="1302"/>
      <c r="C334" s="1303" t="s">
        <v>956</v>
      </c>
      <c r="D334" s="1313" t="s">
        <v>957</v>
      </c>
      <c r="E334" s="1318">
        <v>100</v>
      </c>
      <c r="F334" s="1322">
        <f>G334-E334</f>
        <v>-100</v>
      </c>
      <c r="G334" s="1316" t="s">
        <v>636</v>
      </c>
      <c r="H334" s="1325">
        <v>0</v>
      </c>
      <c r="I334" s="1308">
        <v>0</v>
      </c>
      <c r="J334" s="1658">
        <v>0</v>
      </c>
      <c r="K334" s="1308">
        <v>0</v>
      </c>
      <c r="L334" s="1308">
        <v>0</v>
      </c>
      <c r="M334" s="1307"/>
    </row>
    <row r="335" spans="1:13" ht="22.5" x14ac:dyDescent="0.2">
      <c r="A335" s="1302"/>
      <c r="B335" s="1302"/>
      <c r="C335" s="1303" t="s">
        <v>890</v>
      </c>
      <c r="D335" s="1313" t="s">
        <v>13</v>
      </c>
      <c r="E335" s="1318">
        <v>20200</v>
      </c>
      <c r="F335" s="1322">
        <f t="shared" ref="F335:F337" si="88">G335-E335</f>
        <v>-15600.09</v>
      </c>
      <c r="G335" s="1316" t="s">
        <v>1200</v>
      </c>
      <c r="H335" s="1325">
        <v>4599.91</v>
      </c>
      <c r="I335" s="1308">
        <v>0</v>
      </c>
      <c r="J335" s="1658">
        <f t="shared" si="86"/>
        <v>1</v>
      </c>
      <c r="K335" s="1308">
        <v>0</v>
      </c>
      <c r="L335" s="1308">
        <v>0</v>
      </c>
      <c r="M335" s="1307"/>
    </row>
    <row r="336" spans="1:13" x14ac:dyDescent="0.2">
      <c r="A336" s="1302"/>
      <c r="B336" s="1302"/>
      <c r="C336" s="1303" t="s">
        <v>447</v>
      </c>
      <c r="D336" s="1313" t="s">
        <v>14</v>
      </c>
      <c r="E336" s="1318">
        <v>3462</v>
      </c>
      <c r="F336" s="1322">
        <f t="shared" si="88"/>
        <v>-2671.25</v>
      </c>
      <c r="G336" s="1316" t="s">
        <v>1201</v>
      </c>
      <c r="H336" s="1325">
        <v>790.75</v>
      </c>
      <c r="I336" s="1308">
        <v>0</v>
      </c>
      <c r="J336" s="1658">
        <f t="shared" si="86"/>
        <v>1</v>
      </c>
      <c r="K336" s="1308">
        <v>0</v>
      </c>
      <c r="L336" s="1308">
        <v>0</v>
      </c>
      <c r="M336" s="1307"/>
    </row>
    <row r="337" spans="1:13" x14ac:dyDescent="0.2">
      <c r="A337" s="1302"/>
      <c r="B337" s="1302"/>
      <c r="C337" s="1303" t="s">
        <v>450</v>
      </c>
      <c r="D337" s="1313" t="s">
        <v>15</v>
      </c>
      <c r="E337" s="1318">
        <v>493</v>
      </c>
      <c r="F337" s="1322">
        <f t="shared" si="88"/>
        <v>-380.29</v>
      </c>
      <c r="G337" s="1316" t="s">
        <v>1202</v>
      </c>
      <c r="H337" s="1325">
        <v>112.71</v>
      </c>
      <c r="I337" s="1308">
        <v>0</v>
      </c>
      <c r="J337" s="1658">
        <f t="shared" si="86"/>
        <v>1</v>
      </c>
      <c r="K337" s="1308">
        <v>0</v>
      </c>
      <c r="L337" s="1308">
        <v>0</v>
      </c>
      <c r="M337" s="1307"/>
    </row>
    <row r="338" spans="1:13" ht="45" x14ac:dyDescent="0.2">
      <c r="A338" s="1299"/>
      <c r="B338" s="1305" t="s">
        <v>801</v>
      </c>
      <c r="C338" s="1300"/>
      <c r="D338" s="1312" t="s">
        <v>34</v>
      </c>
      <c r="E338" s="1317">
        <f>E339+E340+E341</f>
        <v>0</v>
      </c>
      <c r="F338" s="1321">
        <f t="shared" ref="F338:L338" si="89">F339+F340+F341</f>
        <v>209834.49000000002</v>
      </c>
      <c r="G338" s="1314">
        <f t="shared" si="89"/>
        <v>209834.49000000002</v>
      </c>
      <c r="H338" s="1317">
        <f t="shared" si="89"/>
        <v>206948.81</v>
      </c>
      <c r="I338" s="1321">
        <f t="shared" si="89"/>
        <v>0</v>
      </c>
      <c r="J338" s="1326">
        <f t="shared" si="86"/>
        <v>0.98624782799052713</v>
      </c>
      <c r="K338" s="1321">
        <f t="shared" si="89"/>
        <v>0</v>
      </c>
      <c r="L338" s="1916">
        <f t="shared" si="89"/>
        <v>0</v>
      </c>
      <c r="M338" s="1307"/>
    </row>
    <row r="339" spans="1:13" ht="45" x14ac:dyDescent="0.2">
      <c r="A339" s="1302"/>
      <c r="B339" s="1302"/>
      <c r="C339" s="1303" t="s">
        <v>907</v>
      </c>
      <c r="D339" s="1313" t="s">
        <v>327</v>
      </c>
      <c r="E339" s="1318">
        <v>0</v>
      </c>
      <c r="F339" s="1322">
        <f>G339-E339</f>
        <v>7672.5</v>
      </c>
      <c r="G339" s="1316" t="s">
        <v>1203</v>
      </c>
      <c r="H339" s="1325">
        <v>7184.7</v>
      </c>
      <c r="I339" s="1308">
        <v>0</v>
      </c>
      <c r="J339" s="1658">
        <f t="shared" si="86"/>
        <v>0.93642228739002931</v>
      </c>
      <c r="K339" s="1308">
        <v>0</v>
      </c>
      <c r="L339" s="1308">
        <v>0</v>
      </c>
      <c r="M339" s="1307"/>
    </row>
    <row r="340" spans="1:13" x14ac:dyDescent="0.2">
      <c r="A340" s="1302"/>
      <c r="B340" s="1302"/>
      <c r="C340" s="1303" t="s">
        <v>391</v>
      </c>
      <c r="D340" s="1313" t="s">
        <v>17</v>
      </c>
      <c r="E340" s="1318">
        <v>0</v>
      </c>
      <c r="F340" s="1322">
        <f t="shared" ref="F340:F341" si="90">G340-E340</f>
        <v>2077.54</v>
      </c>
      <c r="G340" s="1316" t="s">
        <v>1204</v>
      </c>
      <c r="H340" s="1325">
        <v>2077.54</v>
      </c>
      <c r="I340" s="1308">
        <v>0</v>
      </c>
      <c r="J340" s="1658">
        <f t="shared" si="86"/>
        <v>1</v>
      </c>
      <c r="K340" s="1308">
        <v>0</v>
      </c>
      <c r="L340" s="1308">
        <v>0</v>
      </c>
      <c r="M340" s="1307"/>
    </row>
    <row r="341" spans="1:13" ht="22.5" x14ac:dyDescent="0.2">
      <c r="A341" s="1302"/>
      <c r="B341" s="1302"/>
      <c r="C341" s="1303" t="s">
        <v>1102</v>
      </c>
      <c r="D341" s="1313" t="s">
        <v>36</v>
      </c>
      <c r="E341" s="1318">
        <v>0</v>
      </c>
      <c r="F341" s="1322">
        <f t="shared" si="90"/>
        <v>200084.45</v>
      </c>
      <c r="G341" s="1316" t="s">
        <v>1205</v>
      </c>
      <c r="H341" s="1325">
        <v>197686.57</v>
      </c>
      <c r="I341" s="1308">
        <v>0</v>
      </c>
      <c r="J341" s="1658">
        <f t="shared" si="86"/>
        <v>0.98801566038740141</v>
      </c>
      <c r="K341" s="1308">
        <v>0</v>
      </c>
      <c r="L341" s="1308">
        <v>0</v>
      </c>
      <c r="M341" s="1307"/>
    </row>
    <row r="342" spans="1:13" ht="15" x14ac:dyDescent="0.2">
      <c r="A342" s="1299"/>
      <c r="B342" s="1305" t="s">
        <v>428</v>
      </c>
      <c r="C342" s="1300"/>
      <c r="D342" s="1312" t="s">
        <v>11</v>
      </c>
      <c r="E342" s="1317">
        <f>E343+E344+E345+E346+E347+E348+E349+E350+E351+E352+E353+E354+E355+E356+E357+E358+E359+E360+E361+E363+E362+E364+E365+E366</f>
        <v>728950.60000000009</v>
      </c>
      <c r="F342" s="1321">
        <f t="shared" ref="F342:L342" si="91">F343+F344+F345+F346+F347+F348+F349+F350+F351+F352+F353+F354+F355+F356+F357+F358+F359+F360+F361+F363+F362+F364+F365+F366</f>
        <v>351839.01</v>
      </c>
      <c r="G342" s="1314">
        <f t="shared" si="91"/>
        <v>1080789.6100000003</v>
      </c>
      <c r="H342" s="1317">
        <f t="shared" si="91"/>
        <v>920007.34000000008</v>
      </c>
      <c r="I342" s="1321">
        <f t="shared" si="91"/>
        <v>0</v>
      </c>
      <c r="J342" s="1326">
        <f t="shared" si="86"/>
        <v>0.85123629195510109</v>
      </c>
      <c r="K342" s="1321">
        <f t="shared" si="91"/>
        <v>0</v>
      </c>
      <c r="L342" s="1916">
        <f t="shared" si="91"/>
        <v>3186.14</v>
      </c>
      <c r="M342" s="1307"/>
    </row>
    <row r="343" spans="1:13" ht="90" x14ac:dyDescent="0.2">
      <c r="A343" s="1302"/>
      <c r="B343" s="1302"/>
      <c r="C343" s="1303" t="s">
        <v>803</v>
      </c>
      <c r="D343" s="1313" t="s">
        <v>1206</v>
      </c>
      <c r="E343" s="1318">
        <v>151741</v>
      </c>
      <c r="F343" s="1322">
        <f>G343-E343</f>
        <v>1252.4400000000023</v>
      </c>
      <c r="G343" s="1316" t="s">
        <v>1207</v>
      </c>
      <c r="H343" s="1325">
        <v>152993.44</v>
      </c>
      <c r="I343" s="1308">
        <v>0</v>
      </c>
      <c r="J343" s="1658">
        <f t="shared" si="86"/>
        <v>1</v>
      </c>
      <c r="K343" s="1308">
        <v>0</v>
      </c>
      <c r="L343" s="1308">
        <v>0</v>
      </c>
      <c r="M343" s="1307"/>
    </row>
    <row r="344" spans="1:13" ht="90" x14ac:dyDescent="0.2">
      <c r="A344" s="1302"/>
      <c r="B344" s="1302"/>
      <c r="C344" s="1303" t="s">
        <v>806</v>
      </c>
      <c r="D344" s="1313" t="s">
        <v>1206</v>
      </c>
      <c r="E344" s="1318">
        <v>17691.22</v>
      </c>
      <c r="F344" s="1322">
        <f t="shared" ref="F344:F366" si="92">G344-E344</f>
        <v>12033.34</v>
      </c>
      <c r="G344" s="1316" t="s">
        <v>1208</v>
      </c>
      <c r="H344" s="1325">
        <v>18000</v>
      </c>
      <c r="I344" s="1308">
        <v>0</v>
      </c>
      <c r="J344" s="1658">
        <f t="shared" si="86"/>
        <v>0.60555984680681563</v>
      </c>
      <c r="K344" s="1308">
        <v>0</v>
      </c>
      <c r="L344" s="1308">
        <v>0</v>
      </c>
      <c r="M344" s="1307"/>
    </row>
    <row r="345" spans="1:13" ht="78.75" x14ac:dyDescent="0.2">
      <c r="A345" s="1302"/>
      <c r="B345" s="1302"/>
      <c r="C345" s="1303" t="s">
        <v>834</v>
      </c>
      <c r="D345" s="1313" t="s">
        <v>1069</v>
      </c>
      <c r="E345" s="1318">
        <v>16500</v>
      </c>
      <c r="F345" s="1322">
        <f t="shared" si="92"/>
        <v>10000</v>
      </c>
      <c r="G345" s="1316" t="s">
        <v>1209</v>
      </c>
      <c r="H345" s="1325">
        <v>25000</v>
      </c>
      <c r="I345" s="1308">
        <v>0</v>
      </c>
      <c r="J345" s="1658">
        <f t="shared" si="86"/>
        <v>0.94339622641509435</v>
      </c>
      <c r="K345" s="1308">
        <v>0</v>
      </c>
      <c r="L345" s="1308">
        <v>0</v>
      </c>
      <c r="M345" s="1307"/>
    </row>
    <row r="346" spans="1:13" ht="56.25" x14ac:dyDescent="0.2">
      <c r="A346" s="1302"/>
      <c r="B346" s="1302"/>
      <c r="C346" s="1303" t="s">
        <v>633</v>
      </c>
      <c r="D346" s="1313" t="s">
        <v>1210</v>
      </c>
      <c r="E346" s="1318">
        <v>0</v>
      </c>
      <c r="F346" s="1322">
        <f t="shared" si="92"/>
        <v>2000</v>
      </c>
      <c r="G346" s="1316" t="s">
        <v>668</v>
      </c>
      <c r="H346" s="1325">
        <v>2000</v>
      </c>
      <c r="I346" s="1308">
        <v>0</v>
      </c>
      <c r="J346" s="1658">
        <f t="shared" si="86"/>
        <v>1</v>
      </c>
      <c r="K346" s="1308">
        <v>0</v>
      </c>
      <c r="L346" s="1308">
        <v>0</v>
      </c>
      <c r="M346" s="1307"/>
    </row>
    <row r="347" spans="1:13" x14ac:dyDescent="0.2">
      <c r="A347" s="1302"/>
      <c r="B347" s="1302"/>
      <c r="C347" s="1303" t="s">
        <v>1211</v>
      </c>
      <c r="D347" s="1313" t="s">
        <v>88</v>
      </c>
      <c r="E347" s="1318">
        <v>26867.56</v>
      </c>
      <c r="F347" s="1322">
        <f t="shared" si="92"/>
        <v>-18807.160000000003</v>
      </c>
      <c r="G347" s="1316" t="s">
        <v>1212</v>
      </c>
      <c r="H347" s="1325">
        <v>8060.4</v>
      </c>
      <c r="I347" s="1308">
        <v>0</v>
      </c>
      <c r="J347" s="1658">
        <f t="shared" si="86"/>
        <v>1</v>
      </c>
      <c r="K347" s="1308">
        <v>0</v>
      </c>
      <c r="L347" s="1308">
        <v>0</v>
      </c>
      <c r="M347" s="1307"/>
    </row>
    <row r="348" spans="1:13" x14ac:dyDescent="0.2">
      <c r="A348" s="1302"/>
      <c r="B348" s="1302"/>
      <c r="C348" s="1303" t="s">
        <v>1213</v>
      </c>
      <c r="D348" s="1313" t="s">
        <v>88</v>
      </c>
      <c r="E348" s="1318">
        <v>3132.44</v>
      </c>
      <c r="F348" s="1322">
        <f t="shared" si="92"/>
        <v>-2192.84</v>
      </c>
      <c r="G348" s="1316" t="s">
        <v>1214</v>
      </c>
      <c r="H348" s="1325">
        <v>939.6</v>
      </c>
      <c r="I348" s="1308">
        <v>0</v>
      </c>
      <c r="J348" s="1658">
        <f t="shared" si="86"/>
        <v>1</v>
      </c>
      <c r="K348" s="1308">
        <v>0</v>
      </c>
      <c r="L348" s="1308">
        <v>0</v>
      </c>
      <c r="M348" s="1307"/>
    </row>
    <row r="349" spans="1:13" ht="22.5" x14ac:dyDescent="0.2">
      <c r="A349" s="1302"/>
      <c r="B349" s="1302"/>
      <c r="C349" s="1303" t="s">
        <v>1215</v>
      </c>
      <c r="D349" s="1313" t="s">
        <v>13</v>
      </c>
      <c r="E349" s="1318">
        <v>240552.34</v>
      </c>
      <c r="F349" s="1322">
        <f t="shared" si="92"/>
        <v>44373.250000000029</v>
      </c>
      <c r="G349" s="1316" t="s">
        <v>1216</v>
      </c>
      <c r="H349" s="1325">
        <v>270492.78000000003</v>
      </c>
      <c r="I349" s="1308">
        <v>0</v>
      </c>
      <c r="J349" s="1658">
        <f t="shared" si="86"/>
        <v>0.94934533609283744</v>
      </c>
      <c r="K349" s="1308">
        <v>0</v>
      </c>
      <c r="L349" s="1308">
        <v>0</v>
      </c>
      <c r="M349" s="1307"/>
    </row>
    <row r="350" spans="1:13" ht="22.5" x14ac:dyDescent="0.2">
      <c r="A350" s="1302"/>
      <c r="B350" s="1302"/>
      <c r="C350" s="1303" t="s">
        <v>1217</v>
      </c>
      <c r="D350" s="1313" t="s">
        <v>13</v>
      </c>
      <c r="E350" s="1318">
        <v>28041.54</v>
      </c>
      <c r="F350" s="1322">
        <f t="shared" si="92"/>
        <v>5172.2099999999991</v>
      </c>
      <c r="G350" s="1316" t="s">
        <v>1218</v>
      </c>
      <c r="H350" s="1325">
        <v>31298.18</v>
      </c>
      <c r="I350" s="1308">
        <v>0</v>
      </c>
      <c r="J350" s="1658">
        <f t="shared" si="86"/>
        <v>0.94232599450528776</v>
      </c>
      <c r="K350" s="1308">
        <v>0</v>
      </c>
      <c r="L350" s="1308">
        <v>0</v>
      </c>
      <c r="M350" s="1307"/>
    </row>
    <row r="351" spans="1:13" x14ac:dyDescent="0.2">
      <c r="A351" s="1302"/>
      <c r="B351" s="1302"/>
      <c r="C351" s="1303" t="s">
        <v>447</v>
      </c>
      <c r="D351" s="1313" t="s">
        <v>14</v>
      </c>
      <c r="E351" s="1318">
        <v>983</v>
      </c>
      <c r="F351" s="1322">
        <f t="shared" si="92"/>
        <v>0.25999999999999091</v>
      </c>
      <c r="G351" s="1316" t="s">
        <v>1219</v>
      </c>
      <c r="H351" s="1325">
        <v>983.26</v>
      </c>
      <c r="I351" s="1308">
        <v>0</v>
      </c>
      <c r="J351" s="1658">
        <f t="shared" si="86"/>
        <v>1</v>
      </c>
      <c r="K351" s="1308">
        <v>0</v>
      </c>
      <c r="L351" s="1308">
        <v>0</v>
      </c>
      <c r="M351" s="1307"/>
    </row>
    <row r="352" spans="1:13" x14ac:dyDescent="0.2">
      <c r="A352" s="1302"/>
      <c r="B352" s="1302"/>
      <c r="C352" s="1303" t="s">
        <v>1220</v>
      </c>
      <c r="D352" s="1313" t="s">
        <v>14</v>
      </c>
      <c r="E352" s="1318">
        <v>41156.28</v>
      </c>
      <c r="F352" s="1322">
        <f t="shared" si="92"/>
        <v>22144.92</v>
      </c>
      <c r="G352" s="1316" t="s">
        <v>1221</v>
      </c>
      <c r="H352" s="1325">
        <v>47138.36</v>
      </c>
      <c r="I352" s="1308">
        <v>0</v>
      </c>
      <c r="J352" s="1658">
        <f t="shared" si="86"/>
        <v>0.74466771561992506</v>
      </c>
      <c r="K352" s="1308">
        <v>0</v>
      </c>
      <c r="L352" s="1308">
        <v>0</v>
      </c>
      <c r="M352" s="1307"/>
    </row>
    <row r="353" spans="1:13" x14ac:dyDescent="0.2">
      <c r="A353" s="1302"/>
      <c r="B353" s="1302"/>
      <c r="C353" s="1303" t="s">
        <v>1222</v>
      </c>
      <c r="D353" s="1313" t="s">
        <v>14</v>
      </c>
      <c r="E353" s="1318">
        <v>4797.6499999999996</v>
      </c>
      <c r="F353" s="1322">
        <f t="shared" si="92"/>
        <v>2581.3500000000004</v>
      </c>
      <c r="G353" s="1316" t="s">
        <v>1223</v>
      </c>
      <c r="H353" s="1325">
        <v>5473.61</v>
      </c>
      <c r="I353" s="1308">
        <v>0</v>
      </c>
      <c r="J353" s="1658">
        <f t="shared" si="86"/>
        <v>0.74178208429326464</v>
      </c>
      <c r="K353" s="1308">
        <v>0</v>
      </c>
      <c r="L353" s="1308">
        <v>0</v>
      </c>
      <c r="M353" s="1307"/>
    </row>
    <row r="354" spans="1:13" x14ac:dyDescent="0.2">
      <c r="A354" s="1302"/>
      <c r="B354" s="1302"/>
      <c r="C354" s="1303" t="s">
        <v>450</v>
      </c>
      <c r="D354" s="1313" t="s">
        <v>15</v>
      </c>
      <c r="E354" s="1318">
        <v>140</v>
      </c>
      <c r="F354" s="1322">
        <f t="shared" si="92"/>
        <v>0.13999999999998636</v>
      </c>
      <c r="G354" s="1316" t="s">
        <v>1224</v>
      </c>
      <c r="H354" s="1325">
        <v>140.13999999999999</v>
      </c>
      <c r="I354" s="1308">
        <v>0</v>
      </c>
      <c r="J354" s="1658">
        <f t="shared" si="86"/>
        <v>1</v>
      </c>
      <c r="K354" s="1308">
        <v>0</v>
      </c>
      <c r="L354" s="1308">
        <v>0</v>
      </c>
      <c r="M354" s="1307"/>
    </row>
    <row r="355" spans="1:13" x14ac:dyDescent="0.2">
      <c r="A355" s="1302"/>
      <c r="B355" s="1302"/>
      <c r="C355" s="1303" t="s">
        <v>1225</v>
      </c>
      <c r="D355" s="1313" t="s">
        <v>15</v>
      </c>
      <c r="E355" s="1318">
        <v>5893.54</v>
      </c>
      <c r="F355" s="1322">
        <f t="shared" si="92"/>
        <v>3364.8900000000003</v>
      </c>
      <c r="G355" s="1316" t="s">
        <v>1226</v>
      </c>
      <c r="H355" s="1325">
        <v>5331.21</v>
      </c>
      <c r="I355" s="1308">
        <v>0</v>
      </c>
      <c r="J355" s="1658">
        <f t="shared" si="86"/>
        <v>0.57582225064076742</v>
      </c>
      <c r="K355" s="1308">
        <v>0</v>
      </c>
      <c r="L355" s="1308">
        <v>0</v>
      </c>
      <c r="M355" s="1307"/>
    </row>
    <row r="356" spans="1:13" x14ac:dyDescent="0.2">
      <c r="A356" s="1302"/>
      <c r="B356" s="1302"/>
      <c r="C356" s="1303" t="s">
        <v>1227</v>
      </c>
      <c r="D356" s="1313" t="s">
        <v>15</v>
      </c>
      <c r="E356" s="1318">
        <v>687.03</v>
      </c>
      <c r="F356" s="1322">
        <f t="shared" si="92"/>
        <v>392.21000000000004</v>
      </c>
      <c r="G356" s="1316" t="s">
        <v>1228</v>
      </c>
      <c r="H356" s="1325">
        <v>618.05999999999995</v>
      </c>
      <c r="I356" s="1308">
        <v>0</v>
      </c>
      <c r="J356" s="1658">
        <f t="shared" si="86"/>
        <v>0.57268077536043882</v>
      </c>
      <c r="K356" s="1308">
        <v>0</v>
      </c>
      <c r="L356" s="1308">
        <v>0</v>
      </c>
      <c r="M356" s="1307"/>
    </row>
    <row r="357" spans="1:13" x14ac:dyDescent="0.2">
      <c r="A357" s="1302"/>
      <c r="B357" s="1302"/>
      <c r="C357" s="1303" t="s">
        <v>442</v>
      </c>
      <c r="D357" s="1313" t="s">
        <v>31</v>
      </c>
      <c r="E357" s="1318">
        <v>5720</v>
      </c>
      <c r="F357" s="1322">
        <f t="shared" si="92"/>
        <v>0</v>
      </c>
      <c r="G357" s="1316" t="s">
        <v>1229</v>
      </c>
      <c r="H357" s="1325">
        <v>5720</v>
      </c>
      <c r="I357" s="1308">
        <v>0</v>
      </c>
      <c r="J357" s="1658">
        <f t="shared" si="86"/>
        <v>1</v>
      </c>
      <c r="K357" s="1308">
        <v>0</v>
      </c>
      <c r="L357" s="1308">
        <v>0</v>
      </c>
      <c r="M357" s="1307"/>
    </row>
    <row r="358" spans="1:13" x14ac:dyDescent="0.2">
      <c r="A358" s="1302"/>
      <c r="B358" s="1302"/>
      <c r="C358" s="1303" t="s">
        <v>391</v>
      </c>
      <c r="D358" s="1313" t="s">
        <v>17</v>
      </c>
      <c r="E358" s="1318">
        <v>3200</v>
      </c>
      <c r="F358" s="1322">
        <f t="shared" si="92"/>
        <v>0</v>
      </c>
      <c r="G358" s="1316" t="s">
        <v>1230</v>
      </c>
      <c r="H358" s="1325">
        <v>3186.14</v>
      </c>
      <c r="I358" s="1308">
        <v>0</v>
      </c>
      <c r="J358" s="1658">
        <f t="shared" si="86"/>
        <v>0.99566874999999999</v>
      </c>
      <c r="K358" s="1308">
        <v>0</v>
      </c>
      <c r="L358" s="1308">
        <v>3186.14</v>
      </c>
      <c r="M358" s="1307"/>
    </row>
    <row r="359" spans="1:13" x14ac:dyDescent="0.2">
      <c r="A359" s="1302"/>
      <c r="B359" s="1302"/>
      <c r="C359" s="1303" t="s">
        <v>1231</v>
      </c>
      <c r="D359" s="1313" t="s">
        <v>17</v>
      </c>
      <c r="E359" s="1318">
        <v>0</v>
      </c>
      <c r="F359" s="1322">
        <f t="shared" si="92"/>
        <v>24501.47</v>
      </c>
      <c r="G359" s="1316" t="s">
        <v>1232</v>
      </c>
      <c r="H359" s="1325">
        <v>24219.32</v>
      </c>
      <c r="I359" s="1308">
        <v>0</v>
      </c>
      <c r="J359" s="1658">
        <f t="shared" si="86"/>
        <v>0.9884843644075233</v>
      </c>
      <c r="K359" s="1308">
        <v>0</v>
      </c>
      <c r="L359" s="1308">
        <v>0</v>
      </c>
      <c r="M359" s="1307"/>
    </row>
    <row r="360" spans="1:13" x14ac:dyDescent="0.2">
      <c r="A360" s="1302"/>
      <c r="B360" s="1302"/>
      <c r="C360" s="1303" t="s">
        <v>1233</v>
      </c>
      <c r="D360" s="1313" t="s">
        <v>17</v>
      </c>
      <c r="E360" s="1318">
        <v>0</v>
      </c>
      <c r="F360" s="1322">
        <f t="shared" si="92"/>
        <v>4138.3999999999996</v>
      </c>
      <c r="G360" s="1316" t="s">
        <v>1234</v>
      </c>
      <c r="H360" s="1325">
        <v>2823.24</v>
      </c>
      <c r="I360" s="1308">
        <v>0</v>
      </c>
      <c r="J360" s="1658">
        <f t="shared" si="86"/>
        <v>0.68220568335588638</v>
      </c>
      <c r="K360" s="1308">
        <v>0</v>
      </c>
      <c r="L360" s="1308">
        <v>0</v>
      </c>
      <c r="M360" s="1307"/>
    </row>
    <row r="361" spans="1:13" ht="22.5" x14ac:dyDescent="0.2">
      <c r="A361" s="1302"/>
      <c r="B361" s="1302"/>
      <c r="C361" s="1303" t="s">
        <v>1235</v>
      </c>
      <c r="D361" s="1313" t="s">
        <v>36</v>
      </c>
      <c r="E361" s="1318">
        <v>0</v>
      </c>
      <c r="F361" s="1322">
        <f t="shared" si="92"/>
        <v>105733.52</v>
      </c>
      <c r="G361" s="1316" t="s">
        <v>1236</v>
      </c>
      <c r="H361" s="1325">
        <v>105385.3</v>
      </c>
      <c r="I361" s="1308">
        <v>0</v>
      </c>
      <c r="J361" s="1658">
        <f t="shared" si="86"/>
        <v>0.99670662624303064</v>
      </c>
      <c r="K361" s="1308">
        <v>0</v>
      </c>
      <c r="L361" s="1308">
        <v>0</v>
      </c>
      <c r="M361" s="1307"/>
    </row>
    <row r="362" spans="1:13" ht="22.5" x14ac:dyDescent="0.2">
      <c r="A362" s="1302"/>
      <c r="B362" s="1302"/>
      <c r="C362" s="1303" t="s">
        <v>1237</v>
      </c>
      <c r="D362" s="1313" t="s">
        <v>36</v>
      </c>
      <c r="E362" s="1318">
        <v>0</v>
      </c>
      <c r="F362" s="1322">
        <f t="shared" si="92"/>
        <v>42298.79</v>
      </c>
      <c r="G362" s="1316" t="s">
        <v>1238</v>
      </c>
      <c r="H362" s="1325">
        <v>12159.3</v>
      </c>
      <c r="I362" s="1308">
        <v>0</v>
      </c>
      <c r="J362" s="1658">
        <f t="shared" si="86"/>
        <v>0.2874621236210303</v>
      </c>
      <c r="K362" s="1308">
        <v>0</v>
      </c>
      <c r="L362" s="1308">
        <v>0</v>
      </c>
      <c r="M362" s="1307"/>
    </row>
    <row r="363" spans="1:13" x14ac:dyDescent="0.2">
      <c r="A363" s="1302"/>
      <c r="B363" s="1302"/>
      <c r="C363" s="1303" t="s">
        <v>404</v>
      </c>
      <c r="D363" s="1313" t="s">
        <v>18</v>
      </c>
      <c r="E363" s="1318">
        <v>29280</v>
      </c>
      <c r="F363" s="1322">
        <f t="shared" si="92"/>
        <v>-6336</v>
      </c>
      <c r="G363" s="1316" t="s">
        <v>1239</v>
      </c>
      <c r="H363" s="1325">
        <v>22944</v>
      </c>
      <c r="I363" s="1308">
        <v>0</v>
      </c>
      <c r="J363" s="1658">
        <f t="shared" si="86"/>
        <v>1</v>
      </c>
      <c r="K363" s="1308">
        <v>0</v>
      </c>
      <c r="L363" s="1308">
        <v>0</v>
      </c>
      <c r="M363" s="1307"/>
    </row>
    <row r="364" spans="1:13" x14ac:dyDescent="0.2">
      <c r="A364" s="1302"/>
      <c r="B364" s="1302"/>
      <c r="C364" s="1303" t="s">
        <v>1240</v>
      </c>
      <c r="D364" s="1313" t="s">
        <v>18</v>
      </c>
      <c r="E364" s="1318">
        <v>0</v>
      </c>
      <c r="F364" s="1322">
        <f t="shared" si="92"/>
        <v>83140.52</v>
      </c>
      <c r="G364" s="1316" t="s">
        <v>1241</v>
      </c>
      <c r="H364" s="1325">
        <v>18270.240000000002</v>
      </c>
      <c r="I364" s="1308">
        <v>0</v>
      </c>
      <c r="J364" s="1658">
        <f t="shared" si="86"/>
        <v>0.21975133184156173</v>
      </c>
      <c r="K364" s="1308">
        <v>0</v>
      </c>
      <c r="L364" s="1308">
        <v>0</v>
      </c>
      <c r="M364" s="1307"/>
    </row>
    <row r="365" spans="1:13" x14ac:dyDescent="0.2">
      <c r="A365" s="1302"/>
      <c r="B365" s="1302"/>
      <c r="C365" s="1303" t="s">
        <v>1242</v>
      </c>
      <c r="D365" s="1313" t="s">
        <v>18</v>
      </c>
      <c r="E365" s="1318">
        <v>0</v>
      </c>
      <c r="F365" s="1322">
        <f t="shared" si="92"/>
        <v>13913.3</v>
      </c>
      <c r="G365" s="1316" t="s">
        <v>1243</v>
      </c>
      <c r="H365" s="1325">
        <v>2129.7600000000002</v>
      </c>
      <c r="I365" s="1308">
        <v>0</v>
      </c>
      <c r="J365" s="1658">
        <f t="shared" si="86"/>
        <v>0.15307367770406735</v>
      </c>
      <c r="K365" s="1308">
        <v>0</v>
      </c>
      <c r="L365" s="1308">
        <v>0</v>
      </c>
      <c r="M365" s="1307"/>
    </row>
    <row r="366" spans="1:13" ht="22.5" x14ac:dyDescent="0.2">
      <c r="A366" s="1302"/>
      <c r="B366" s="1302"/>
      <c r="C366" s="1303" t="s">
        <v>1003</v>
      </c>
      <c r="D366" s="1313" t="s">
        <v>44</v>
      </c>
      <c r="E366" s="1318">
        <v>152567</v>
      </c>
      <c r="F366" s="1322">
        <f t="shared" si="92"/>
        <v>2134</v>
      </c>
      <c r="G366" s="1316" t="s">
        <v>1244</v>
      </c>
      <c r="H366" s="1325">
        <v>154701</v>
      </c>
      <c r="I366" s="1308">
        <v>0</v>
      </c>
      <c r="J366" s="1658">
        <f t="shared" si="86"/>
        <v>1</v>
      </c>
      <c r="K366" s="1308">
        <v>0</v>
      </c>
      <c r="L366" s="1308">
        <v>0</v>
      </c>
      <c r="M366" s="1307"/>
    </row>
    <row r="367" spans="1:13" x14ac:dyDescent="0.2">
      <c r="A367" s="1334" t="s">
        <v>230</v>
      </c>
      <c r="B367" s="1334"/>
      <c r="C367" s="1334"/>
      <c r="D367" s="1335" t="s">
        <v>309</v>
      </c>
      <c r="E367" s="1336">
        <f>E368+E370+E374+E387</f>
        <v>355000</v>
      </c>
      <c r="F367" s="1330">
        <f t="shared" ref="F367:L367" si="93">F368+F370+F374+F387</f>
        <v>195075</v>
      </c>
      <c r="G367" s="1337">
        <f t="shared" si="93"/>
        <v>550075</v>
      </c>
      <c r="H367" s="1336">
        <f t="shared" si="93"/>
        <v>425271.62999999995</v>
      </c>
      <c r="I367" s="1330">
        <f t="shared" si="93"/>
        <v>0</v>
      </c>
      <c r="J367" s="1333">
        <f t="shared" si="86"/>
        <v>0.77311572058355671</v>
      </c>
      <c r="K367" s="1330">
        <f t="shared" si="93"/>
        <v>310.29000000000002</v>
      </c>
      <c r="L367" s="1917">
        <f t="shared" si="93"/>
        <v>0</v>
      </c>
      <c r="M367" s="1307"/>
    </row>
    <row r="368" spans="1:13" ht="15" x14ac:dyDescent="0.2">
      <c r="A368" s="1299"/>
      <c r="B368" s="1305" t="s">
        <v>231</v>
      </c>
      <c r="C368" s="1300"/>
      <c r="D368" s="1312" t="s">
        <v>342</v>
      </c>
      <c r="E368" s="1317">
        <f>E369</f>
        <v>0</v>
      </c>
      <c r="F368" s="1321">
        <f t="shared" ref="F368:L368" si="94">F369</f>
        <v>25000</v>
      </c>
      <c r="G368" s="1314" t="str">
        <f t="shared" si="94"/>
        <v>25 000,00</v>
      </c>
      <c r="H368" s="1317">
        <f t="shared" si="94"/>
        <v>0</v>
      </c>
      <c r="I368" s="1321">
        <f t="shared" si="94"/>
        <v>0</v>
      </c>
      <c r="J368" s="1326">
        <f t="shared" si="86"/>
        <v>0</v>
      </c>
      <c r="K368" s="1321">
        <f t="shared" si="94"/>
        <v>0</v>
      </c>
      <c r="L368" s="1916">
        <f t="shared" si="94"/>
        <v>0</v>
      </c>
      <c r="M368" s="1307"/>
    </row>
    <row r="369" spans="1:13" ht="56.25" x14ac:dyDescent="0.2">
      <c r="A369" s="1302"/>
      <c r="B369" s="1302"/>
      <c r="C369" s="1303" t="s">
        <v>232</v>
      </c>
      <c r="D369" s="1313" t="s">
        <v>1245</v>
      </c>
      <c r="E369" s="1318">
        <v>0</v>
      </c>
      <c r="F369" s="1322">
        <f>G369-E369</f>
        <v>25000</v>
      </c>
      <c r="G369" s="1316" t="s">
        <v>645</v>
      </c>
      <c r="H369" s="1325">
        <v>0</v>
      </c>
      <c r="I369" s="1308">
        <v>0</v>
      </c>
      <c r="J369" s="1658">
        <f t="shared" si="86"/>
        <v>0</v>
      </c>
      <c r="K369" s="1308">
        <v>0</v>
      </c>
      <c r="L369" s="1308">
        <v>0</v>
      </c>
      <c r="M369" s="1307"/>
    </row>
    <row r="370" spans="1:13" ht="15" x14ac:dyDescent="0.2">
      <c r="A370" s="1299"/>
      <c r="B370" s="1305" t="s">
        <v>1246</v>
      </c>
      <c r="C370" s="1300"/>
      <c r="D370" s="1312" t="s">
        <v>374</v>
      </c>
      <c r="E370" s="1317">
        <f>E371+E372+E373</f>
        <v>7800</v>
      </c>
      <c r="F370" s="1321">
        <f t="shared" ref="F370:L370" si="95">F371+F372+F373</f>
        <v>0</v>
      </c>
      <c r="G370" s="1314">
        <f t="shared" si="95"/>
        <v>7800</v>
      </c>
      <c r="H370" s="1317">
        <f t="shared" si="95"/>
        <v>1820</v>
      </c>
      <c r="I370" s="1321">
        <f t="shared" si="95"/>
        <v>0</v>
      </c>
      <c r="J370" s="1326">
        <f t="shared" si="86"/>
        <v>0.23333333333333334</v>
      </c>
      <c r="K370" s="1321">
        <f t="shared" si="95"/>
        <v>0</v>
      </c>
      <c r="L370" s="1916">
        <f t="shared" si="95"/>
        <v>0</v>
      </c>
      <c r="M370" s="1307"/>
    </row>
    <row r="371" spans="1:13" x14ac:dyDescent="0.2">
      <c r="A371" s="1302"/>
      <c r="B371" s="1302"/>
      <c r="C371" s="1303" t="s">
        <v>442</v>
      </c>
      <c r="D371" s="1313" t="s">
        <v>31</v>
      </c>
      <c r="E371" s="1318">
        <v>2240</v>
      </c>
      <c r="F371" s="1322">
        <f>G371-E371</f>
        <v>0</v>
      </c>
      <c r="G371" s="1316" t="s">
        <v>1247</v>
      </c>
      <c r="H371" s="1325">
        <v>1120</v>
      </c>
      <c r="I371" s="1308">
        <v>0</v>
      </c>
      <c r="J371" s="1658">
        <f t="shared" si="86"/>
        <v>0.5</v>
      </c>
      <c r="K371" s="1308">
        <v>0</v>
      </c>
      <c r="L371" s="1308">
        <v>0</v>
      </c>
      <c r="M371" s="1307"/>
    </row>
    <row r="372" spans="1:13" x14ac:dyDescent="0.2">
      <c r="A372" s="1302"/>
      <c r="B372" s="1302"/>
      <c r="C372" s="1303" t="s">
        <v>391</v>
      </c>
      <c r="D372" s="1313" t="s">
        <v>17</v>
      </c>
      <c r="E372" s="1318">
        <v>1000</v>
      </c>
      <c r="F372" s="1322">
        <f t="shared" ref="F372:F373" si="96">G372-E372</f>
        <v>0</v>
      </c>
      <c r="G372" s="1316" t="s">
        <v>680</v>
      </c>
      <c r="H372" s="1325">
        <v>0</v>
      </c>
      <c r="I372" s="1308">
        <v>0</v>
      </c>
      <c r="J372" s="1658">
        <f t="shared" si="86"/>
        <v>0</v>
      </c>
      <c r="K372" s="1308">
        <v>0</v>
      </c>
      <c r="L372" s="1308">
        <v>0</v>
      </c>
      <c r="M372" s="1307"/>
    </row>
    <row r="373" spans="1:13" x14ac:dyDescent="0.2">
      <c r="A373" s="1302"/>
      <c r="B373" s="1302"/>
      <c r="C373" s="1303" t="s">
        <v>404</v>
      </c>
      <c r="D373" s="1313" t="s">
        <v>18</v>
      </c>
      <c r="E373" s="1318">
        <v>4560</v>
      </c>
      <c r="F373" s="1322">
        <f t="shared" si="96"/>
        <v>0</v>
      </c>
      <c r="G373" s="1316" t="s">
        <v>1248</v>
      </c>
      <c r="H373" s="1325">
        <v>700</v>
      </c>
      <c r="I373" s="1308">
        <v>0</v>
      </c>
      <c r="J373" s="1658">
        <f t="shared" si="86"/>
        <v>0.15350877192982457</v>
      </c>
      <c r="K373" s="1308">
        <v>0</v>
      </c>
      <c r="L373" s="1308">
        <v>0</v>
      </c>
      <c r="M373" s="1307"/>
    </row>
    <row r="374" spans="1:13" ht="15" x14ac:dyDescent="0.2">
      <c r="A374" s="1299"/>
      <c r="B374" s="1305" t="s">
        <v>1249</v>
      </c>
      <c r="C374" s="1300"/>
      <c r="D374" s="1312" t="s">
        <v>310</v>
      </c>
      <c r="E374" s="1317">
        <f>E375+E376+E377+E378+E379+E380+E381+E382+E383+E384+E385+E386</f>
        <v>335200</v>
      </c>
      <c r="F374" s="1321">
        <f t="shared" ref="F374:L374" si="97">F375+F376+F377+F378+F379+F380+F381+F382+F383+F384+F385+F386</f>
        <v>50075</v>
      </c>
      <c r="G374" s="1314">
        <f t="shared" si="97"/>
        <v>385275</v>
      </c>
      <c r="H374" s="1317">
        <f t="shared" si="97"/>
        <v>326951.62999999995</v>
      </c>
      <c r="I374" s="1321">
        <f t="shared" si="97"/>
        <v>0</v>
      </c>
      <c r="J374" s="1326">
        <f t="shared" si="86"/>
        <v>0.84861885666082659</v>
      </c>
      <c r="K374" s="1321">
        <f t="shared" si="97"/>
        <v>310.29000000000002</v>
      </c>
      <c r="L374" s="1916">
        <f t="shared" si="97"/>
        <v>0</v>
      </c>
      <c r="M374" s="1307"/>
    </row>
    <row r="375" spans="1:13" ht="78.75" x14ac:dyDescent="0.2">
      <c r="A375" s="1302"/>
      <c r="B375" s="1302"/>
      <c r="C375" s="1303" t="s">
        <v>834</v>
      </c>
      <c r="D375" s="1313" t="s">
        <v>1069</v>
      </c>
      <c r="E375" s="1318">
        <v>48000</v>
      </c>
      <c r="F375" s="1322">
        <f>G375-E375</f>
        <v>0</v>
      </c>
      <c r="G375" s="1316" t="s">
        <v>1250</v>
      </c>
      <c r="H375" s="1325">
        <v>42312</v>
      </c>
      <c r="I375" s="1308">
        <v>0</v>
      </c>
      <c r="J375" s="1658">
        <f t="shared" si="86"/>
        <v>0.88149999999999995</v>
      </c>
      <c r="K375" s="1308">
        <v>0</v>
      </c>
      <c r="L375" s="1308">
        <v>0</v>
      </c>
      <c r="M375" s="1307"/>
    </row>
    <row r="376" spans="1:13" ht="56.25" x14ac:dyDescent="0.2">
      <c r="A376" s="1302"/>
      <c r="B376" s="1302"/>
      <c r="C376" s="1303" t="s">
        <v>633</v>
      </c>
      <c r="D376" s="1313" t="s">
        <v>1210</v>
      </c>
      <c r="E376" s="1318">
        <v>20000</v>
      </c>
      <c r="F376" s="1322">
        <f t="shared" ref="F376:F386" si="98">G376-E376</f>
        <v>4030</v>
      </c>
      <c r="G376" s="1316" t="s">
        <v>1251</v>
      </c>
      <c r="H376" s="1325">
        <v>24030</v>
      </c>
      <c r="I376" s="1308">
        <v>0</v>
      </c>
      <c r="J376" s="1658">
        <f t="shared" si="86"/>
        <v>1</v>
      </c>
      <c r="K376" s="1308">
        <v>0</v>
      </c>
      <c r="L376" s="1308">
        <v>0</v>
      </c>
      <c r="M376" s="1307"/>
    </row>
    <row r="377" spans="1:13" x14ac:dyDescent="0.2">
      <c r="A377" s="1302"/>
      <c r="B377" s="1302"/>
      <c r="C377" s="1303" t="s">
        <v>447</v>
      </c>
      <c r="D377" s="1313" t="s">
        <v>14</v>
      </c>
      <c r="E377" s="1318">
        <v>3714</v>
      </c>
      <c r="F377" s="1322">
        <f t="shared" si="98"/>
        <v>718.60999999999967</v>
      </c>
      <c r="G377" s="1316" t="s">
        <v>1252</v>
      </c>
      <c r="H377" s="1325">
        <v>3374.25</v>
      </c>
      <c r="I377" s="1308">
        <v>0</v>
      </c>
      <c r="J377" s="1658">
        <f t="shared" si="86"/>
        <v>0.76123322376658453</v>
      </c>
      <c r="K377" s="1308">
        <v>237.19</v>
      </c>
      <c r="L377" s="1308">
        <v>0</v>
      </c>
      <c r="M377" s="1307"/>
    </row>
    <row r="378" spans="1:13" x14ac:dyDescent="0.2">
      <c r="A378" s="1302"/>
      <c r="B378" s="1302"/>
      <c r="C378" s="1303" t="s">
        <v>450</v>
      </c>
      <c r="D378" s="1313" t="s">
        <v>15</v>
      </c>
      <c r="E378" s="1318">
        <v>379</v>
      </c>
      <c r="F378" s="1322">
        <f t="shared" si="98"/>
        <v>102.38999999999999</v>
      </c>
      <c r="G378" s="1316" t="s">
        <v>1253</v>
      </c>
      <c r="H378" s="1325">
        <v>291.02999999999997</v>
      </c>
      <c r="I378" s="1308">
        <v>0</v>
      </c>
      <c r="J378" s="1658">
        <f t="shared" si="86"/>
        <v>0.60456178981698827</v>
      </c>
      <c r="K378" s="1308">
        <v>24.5</v>
      </c>
      <c r="L378" s="1308">
        <v>0</v>
      </c>
      <c r="M378" s="1307"/>
    </row>
    <row r="379" spans="1:13" x14ac:dyDescent="0.2">
      <c r="A379" s="1302"/>
      <c r="B379" s="1302"/>
      <c r="C379" s="1303" t="s">
        <v>442</v>
      </c>
      <c r="D379" s="1313" t="s">
        <v>31</v>
      </c>
      <c r="E379" s="1318">
        <v>142360</v>
      </c>
      <c r="F379" s="1322">
        <f t="shared" si="98"/>
        <v>4579</v>
      </c>
      <c r="G379" s="1316" t="s">
        <v>1254</v>
      </c>
      <c r="H379" s="1325">
        <v>136823.5</v>
      </c>
      <c r="I379" s="1308">
        <v>0</v>
      </c>
      <c r="J379" s="1658">
        <f t="shared" si="86"/>
        <v>0.9311585079522795</v>
      </c>
      <c r="K379" s="1308">
        <v>0</v>
      </c>
      <c r="L379" s="1308">
        <v>0</v>
      </c>
      <c r="M379" s="1307"/>
    </row>
    <row r="380" spans="1:13" x14ac:dyDescent="0.2">
      <c r="A380" s="1302"/>
      <c r="B380" s="1302"/>
      <c r="C380" s="1303" t="s">
        <v>391</v>
      </c>
      <c r="D380" s="1313" t="s">
        <v>17</v>
      </c>
      <c r="E380" s="1318">
        <v>23649</v>
      </c>
      <c r="F380" s="1322">
        <f t="shared" si="98"/>
        <v>2256</v>
      </c>
      <c r="G380" s="1316" t="s">
        <v>1255</v>
      </c>
      <c r="H380" s="1325">
        <v>18994.7</v>
      </c>
      <c r="I380" s="1308">
        <v>0</v>
      </c>
      <c r="J380" s="1658">
        <f t="shared" si="86"/>
        <v>0.73324454738467482</v>
      </c>
      <c r="K380" s="1308">
        <v>0</v>
      </c>
      <c r="L380" s="1308">
        <v>0</v>
      </c>
      <c r="M380" s="1307"/>
    </row>
    <row r="381" spans="1:13" x14ac:dyDescent="0.2">
      <c r="A381" s="1302"/>
      <c r="B381" s="1302"/>
      <c r="C381" s="1303" t="s">
        <v>902</v>
      </c>
      <c r="D381" s="1313" t="s">
        <v>41</v>
      </c>
      <c r="E381" s="1318">
        <v>10000</v>
      </c>
      <c r="F381" s="1322">
        <f t="shared" si="98"/>
        <v>2000</v>
      </c>
      <c r="G381" s="1316" t="s">
        <v>882</v>
      </c>
      <c r="H381" s="1325">
        <v>9653.4599999999991</v>
      </c>
      <c r="I381" s="1308">
        <v>0</v>
      </c>
      <c r="J381" s="1658">
        <f t="shared" si="86"/>
        <v>0.80445499999999992</v>
      </c>
      <c r="K381" s="1308">
        <v>0</v>
      </c>
      <c r="L381" s="1308">
        <v>0</v>
      </c>
      <c r="M381" s="1307"/>
    </row>
    <row r="382" spans="1:13" x14ac:dyDescent="0.2">
      <c r="A382" s="1302"/>
      <c r="B382" s="1302"/>
      <c r="C382" s="1303" t="s">
        <v>912</v>
      </c>
      <c r="D382" s="1313" t="s">
        <v>78</v>
      </c>
      <c r="E382" s="1318">
        <v>2000</v>
      </c>
      <c r="F382" s="1322">
        <f t="shared" si="98"/>
        <v>4000</v>
      </c>
      <c r="G382" s="1316" t="s">
        <v>716</v>
      </c>
      <c r="H382" s="1325">
        <v>0</v>
      </c>
      <c r="I382" s="1308">
        <v>0</v>
      </c>
      <c r="J382" s="1658">
        <f t="shared" si="86"/>
        <v>0</v>
      </c>
      <c r="K382" s="1308">
        <v>0</v>
      </c>
      <c r="L382" s="1308">
        <v>0</v>
      </c>
      <c r="M382" s="1307"/>
    </row>
    <row r="383" spans="1:13" x14ac:dyDescent="0.2">
      <c r="A383" s="1302"/>
      <c r="B383" s="1302"/>
      <c r="C383" s="1303" t="s">
        <v>404</v>
      </c>
      <c r="D383" s="1313" t="s">
        <v>18</v>
      </c>
      <c r="E383" s="1318">
        <v>80148</v>
      </c>
      <c r="F383" s="1322">
        <f t="shared" si="98"/>
        <v>32889</v>
      </c>
      <c r="G383" s="1316" t="s">
        <v>1256</v>
      </c>
      <c r="H383" s="1325">
        <v>88210.11</v>
      </c>
      <c r="I383" s="1308">
        <v>0</v>
      </c>
      <c r="J383" s="1658">
        <f t="shared" si="86"/>
        <v>0.78036492475914965</v>
      </c>
      <c r="K383" s="1308">
        <v>48.6</v>
      </c>
      <c r="L383" s="1308">
        <v>0</v>
      </c>
      <c r="M383" s="1307"/>
    </row>
    <row r="384" spans="1:13" ht="22.5" x14ac:dyDescent="0.2">
      <c r="A384" s="1302"/>
      <c r="B384" s="1302"/>
      <c r="C384" s="1303" t="s">
        <v>468</v>
      </c>
      <c r="D384" s="1313" t="s">
        <v>919</v>
      </c>
      <c r="E384" s="1318">
        <v>2000</v>
      </c>
      <c r="F384" s="1322">
        <f t="shared" si="98"/>
        <v>0</v>
      </c>
      <c r="G384" s="1316" t="s">
        <v>668</v>
      </c>
      <c r="H384" s="1325">
        <v>1980.36</v>
      </c>
      <c r="I384" s="1308">
        <v>0</v>
      </c>
      <c r="J384" s="1658">
        <f t="shared" si="86"/>
        <v>0.99017999999999995</v>
      </c>
      <c r="K384" s="1308">
        <v>0</v>
      </c>
      <c r="L384" s="1308">
        <v>0</v>
      </c>
      <c r="M384" s="1307"/>
    </row>
    <row r="385" spans="1:13" x14ac:dyDescent="0.2">
      <c r="A385" s="1302"/>
      <c r="B385" s="1302"/>
      <c r="C385" s="1303" t="s">
        <v>1000</v>
      </c>
      <c r="D385" s="1313" t="s">
        <v>24</v>
      </c>
      <c r="E385" s="1318">
        <v>950</v>
      </c>
      <c r="F385" s="1322">
        <f t="shared" si="98"/>
        <v>-500</v>
      </c>
      <c r="G385" s="1316" t="s">
        <v>1257</v>
      </c>
      <c r="H385" s="1325">
        <v>0</v>
      </c>
      <c r="I385" s="1308">
        <v>0</v>
      </c>
      <c r="J385" s="1658">
        <f t="shared" si="86"/>
        <v>0</v>
      </c>
      <c r="K385" s="1308">
        <v>0</v>
      </c>
      <c r="L385" s="1308">
        <v>0</v>
      </c>
      <c r="M385" s="1307"/>
    </row>
    <row r="386" spans="1:13" x14ac:dyDescent="0.2">
      <c r="A386" s="1302"/>
      <c r="B386" s="1302"/>
      <c r="C386" s="1303" t="s">
        <v>897</v>
      </c>
      <c r="D386" s="1313" t="s">
        <v>19</v>
      </c>
      <c r="E386" s="1318">
        <v>2000</v>
      </c>
      <c r="F386" s="1322">
        <f t="shared" si="98"/>
        <v>0</v>
      </c>
      <c r="G386" s="1316" t="s">
        <v>668</v>
      </c>
      <c r="H386" s="1325">
        <v>1282.22</v>
      </c>
      <c r="I386" s="1308">
        <v>0</v>
      </c>
      <c r="J386" s="1658">
        <f t="shared" si="86"/>
        <v>0.64111000000000007</v>
      </c>
      <c r="K386" s="1308">
        <v>0</v>
      </c>
      <c r="L386" s="1308">
        <v>0</v>
      </c>
      <c r="M386" s="1307"/>
    </row>
    <row r="387" spans="1:13" ht="15" x14ac:dyDescent="0.2">
      <c r="A387" s="1299"/>
      <c r="B387" s="1305" t="s">
        <v>237</v>
      </c>
      <c r="C387" s="1300"/>
      <c r="D387" s="1312" t="s">
        <v>11</v>
      </c>
      <c r="E387" s="1317">
        <f>E388+E389+E390+E391</f>
        <v>12000</v>
      </c>
      <c r="F387" s="1321">
        <f t="shared" ref="F387:K387" si="99">F388+F389+F390+F391</f>
        <v>120000</v>
      </c>
      <c r="G387" s="1314">
        <f t="shared" si="99"/>
        <v>132000</v>
      </c>
      <c r="H387" s="1317">
        <f t="shared" si="99"/>
        <v>96500</v>
      </c>
      <c r="I387" s="1321">
        <f t="shared" si="99"/>
        <v>0</v>
      </c>
      <c r="J387" s="1326">
        <f t="shared" si="86"/>
        <v>0.73106060606060608</v>
      </c>
      <c r="K387" s="1321">
        <f t="shared" si="99"/>
        <v>0</v>
      </c>
      <c r="L387" s="1916">
        <f>L388+L389+L390+L391</f>
        <v>0</v>
      </c>
      <c r="M387" s="1307"/>
    </row>
    <row r="388" spans="1:13" ht="78.75" x14ac:dyDescent="0.2">
      <c r="A388" s="1302"/>
      <c r="B388" s="1302"/>
      <c r="C388" s="1303" t="s">
        <v>834</v>
      </c>
      <c r="D388" s="1313" t="s">
        <v>1069</v>
      </c>
      <c r="E388" s="1318">
        <v>10000</v>
      </c>
      <c r="F388" s="1322">
        <f>G388-E388</f>
        <v>0</v>
      </c>
      <c r="G388" s="1316" t="s">
        <v>648</v>
      </c>
      <c r="H388" s="1325">
        <v>10000</v>
      </c>
      <c r="I388" s="1308">
        <v>0</v>
      </c>
      <c r="J388" s="1658">
        <f t="shared" si="86"/>
        <v>1</v>
      </c>
      <c r="K388" s="1308">
        <v>0</v>
      </c>
      <c r="L388" s="1308">
        <v>0</v>
      </c>
      <c r="M388" s="1307"/>
    </row>
    <row r="389" spans="1:13" x14ac:dyDescent="0.2">
      <c r="A389" s="1302"/>
      <c r="B389" s="1302"/>
      <c r="C389" s="1303" t="s">
        <v>391</v>
      </c>
      <c r="D389" s="1313" t="s">
        <v>17</v>
      </c>
      <c r="E389" s="1318">
        <v>1050</v>
      </c>
      <c r="F389" s="1322">
        <f t="shared" ref="F389:F391" si="100">G389-E389</f>
        <v>0</v>
      </c>
      <c r="G389" s="1316" t="s">
        <v>1258</v>
      </c>
      <c r="H389" s="1325">
        <v>0</v>
      </c>
      <c r="I389" s="1308">
        <v>0</v>
      </c>
      <c r="J389" s="1658">
        <f t="shared" si="86"/>
        <v>0</v>
      </c>
      <c r="K389" s="1308">
        <v>0</v>
      </c>
      <c r="L389" s="1308">
        <v>0</v>
      </c>
      <c r="M389" s="1307"/>
    </row>
    <row r="390" spans="1:13" x14ac:dyDescent="0.2">
      <c r="A390" s="1302"/>
      <c r="B390" s="1302"/>
      <c r="C390" s="1303" t="s">
        <v>404</v>
      </c>
      <c r="D390" s="1313" t="s">
        <v>18</v>
      </c>
      <c r="E390" s="1318">
        <v>950</v>
      </c>
      <c r="F390" s="1322">
        <f t="shared" si="100"/>
        <v>0</v>
      </c>
      <c r="G390" s="1316" t="s">
        <v>1259</v>
      </c>
      <c r="H390" s="1325">
        <v>0</v>
      </c>
      <c r="I390" s="1308">
        <v>0</v>
      </c>
      <c r="J390" s="1658">
        <f t="shared" si="86"/>
        <v>0</v>
      </c>
      <c r="K390" s="1308">
        <v>0</v>
      </c>
      <c r="L390" s="1308">
        <v>0</v>
      </c>
      <c r="M390" s="1307"/>
    </row>
    <row r="391" spans="1:13" ht="22.5" x14ac:dyDescent="0.2">
      <c r="A391" s="1302"/>
      <c r="B391" s="1302"/>
      <c r="C391" s="1303" t="s">
        <v>179</v>
      </c>
      <c r="D391" s="1313" t="s">
        <v>75</v>
      </c>
      <c r="E391" s="1318">
        <v>0</v>
      </c>
      <c r="F391" s="1322">
        <f t="shared" si="100"/>
        <v>120000</v>
      </c>
      <c r="G391" s="1316" t="s">
        <v>1260</v>
      </c>
      <c r="H391" s="1325">
        <v>86500</v>
      </c>
      <c r="I391" s="1308">
        <v>0</v>
      </c>
      <c r="J391" s="1658">
        <f t="shared" si="86"/>
        <v>0.72083333333333333</v>
      </c>
      <c r="K391" s="1308">
        <v>0</v>
      </c>
      <c r="L391" s="1308">
        <v>0</v>
      </c>
      <c r="M391" s="1307"/>
    </row>
    <row r="392" spans="1:13" x14ac:dyDescent="0.2">
      <c r="A392" s="1334" t="s">
        <v>241</v>
      </c>
      <c r="B392" s="1334"/>
      <c r="C392" s="1334"/>
      <c r="D392" s="1335" t="s">
        <v>37</v>
      </c>
      <c r="E392" s="1336">
        <f>E393+E395+E408+E411+E414+E416+E419+E422+E441+E446+E448+E450</f>
        <v>4106594</v>
      </c>
      <c r="F392" s="1330">
        <f t="shared" ref="F392:L392" si="101">F393+F395+F408+F411+F414+F416+F419+F422+F441+F446+F448+F450</f>
        <v>1929595.3</v>
      </c>
      <c r="G392" s="1337">
        <f t="shared" si="101"/>
        <v>6036189.2999999998</v>
      </c>
      <c r="H392" s="1336">
        <f t="shared" si="101"/>
        <v>5859061.3899999997</v>
      </c>
      <c r="I392" s="1330">
        <f t="shared" si="101"/>
        <v>0</v>
      </c>
      <c r="J392" s="1333">
        <f t="shared" si="86"/>
        <v>0.97065567343953241</v>
      </c>
      <c r="K392" s="1330">
        <f t="shared" si="101"/>
        <v>99212.35</v>
      </c>
      <c r="L392" s="1917">
        <f t="shared" si="101"/>
        <v>0</v>
      </c>
      <c r="M392" s="1307"/>
    </row>
    <row r="393" spans="1:13" ht="15" x14ac:dyDescent="0.2">
      <c r="A393" s="1299"/>
      <c r="B393" s="1305" t="s">
        <v>1261</v>
      </c>
      <c r="C393" s="1300"/>
      <c r="D393" s="1312" t="s">
        <v>1262</v>
      </c>
      <c r="E393" s="1317">
        <f>E394</f>
        <v>640000</v>
      </c>
      <c r="F393" s="1321">
        <f t="shared" ref="F393:L393" si="102">F394</f>
        <v>-57500</v>
      </c>
      <c r="G393" s="1314" t="str">
        <f t="shared" si="102"/>
        <v>582 500,00</v>
      </c>
      <c r="H393" s="1317">
        <f t="shared" si="102"/>
        <v>578518.15</v>
      </c>
      <c r="I393" s="1321">
        <f t="shared" si="102"/>
        <v>0</v>
      </c>
      <c r="J393" s="1326">
        <f t="shared" si="86"/>
        <v>0.99316420600858368</v>
      </c>
      <c r="K393" s="1321">
        <f t="shared" si="102"/>
        <v>0</v>
      </c>
      <c r="L393" s="1916">
        <f t="shared" si="102"/>
        <v>0</v>
      </c>
      <c r="M393" s="1307"/>
    </row>
    <row r="394" spans="1:13" ht="33.75" x14ac:dyDescent="0.2">
      <c r="A394" s="1302"/>
      <c r="B394" s="1302"/>
      <c r="C394" s="1303" t="s">
        <v>1108</v>
      </c>
      <c r="D394" s="1313" t="s">
        <v>1109</v>
      </c>
      <c r="E394" s="1318">
        <v>640000</v>
      </c>
      <c r="F394" s="1322">
        <f>G394-E394</f>
        <v>-57500</v>
      </c>
      <c r="G394" s="1316" t="s">
        <v>1263</v>
      </c>
      <c r="H394" s="1325">
        <v>578518.15</v>
      </c>
      <c r="I394" s="1308">
        <v>0</v>
      </c>
      <c r="J394" s="1658">
        <f t="shared" si="86"/>
        <v>0.99316420600858368</v>
      </c>
      <c r="K394" s="1308">
        <v>0</v>
      </c>
      <c r="L394" s="1308">
        <v>0</v>
      </c>
      <c r="M394" s="1307"/>
    </row>
    <row r="395" spans="1:13" ht="15" x14ac:dyDescent="0.2">
      <c r="A395" s="1299"/>
      <c r="B395" s="1305" t="s">
        <v>242</v>
      </c>
      <c r="C395" s="1300"/>
      <c r="D395" s="1312" t="s">
        <v>38</v>
      </c>
      <c r="E395" s="1317">
        <f>E396+E397+E398+E399+E400+E401+E402+E403+E404+E405+E406+E407</f>
        <v>0</v>
      </c>
      <c r="F395" s="1321">
        <f t="shared" ref="F395:L395" si="103">F396+F397+F398+F399+F400+F401+F402+F403+F404+F405+F406+F407</f>
        <v>1331680</v>
      </c>
      <c r="G395" s="1314">
        <f t="shared" si="103"/>
        <v>1331680</v>
      </c>
      <c r="H395" s="1317">
        <f t="shared" si="103"/>
        <v>1279124.76</v>
      </c>
      <c r="I395" s="1321">
        <f t="shared" si="103"/>
        <v>0</v>
      </c>
      <c r="J395" s="1326">
        <f t="shared" ref="J395:J458" si="104">H395/G395</f>
        <v>0.96053463294485164</v>
      </c>
      <c r="K395" s="1321">
        <f t="shared" si="103"/>
        <v>1549.05</v>
      </c>
      <c r="L395" s="1916">
        <f t="shared" si="103"/>
        <v>0</v>
      </c>
      <c r="M395" s="1307"/>
    </row>
    <row r="396" spans="1:13" ht="22.5" x14ac:dyDescent="0.2">
      <c r="A396" s="1302"/>
      <c r="B396" s="1302"/>
      <c r="C396" s="1303" t="s">
        <v>890</v>
      </c>
      <c r="D396" s="1313" t="s">
        <v>13</v>
      </c>
      <c r="E396" s="1318">
        <v>0</v>
      </c>
      <c r="F396" s="1322">
        <f>G396-E396</f>
        <v>20300</v>
      </c>
      <c r="G396" s="1316" t="s">
        <v>1264</v>
      </c>
      <c r="H396" s="1325">
        <v>9539.9</v>
      </c>
      <c r="I396" s="1308">
        <v>0</v>
      </c>
      <c r="J396" s="1658">
        <f t="shared" si="104"/>
        <v>0.46994581280788178</v>
      </c>
      <c r="K396" s="1308">
        <v>0</v>
      </c>
      <c r="L396" s="1308">
        <v>0</v>
      </c>
      <c r="M396" s="1307"/>
    </row>
    <row r="397" spans="1:13" x14ac:dyDescent="0.2">
      <c r="A397" s="1302"/>
      <c r="B397" s="1302"/>
      <c r="C397" s="1303" t="s">
        <v>447</v>
      </c>
      <c r="D397" s="1313" t="s">
        <v>14</v>
      </c>
      <c r="E397" s="1318">
        <v>0</v>
      </c>
      <c r="F397" s="1322">
        <f t="shared" ref="F397:F407" si="105">G397-E397</f>
        <v>3471</v>
      </c>
      <c r="G397" s="1316" t="s">
        <v>1265</v>
      </c>
      <c r="H397" s="1325">
        <v>1665.67</v>
      </c>
      <c r="I397" s="1308">
        <v>0</v>
      </c>
      <c r="J397" s="1658">
        <f t="shared" si="104"/>
        <v>0.47988187842120428</v>
      </c>
      <c r="K397" s="1308">
        <v>0</v>
      </c>
      <c r="L397" s="1308">
        <v>0</v>
      </c>
      <c r="M397" s="1307"/>
    </row>
    <row r="398" spans="1:13" x14ac:dyDescent="0.2">
      <c r="A398" s="1302"/>
      <c r="B398" s="1302"/>
      <c r="C398" s="1303" t="s">
        <v>450</v>
      </c>
      <c r="D398" s="1313" t="s">
        <v>15</v>
      </c>
      <c r="E398" s="1318">
        <v>0</v>
      </c>
      <c r="F398" s="1322">
        <f t="shared" si="105"/>
        <v>367.5</v>
      </c>
      <c r="G398" s="1316" t="s">
        <v>1266</v>
      </c>
      <c r="H398" s="1325">
        <v>146.94999999999999</v>
      </c>
      <c r="I398" s="1308">
        <v>0</v>
      </c>
      <c r="J398" s="1658">
        <f t="shared" si="104"/>
        <v>0.39986394557823124</v>
      </c>
      <c r="K398" s="1308">
        <v>0</v>
      </c>
      <c r="L398" s="1308">
        <v>0</v>
      </c>
      <c r="M398" s="1307"/>
    </row>
    <row r="399" spans="1:13" x14ac:dyDescent="0.2">
      <c r="A399" s="1302"/>
      <c r="B399" s="1302"/>
      <c r="C399" s="1303" t="s">
        <v>442</v>
      </c>
      <c r="D399" s="1313" t="s">
        <v>31</v>
      </c>
      <c r="E399" s="1318">
        <v>0</v>
      </c>
      <c r="F399" s="1322">
        <f t="shared" si="105"/>
        <v>2500</v>
      </c>
      <c r="G399" s="1316" t="s">
        <v>1077</v>
      </c>
      <c r="H399" s="1325">
        <v>0</v>
      </c>
      <c r="I399" s="1308">
        <v>0</v>
      </c>
      <c r="J399" s="1658">
        <f t="shared" si="104"/>
        <v>0</v>
      </c>
      <c r="K399" s="1308">
        <v>0</v>
      </c>
      <c r="L399" s="1308">
        <v>0</v>
      </c>
      <c r="M399" s="1307"/>
    </row>
    <row r="400" spans="1:13" x14ac:dyDescent="0.2">
      <c r="A400" s="1302"/>
      <c r="B400" s="1302"/>
      <c r="C400" s="1303" t="s">
        <v>391</v>
      </c>
      <c r="D400" s="1313" t="s">
        <v>17</v>
      </c>
      <c r="E400" s="1318">
        <v>0</v>
      </c>
      <c r="F400" s="1322">
        <f t="shared" si="105"/>
        <v>140101</v>
      </c>
      <c r="G400" s="1316" t="s">
        <v>1267</v>
      </c>
      <c r="H400" s="1325">
        <v>129364.96</v>
      </c>
      <c r="I400" s="1308">
        <v>0</v>
      </c>
      <c r="J400" s="1658">
        <f t="shared" si="104"/>
        <v>0.92336928358826853</v>
      </c>
      <c r="K400" s="1308">
        <v>0</v>
      </c>
      <c r="L400" s="1308">
        <v>0</v>
      </c>
      <c r="M400" s="1307"/>
    </row>
    <row r="401" spans="1:13" x14ac:dyDescent="0.2">
      <c r="A401" s="1302"/>
      <c r="B401" s="1302"/>
      <c r="C401" s="1303" t="s">
        <v>1139</v>
      </c>
      <c r="D401" s="1313" t="s">
        <v>40</v>
      </c>
      <c r="E401" s="1318">
        <v>0</v>
      </c>
      <c r="F401" s="1322">
        <f t="shared" si="105"/>
        <v>2000</v>
      </c>
      <c r="G401" s="1316" t="s">
        <v>668</v>
      </c>
      <c r="H401" s="1325">
        <v>558.76</v>
      </c>
      <c r="I401" s="1308">
        <v>0</v>
      </c>
      <c r="J401" s="1658">
        <f t="shared" si="104"/>
        <v>0.27938000000000002</v>
      </c>
      <c r="K401" s="1308">
        <v>0</v>
      </c>
      <c r="L401" s="1308">
        <v>0</v>
      </c>
      <c r="M401" s="1307"/>
    </row>
    <row r="402" spans="1:13" x14ac:dyDescent="0.2">
      <c r="A402" s="1302"/>
      <c r="B402" s="1302"/>
      <c r="C402" s="1303" t="s">
        <v>902</v>
      </c>
      <c r="D402" s="1313" t="s">
        <v>41</v>
      </c>
      <c r="E402" s="1318">
        <v>0</v>
      </c>
      <c r="F402" s="1322">
        <f t="shared" si="105"/>
        <v>1000</v>
      </c>
      <c r="G402" s="1316" t="s">
        <v>680</v>
      </c>
      <c r="H402" s="1325">
        <v>0</v>
      </c>
      <c r="I402" s="1308">
        <v>0</v>
      </c>
      <c r="J402" s="1658">
        <f t="shared" si="104"/>
        <v>0</v>
      </c>
      <c r="K402" s="1308">
        <v>0</v>
      </c>
      <c r="L402" s="1308">
        <v>0</v>
      </c>
      <c r="M402" s="1307"/>
    </row>
    <row r="403" spans="1:13" x14ac:dyDescent="0.2">
      <c r="A403" s="1302"/>
      <c r="B403" s="1302"/>
      <c r="C403" s="1303" t="s">
        <v>992</v>
      </c>
      <c r="D403" s="1313" t="s">
        <v>42</v>
      </c>
      <c r="E403" s="1318">
        <v>0</v>
      </c>
      <c r="F403" s="1322">
        <f t="shared" si="105"/>
        <v>702</v>
      </c>
      <c r="G403" s="1316" t="s">
        <v>1268</v>
      </c>
      <c r="H403" s="1325">
        <v>240</v>
      </c>
      <c r="I403" s="1308">
        <v>0</v>
      </c>
      <c r="J403" s="1658">
        <f t="shared" si="104"/>
        <v>0.34188034188034189</v>
      </c>
      <c r="K403" s="1308">
        <v>0</v>
      </c>
      <c r="L403" s="1308">
        <v>0</v>
      </c>
      <c r="M403" s="1307"/>
    </row>
    <row r="404" spans="1:13" x14ac:dyDescent="0.2">
      <c r="A404" s="1302"/>
      <c r="B404" s="1302"/>
      <c r="C404" s="1303" t="s">
        <v>404</v>
      </c>
      <c r="D404" s="1313" t="s">
        <v>18</v>
      </c>
      <c r="E404" s="1318">
        <v>0</v>
      </c>
      <c r="F404" s="1322">
        <f t="shared" si="105"/>
        <v>26162.5</v>
      </c>
      <c r="G404" s="1316" t="s">
        <v>1269</v>
      </c>
      <c r="H404" s="1325">
        <v>11024.82</v>
      </c>
      <c r="I404" s="1308">
        <v>0</v>
      </c>
      <c r="J404" s="1658">
        <f t="shared" si="104"/>
        <v>0.42139780219780221</v>
      </c>
      <c r="K404" s="1308">
        <v>0</v>
      </c>
      <c r="L404" s="1308">
        <v>0</v>
      </c>
      <c r="M404" s="1307"/>
    </row>
    <row r="405" spans="1:13" ht="22.5" x14ac:dyDescent="0.2">
      <c r="A405" s="1302"/>
      <c r="B405" s="1302"/>
      <c r="C405" s="1303" t="s">
        <v>468</v>
      </c>
      <c r="D405" s="1313" t="s">
        <v>919</v>
      </c>
      <c r="E405" s="1318">
        <v>0</v>
      </c>
      <c r="F405" s="1322">
        <f t="shared" si="105"/>
        <v>100</v>
      </c>
      <c r="G405" s="1316" t="s">
        <v>1270</v>
      </c>
      <c r="H405" s="1325">
        <v>0</v>
      </c>
      <c r="I405" s="1308">
        <v>0</v>
      </c>
      <c r="J405" s="1658">
        <f t="shared" si="104"/>
        <v>0</v>
      </c>
      <c r="K405" s="1308">
        <v>0</v>
      </c>
      <c r="L405" s="1308">
        <v>0</v>
      </c>
      <c r="M405" s="1307"/>
    </row>
    <row r="406" spans="1:13" ht="22.5" x14ac:dyDescent="0.2">
      <c r="A406" s="1302"/>
      <c r="B406" s="1302"/>
      <c r="C406" s="1303" t="s">
        <v>1003</v>
      </c>
      <c r="D406" s="1313" t="s">
        <v>44</v>
      </c>
      <c r="E406" s="1318">
        <v>0</v>
      </c>
      <c r="F406" s="1322">
        <f t="shared" si="105"/>
        <v>4126</v>
      </c>
      <c r="G406" s="1316" t="s">
        <v>1271</v>
      </c>
      <c r="H406" s="1325">
        <v>225.28</v>
      </c>
      <c r="I406" s="1308">
        <v>0</v>
      </c>
      <c r="J406" s="1658">
        <f t="shared" si="104"/>
        <v>5.4600096946194859E-2</v>
      </c>
      <c r="K406" s="1308">
        <v>0</v>
      </c>
      <c r="L406" s="1308">
        <v>0</v>
      </c>
      <c r="M406" s="1307"/>
    </row>
    <row r="407" spans="1:13" ht="22.5" x14ac:dyDescent="0.2">
      <c r="A407" s="1302"/>
      <c r="B407" s="1302"/>
      <c r="C407" s="1303" t="s">
        <v>147</v>
      </c>
      <c r="D407" s="1313" t="s">
        <v>45</v>
      </c>
      <c r="E407" s="1318">
        <v>0</v>
      </c>
      <c r="F407" s="1322">
        <f t="shared" si="105"/>
        <v>1130850</v>
      </c>
      <c r="G407" s="1316" t="s">
        <v>1272</v>
      </c>
      <c r="H407" s="1325">
        <v>1126358.42</v>
      </c>
      <c r="I407" s="1308">
        <v>0</v>
      </c>
      <c r="J407" s="1658">
        <f t="shared" si="104"/>
        <v>0.99602813812618818</v>
      </c>
      <c r="K407" s="1308">
        <v>1549.05</v>
      </c>
      <c r="L407" s="1308">
        <v>0</v>
      </c>
      <c r="M407" s="1307"/>
    </row>
    <row r="408" spans="1:13" ht="22.5" x14ac:dyDescent="0.2">
      <c r="A408" s="1299"/>
      <c r="B408" s="1305" t="s">
        <v>1273</v>
      </c>
      <c r="C408" s="1300"/>
      <c r="D408" s="1312" t="s">
        <v>1274</v>
      </c>
      <c r="E408" s="1317">
        <f>E409+E410</f>
        <v>5000</v>
      </c>
      <c r="F408" s="1321">
        <f t="shared" ref="F408:L408" si="106">F409+F410</f>
        <v>-2800</v>
      </c>
      <c r="G408" s="1314">
        <f t="shared" si="106"/>
        <v>2200</v>
      </c>
      <c r="H408" s="1317">
        <f t="shared" si="106"/>
        <v>1971.23</v>
      </c>
      <c r="I408" s="1321">
        <f t="shared" si="106"/>
        <v>0</v>
      </c>
      <c r="J408" s="1326">
        <f t="shared" si="104"/>
        <v>0.8960136363636364</v>
      </c>
      <c r="K408" s="1321">
        <f t="shared" si="106"/>
        <v>0</v>
      </c>
      <c r="L408" s="1916">
        <f t="shared" si="106"/>
        <v>0</v>
      </c>
      <c r="M408" s="1307"/>
    </row>
    <row r="409" spans="1:13" x14ac:dyDescent="0.2">
      <c r="A409" s="1302"/>
      <c r="B409" s="1302"/>
      <c r="C409" s="1303" t="s">
        <v>391</v>
      </c>
      <c r="D409" s="1313" t="s">
        <v>17</v>
      </c>
      <c r="E409" s="1318">
        <v>1000</v>
      </c>
      <c r="F409" s="1322">
        <f>G409-E409</f>
        <v>0</v>
      </c>
      <c r="G409" s="1316" t="s">
        <v>680</v>
      </c>
      <c r="H409" s="1325">
        <v>771.23</v>
      </c>
      <c r="I409" s="1308">
        <v>0</v>
      </c>
      <c r="J409" s="1658">
        <f t="shared" si="104"/>
        <v>0.77122999999999997</v>
      </c>
      <c r="K409" s="1308">
        <v>0</v>
      </c>
      <c r="L409" s="1308">
        <v>0</v>
      </c>
      <c r="M409" s="1307"/>
    </row>
    <row r="410" spans="1:13" x14ac:dyDescent="0.2">
      <c r="A410" s="1302"/>
      <c r="B410" s="1302"/>
      <c r="C410" s="1303" t="s">
        <v>404</v>
      </c>
      <c r="D410" s="1313" t="s">
        <v>18</v>
      </c>
      <c r="E410" s="1318">
        <v>4000</v>
      </c>
      <c r="F410" s="1322">
        <f>G410-E410</f>
        <v>-2800</v>
      </c>
      <c r="G410" s="1316" t="s">
        <v>1163</v>
      </c>
      <c r="H410" s="1325">
        <v>1200</v>
      </c>
      <c r="I410" s="1308">
        <v>0</v>
      </c>
      <c r="J410" s="1658">
        <f t="shared" si="104"/>
        <v>1</v>
      </c>
      <c r="K410" s="1308">
        <v>0</v>
      </c>
      <c r="L410" s="1308">
        <v>0</v>
      </c>
      <c r="M410" s="1307"/>
    </row>
    <row r="411" spans="1:13" ht="67.5" x14ac:dyDescent="0.2">
      <c r="A411" s="1299"/>
      <c r="B411" s="1305" t="s">
        <v>816</v>
      </c>
      <c r="C411" s="1300"/>
      <c r="D411" s="1312" t="s">
        <v>817</v>
      </c>
      <c r="E411" s="1317">
        <f>E412+E413</f>
        <v>111851</v>
      </c>
      <c r="F411" s="1321">
        <f t="shared" ref="F411:L411" si="107">F412+F413</f>
        <v>4000</v>
      </c>
      <c r="G411" s="1314">
        <f t="shared" si="107"/>
        <v>115851</v>
      </c>
      <c r="H411" s="1317">
        <f t="shared" si="107"/>
        <v>111931.8</v>
      </c>
      <c r="I411" s="1321">
        <f t="shared" si="107"/>
        <v>0</v>
      </c>
      <c r="J411" s="1326">
        <f t="shared" si="104"/>
        <v>0.96617033948779041</v>
      </c>
      <c r="K411" s="1321">
        <f t="shared" si="107"/>
        <v>0</v>
      </c>
      <c r="L411" s="1916">
        <f t="shared" si="107"/>
        <v>0</v>
      </c>
      <c r="M411" s="1307"/>
    </row>
    <row r="412" spans="1:13" ht="78.75" x14ac:dyDescent="0.2">
      <c r="A412" s="1302"/>
      <c r="B412" s="1302"/>
      <c r="C412" s="1303" t="s">
        <v>821</v>
      </c>
      <c r="D412" s="1313" t="s">
        <v>1275</v>
      </c>
      <c r="E412" s="1318">
        <v>250</v>
      </c>
      <c r="F412" s="1322">
        <f>G412-E412</f>
        <v>0</v>
      </c>
      <c r="G412" s="1316" t="s">
        <v>818</v>
      </c>
      <c r="H412" s="1325">
        <v>93.6</v>
      </c>
      <c r="I412" s="1308">
        <v>0</v>
      </c>
      <c r="J412" s="1658">
        <f t="shared" si="104"/>
        <v>0.37439999999999996</v>
      </c>
      <c r="K412" s="1308">
        <v>0</v>
      </c>
      <c r="L412" s="1308">
        <v>0</v>
      </c>
      <c r="M412" s="1307"/>
    </row>
    <row r="413" spans="1:13" x14ac:dyDescent="0.2">
      <c r="A413" s="1302"/>
      <c r="B413" s="1302"/>
      <c r="C413" s="1303" t="s">
        <v>1276</v>
      </c>
      <c r="D413" s="1313" t="s">
        <v>47</v>
      </c>
      <c r="E413" s="1318">
        <v>111601</v>
      </c>
      <c r="F413" s="1322">
        <f>G413-E413</f>
        <v>4000</v>
      </c>
      <c r="G413" s="1316" t="s">
        <v>1277</v>
      </c>
      <c r="H413" s="1325">
        <v>111838.2</v>
      </c>
      <c r="I413" s="1308">
        <v>0</v>
      </c>
      <c r="J413" s="1658">
        <f t="shared" si="104"/>
        <v>0.96745010856307467</v>
      </c>
      <c r="K413" s="1308">
        <v>0</v>
      </c>
      <c r="L413" s="1308">
        <v>0</v>
      </c>
      <c r="M413" s="1307"/>
    </row>
    <row r="414" spans="1:13" ht="33.75" x14ac:dyDescent="0.2">
      <c r="A414" s="1299"/>
      <c r="B414" s="1305" t="s">
        <v>823</v>
      </c>
      <c r="C414" s="1300"/>
      <c r="D414" s="1312" t="s">
        <v>82</v>
      </c>
      <c r="E414" s="1317">
        <f>E415</f>
        <v>396560</v>
      </c>
      <c r="F414" s="1321">
        <f t="shared" ref="F414:L414" si="108">F415</f>
        <v>90940</v>
      </c>
      <c r="G414" s="1314" t="str">
        <f t="shared" si="108"/>
        <v>487 500,00</v>
      </c>
      <c r="H414" s="1317">
        <f t="shared" si="108"/>
        <v>484256.95</v>
      </c>
      <c r="I414" s="1321">
        <f t="shared" si="108"/>
        <v>0</v>
      </c>
      <c r="J414" s="1326">
        <f t="shared" si="104"/>
        <v>0.99334758974358972</v>
      </c>
      <c r="K414" s="1321">
        <f t="shared" si="108"/>
        <v>15711</v>
      </c>
      <c r="L414" s="1916">
        <f t="shared" si="108"/>
        <v>0</v>
      </c>
      <c r="M414" s="1307"/>
    </row>
    <row r="415" spans="1:13" x14ac:dyDescent="0.2">
      <c r="A415" s="1302"/>
      <c r="B415" s="1302"/>
      <c r="C415" s="1303" t="s">
        <v>1279</v>
      </c>
      <c r="D415" s="1313" t="s">
        <v>54</v>
      </c>
      <c r="E415" s="1318">
        <v>396560</v>
      </c>
      <c r="F415" s="1322">
        <f>G415-E415</f>
        <v>90940</v>
      </c>
      <c r="G415" s="1316" t="s">
        <v>1278</v>
      </c>
      <c r="H415" s="1325">
        <v>484256.95</v>
      </c>
      <c r="I415" s="1308">
        <v>0</v>
      </c>
      <c r="J415" s="1658">
        <f t="shared" si="104"/>
        <v>0.99334758974358972</v>
      </c>
      <c r="K415" s="1308">
        <v>15711</v>
      </c>
      <c r="L415" s="1308">
        <v>0</v>
      </c>
      <c r="M415" s="1307"/>
    </row>
    <row r="416" spans="1:13" ht="15" x14ac:dyDescent="0.2">
      <c r="A416" s="1299"/>
      <c r="B416" s="1305" t="s">
        <v>825</v>
      </c>
      <c r="C416" s="1300"/>
      <c r="D416" s="1312" t="s">
        <v>48</v>
      </c>
      <c r="E416" s="1317">
        <f>E417+E418</f>
        <v>400000</v>
      </c>
      <c r="F416" s="1321">
        <f t="shared" ref="F416:L416" si="109">F417+F418</f>
        <v>-48500</v>
      </c>
      <c r="G416" s="1314">
        <f t="shared" si="109"/>
        <v>351500</v>
      </c>
      <c r="H416" s="1317">
        <f t="shared" si="109"/>
        <v>343678.42</v>
      </c>
      <c r="I416" s="1321">
        <f t="shared" si="109"/>
        <v>0</v>
      </c>
      <c r="J416" s="1326">
        <f t="shared" si="104"/>
        <v>0.97774799431009951</v>
      </c>
      <c r="K416" s="1321">
        <f t="shared" si="109"/>
        <v>0</v>
      </c>
      <c r="L416" s="1916">
        <f t="shared" si="109"/>
        <v>0</v>
      </c>
      <c r="M416" s="1307"/>
    </row>
    <row r="417" spans="1:13" x14ac:dyDescent="0.2">
      <c r="A417" s="1302"/>
      <c r="B417" s="1302"/>
      <c r="C417" s="1303" t="s">
        <v>1279</v>
      </c>
      <c r="D417" s="1313" t="s">
        <v>54</v>
      </c>
      <c r="E417" s="1318">
        <v>400000</v>
      </c>
      <c r="F417" s="1322">
        <f>G417-E417</f>
        <v>-48862.75</v>
      </c>
      <c r="G417" s="1316" t="s">
        <v>1280</v>
      </c>
      <c r="H417" s="1325">
        <v>343450.54</v>
      </c>
      <c r="I417" s="1308">
        <v>0</v>
      </c>
      <c r="J417" s="1658">
        <f t="shared" si="104"/>
        <v>0.97810910121327199</v>
      </c>
      <c r="K417" s="1308">
        <v>0</v>
      </c>
      <c r="L417" s="1308">
        <v>0</v>
      </c>
      <c r="M417" s="1307"/>
    </row>
    <row r="418" spans="1:13" x14ac:dyDescent="0.2">
      <c r="A418" s="1302"/>
      <c r="B418" s="1302"/>
      <c r="C418" s="1303" t="s">
        <v>391</v>
      </c>
      <c r="D418" s="1313" t="s">
        <v>17</v>
      </c>
      <c r="E418" s="1318">
        <v>0</v>
      </c>
      <c r="F418" s="1322">
        <f>G418-E418</f>
        <v>362.75</v>
      </c>
      <c r="G418" s="1316" t="s">
        <v>1281</v>
      </c>
      <c r="H418" s="1325">
        <v>227.88</v>
      </c>
      <c r="I418" s="1308">
        <v>0</v>
      </c>
      <c r="J418" s="1658">
        <f t="shared" si="104"/>
        <v>0.62820124052377668</v>
      </c>
      <c r="K418" s="1308">
        <v>0</v>
      </c>
      <c r="L418" s="1308">
        <v>0</v>
      </c>
      <c r="M418" s="1307"/>
    </row>
    <row r="419" spans="1:13" ht="15" x14ac:dyDescent="0.2">
      <c r="A419" s="1299"/>
      <c r="B419" s="1305" t="s">
        <v>827</v>
      </c>
      <c r="C419" s="1300"/>
      <c r="D419" s="1312" t="s">
        <v>83</v>
      </c>
      <c r="E419" s="1317">
        <f>E420+E421</f>
        <v>274446</v>
      </c>
      <c r="F419" s="1321">
        <f t="shared" ref="F419:L419" si="110">F420+F421</f>
        <v>158554</v>
      </c>
      <c r="G419" s="1314">
        <f t="shared" si="110"/>
        <v>433000</v>
      </c>
      <c r="H419" s="1317">
        <f t="shared" si="110"/>
        <v>432365.67</v>
      </c>
      <c r="I419" s="1321">
        <f t="shared" si="110"/>
        <v>0</v>
      </c>
      <c r="J419" s="1326">
        <f t="shared" si="104"/>
        <v>0.9985350346420323</v>
      </c>
      <c r="K419" s="1321">
        <f t="shared" si="110"/>
        <v>645</v>
      </c>
      <c r="L419" s="1916">
        <f t="shared" si="110"/>
        <v>0</v>
      </c>
      <c r="M419" s="1307"/>
    </row>
    <row r="420" spans="1:13" ht="78.75" x14ac:dyDescent="0.2">
      <c r="A420" s="1302"/>
      <c r="B420" s="1302"/>
      <c r="C420" s="1303" t="s">
        <v>821</v>
      </c>
      <c r="D420" s="1313" t="s">
        <v>1275</v>
      </c>
      <c r="E420" s="1318">
        <v>500</v>
      </c>
      <c r="F420" s="1322">
        <f>G420-E420</f>
        <v>500</v>
      </c>
      <c r="G420" s="1316" t="s">
        <v>680</v>
      </c>
      <c r="H420" s="1325">
        <v>474.88</v>
      </c>
      <c r="I420" s="1308">
        <v>0</v>
      </c>
      <c r="J420" s="1658">
        <f t="shared" si="104"/>
        <v>0.47487999999999997</v>
      </c>
      <c r="K420" s="1308">
        <v>0</v>
      </c>
      <c r="L420" s="1308">
        <v>0</v>
      </c>
      <c r="M420" s="1307"/>
    </row>
    <row r="421" spans="1:13" x14ac:dyDescent="0.2">
      <c r="A421" s="1302"/>
      <c r="B421" s="1302"/>
      <c r="C421" s="1303" t="s">
        <v>1279</v>
      </c>
      <c r="D421" s="1313" t="s">
        <v>54</v>
      </c>
      <c r="E421" s="1318">
        <v>273946</v>
      </c>
      <c r="F421" s="1322">
        <f>G421-E421</f>
        <v>158054</v>
      </c>
      <c r="G421" s="1316" t="s">
        <v>828</v>
      </c>
      <c r="H421" s="1325">
        <v>431890.79</v>
      </c>
      <c r="I421" s="1308">
        <v>0</v>
      </c>
      <c r="J421" s="1658">
        <f t="shared" si="104"/>
        <v>0.99974719907407406</v>
      </c>
      <c r="K421" s="1308">
        <v>645</v>
      </c>
      <c r="L421" s="1308">
        <v>0</v>
      </c>
      <c r="M421" s="1307"/>
    </row>
    <row r="422" spans="1:13" ht="15" x14ac:dyDescent="0.2">
      <c r="A422" s="1299"/>
      <c r="B422" s="1305" t="s">
        <v>829</v>
      </c>
      <c r="C422" s="1300"/>
      <c r="D422" s="1312" t="s">
        <v>84</v>
      </c>
      <c r="E422" s="1317">
        <f>E423+E424+E425+E426+E427+E428+E429+E430+E431+E432+E433+E434+E435+E436+E437+E438+E439+E440</f>
        <v>1408561</v>
      </c>
      <c r="F422" s="1321">
        <f t="shared" ref="F422:L422" si="111">F423+F424+F425+F426+F427+F428+F429+F430+F431+F432+F433+F434+F435+F436+F437+F438+F439+F440</f>
        <v>117397.30000000002</v>
      </c>
      <c r="G422" s="1314">
        <f t="shared" si="111"/>
        <v>1525958.2999999998</v>
      </c>
      <c r="H422" s="1317">
        <f t="shared" si="111"/>
        <v>1444719.6999999997</v>
      </c>
      <c r="I422" s="1321">
        <f t="shared" si="111"/>
        <v>0</v>
      </c>
      <c r="J422" s="1326">
        <f t="shared" si="104"/>
        <v>0.94676224114381102</v>
      </c>
      <c r="K422" s="1321">
        <f t="shared" si="111"/>
        <v>81307.3</v>
      </c>
      <c r="L422" s="1916">
        <f t="shared" si="111"/>
        <v>0</v>
      </c>
      <c r="M422" s="1307"/>
    </row>
    <row r="423" spans="1:13" ht="22.5" x14ac:dyDescent="0.2">
      <c r="A423" s="1302"/>
      <c r="B423" s="1302"/>
      <c r="C423" s="1303" t="s">
        <v>956</v>
      </c>
      <c r="D423" s="1313" t="s">
        <v>957</v>
      </c>
      <c r="E423" s="1318">
        <v>10557</v>
      </c>
      <c r="F423" s="1322">
        <f>G423-E423</f>
        <v>-1000</v>
      </c>
      <c r="G423" s="1316" t="s">
        <v>1282</v>
      </c>
      <c r="H423" s="1325">
        <v>8447.09</v>
      </c>
      <c r="I423" s="1308">
        <v>0</v>
      </c>
      <c r="J423" s="1658">
        <f t="shared" si="104"/>
        <v>0.88386418332112593</v>
      </c>
      <c r="K423" s="1308">
        <v>0</v>
      </c>
      <c r="L423" s="1308">
        <v>0</v>
      </c>
      <c r="M423" s="1307"/>
    </row>
    <row r="424" spans="1:13" ht="22.5" x14ac:dyDescent="0.2">
      <c r="A424" s="1302"/>
      <c r="B424" s="1302"/>
      <c r="C424" s="1303" t="s">
        <v>890</v>
      </c>
      <c r="D424" s="1313" t="s">
        <v>13</v>
      </c>
      <c r="E424" s="1318">
        <v>859818</v>
      </c>
      <c r="F424" s="1322">
        <f t="shared" ref="F424:F440" si="112">G424-E424</f>
        <v>89239.75</v>
      </c>
      <c r="G424" s="1316" t="s">
        <v>1283</v>
      </c>
      <c r="H424" s="1325">
        <v>940453.53</v>
      </c>
      <c r="I424" s="1308">
        <v>0</v>
      </c>
      <c r="J424" s="1658">
        <f t="shared" si="104"/>
        <v>0.99093393421000986</v>
      </c>
      <c r="K424" s="1308">
        <v>0</v>
      </c>
      <c r="L424" s="1308">
        <v>0</v>
      </c>
      <c r="M424" s="1307"/>
    </row>
    <row r="425" spans="1:13" x14ac:dyDescent="0.2">
      <c r="A425" s="1302"/>
      <c r="B425" s="1302"/>
      <c r="C425" s="1303" t="s">
        <v>959</v>
      </c>
      <c r="D425" s="1313" t="s">
        <v>960</v>
      </c>
      <c r="E425" s="1318">
        <v>65395</v>
      </c>
      <c r="F425" s="1322">
        <f t="shared" si="112"/>
        <v>-799.13999999999942</v>
      </c>
      <c r="G425" s="1316" t="s">
        <v>1284</v>
      </c>
      <c r="H425" s="1325">
        <v>64595.86</v>
      </c>
      <c r="I425" s="1308">
        <v>0</v>
      </c>
      <c r="J425" s="1658">
        <f t="shared" si="104"/>
        <v>1</v>
      </c>
      <c r="K425" s="1308">
        <v>61975.7</v>
      </c>
      <c r="L425" s="1308">
        <v>0</v>
      </c>
      <c r="M425" s="1307"/>
    </row>
    <row r="426" spans="1:13" x14ac:dyDescent="0.2">
      <c r="A426" s="1302"/>
      <c r="B426" s="1302"/>
      <c r="C426" s="1303" t="s">
        <v>447</v>
      </c>
      <c r="D426" s="1313" t="s">
        <v>14</v>
      </c>
      <c r="E426" s="1318">
        <v>163144</v>
      </c>
      <c r="F426" s="1322">
        <f t="shared" si="112"/>
        <v>2121.4100000000035</v>
      </c>
      <c r="G426" s="1316" t="s">
        <v>1285</v>
      </c>
      <c r="H426" s="1325">
        <v>161450.92000000001</v>
      </c>
      <c r="I426" s="1308">
        <v>0</v>
      </c>
      <c r="J426" s="1658">
        <f t="shared" si="104"/>
        <v>0.97691900561648082</v>
      </c>
      <c r="K426" s="1308">
        <v>10820.99</v>
      </c>
      <c r="L426" s="1308">
        <v>0</v>
      </c>
      <c r="M426" s="1307"/>
    </row>
    <row r="427" spans="1:13" x14ac:dyDescent="0.2">
      <c r="A427" s="1302"/>
      <c r="B427" s="1302"/>
      <c r="C427" s="1303" t="s">
        <v>450</v>
      </c>
      <c r="D427" s="1313" t="s">
        <v>15</v>
      </c>
      <c r="E427" s="1318">
        <v>22895</v>
      </c>
      <c r="F427" s="1322">
        <f t="shared" si="112"/>
        <v>-3263.8600000000006</v>
      </c>
      <c r="G427" s="1316" t="s">
        <v>1286</v>
      </c>
      <c r="H427" s="1325">
        <v>17781.05</v>
      </c>
      <c r="I427" s="1308">
        <v>0</v>
      </c>
      <c r="J427" s="1658">
        <f t="shared" si="104"/>
        <v>0.90575738342246048</v>
      </c>
      <c r="K427" s="1308">
        <v>1363.67</v>
      </c>
      <c r="L427" s="1308">
        <v>0</v>
      </c>
      <c r="M427" s="1307"/>
    </row>
    <row r="428" spans="1:13" ht="22.5" x14ac:dyDescent="0.2">
      <c r="A428" s="1302"/>
      <c r="B428" s="1302"/>
      <c r="C428" s="1303" t="s">
        <v>985</v>
      </c>
      <c r="D428" s="1313" t="s">
        <v>986</v>
      </c>
      <c r="E428" s="1318">
        <v>5000</v>
      </c>
      <c r="F428" s="1322">
        <f t="shared" si="112"/>
        <v>-4500</v>
      </c>
      <c r="G428" s="1316" t="s">
        <v>1287</v>
      </c>
      <c r="H428" s="1325">
        <v>332</v>
      </c>
      <c r="I428" s="1308">
        <v>0</v>
      </c>
      <c r="J428" s="1658">
        <f t="shared" si="104"/>
        <v>0.66400000000000003</v>
      </c>
      <c r="K428" s="1308">
        <v>0</v>
      </c>
      <c r="L428" s="1308">
        <v>0</v>
      </c>
      <c r="M428" s="1307"/>
    </row>
    <row r="429" spans="1:13" x14ac:dyDescent="0.2">
      <c r="A429" s="1302"/>
      <c r="B429" s="1302"/>
      <c r="C429" s="1303" t="s">
        <v>442</v>
      </c>
      <c r="D429" s="1313" t="s">
        <v>31</v>
      </c>
      <c r="E429" s="1318">
        <v>10000</v>
      </c>
      <c r="F429" s="1322">
        <f t="shared" si="112"/>
        <v>-5000</v>
      </c>
      <c r="G429" s="1316" t="s">
        <v>859</v>
      </c>
      <c r="H429" s="1325">
        <v>5000</v>
      </c>
      <c r="I429" s="1308">
        <v>0</v>
      </c>
      <c r="J429" s="1658">
        <f t="shared" si="104"/>
        <v>1</v>
      </c>
      <c r="K429" s="1308">
        <v>0</v>
      </c>
      <c r="L429" s="1308">
        <v>0</v>
      </c>
      <c r="M429" s="1307"/>
    </row>
    <row r="430" spans="1:13" x14ac:dyDescent="0.2">
      <c r="A430" s="1302"/>
      <c r="B430" s="1302"/>
      <c r="C430" s="1303" t="s">
        <v>391</v>
      </c>
      <c r="D430" s="1313" t="s">
        <v>17</v>
      </c>
      <c r="E430" s="1318">
        <v>63000</v>
      </c>
      <c r="F430" s="1322">
        <f t="shared" si="112"/>
        <v>-19700</v>
      </c>
      <c r="G430" s="1316" t="s">
        <v>1288</v>
      </c>
      <c r="H430" s="1325">
        <v>42744.14</v>
      </c>
      <c r="I430" s="1308">
        <v>0</v>
      </c>
      <c r="J430" s="1658">
        <f t="shared" si="104"/>
        <v>0.98716258660508083</v>
      </c>
      <c r="K430" s="1308">
        <v>0</v>
      </c>
      <c r="L430" s="1308">
        <v>0</v>
      </c>
      <c r="M430" s="1307"/>
    </row>
    <row r="431" spans="1:13" x14ac:dyDescent="0.2">
      <c r="A431" s="1302"/>
      <c r="B431" s="1302"/>
      <c r="C431" s="1303" t="s">
        <v>902</v>
      </c>
      <c r="D431" s="1313" t="s">
        <v>41</v>
      </c>
      <c r="E431" s="1318">
        <v>43000</v>
      </c>
      <c r="F431" s="1322">
        <f t="shared" si="112"/>
        <v>-19000</v>
      </c>
      <c r="G431" s="1316" t="s">
        <v>1289</v>
      </c>
      <c r="H431" s="1325">
        <v>22670.74</v>
      </c>
      <c r="I431" s="1308">
        <v>0</v>
      </c>
      <c r="J431" s="1658">
        <f t="shared" si="104"/>
        <v>0.94461416666666675</v>
      </c>
      <c r="K431" s="1308">
        <v>2774.81</v>
      </c>
      <c r="L431" s="1308">
        <v>0</v>
      </c>
      <c r="M431" s="1307"/>
    </row>
    <row r="432" spans="1:13" x14ac:dyDescent="0.2">
      <c r="A432" s="1302"/>
      <c r="B432" s="1302"/>
      <c r="C432" s="1303" t="s">
        <v>912</v>
      </c>
      <c r="D432" s="1313" t="s">
        <v>78</v>
      </c>
      <c r="E432" s="1318">
        <v>1500</v>
      </c>
      <c r="F432" s="1322">
        <f t="shared" si="112"/>
        <v>-1000</v>
      </c>
      <c r="G432" s="1316" t="s">
        <v>1287</v>
      </c>
      <c r="H432" s="1325">
        <v>184.5</v>
      </c>
      <c r="I432" s="1308">
        <v>0</v>
      </c>
      <c r="J432" s="1658">
        <f t="shared" si="104"/>
        <v>0.36899999999999999</v>
      </c>
      <c r="K432" s="1308">
        <v>0</v>
      </c>
      <c r="L432" s="1308">
        <v>0</v>
      </c>
      <c r="M432" s="1307"/>
    </row>
    <row r="433" spans="1:13" x14ac:dyDescent="0.2">
      <c r="A433" s="1302"/>
      <c r="B433" s="1302"/>
      <c r="C433" s="1303" t="s">
        <v>992</v>
      </c>
      <c r="D433" s="1313" t="s">
        <v>42</v>
      </c>
      <c r="E433" s="1318">
        <v>2000</v>
      </c>
      <c r="F433" s="1322">
        <f t="shared" si="112"/>
        <v>-600</v>
      </c>
      <c r="G433" s="1316" t="s">
        <v>1290</v>
      </c>
      <c r="H433" s="1325">
        <v>1305</v>
      </c>
      <c r="I433" s="1308">
        <v>0</v>
      </c>
      <c r="J433" s="1658">
        <f t="shared" si="104"/>
        <v>0.93214285714285716</v>
      </c>
      <c r="K433" s="1308">
        <v>0</v>
      </c>
      <c r="L433" s="1308">
        <v>0</v>
      </c>
      <c r="M433" s="1307"/>
    </row>
    <row r="434" spans="1:13" x14ac:dyDescent="0.2">
      <c r="A434" s="1302"/>
      <c r="B434" s="1302"/>
      <c r="C434" s="1303" t="s">
        <v>404</v>
      </c>
      <c r="D434" s="1313" t="s">
        <v>18</v>
      </c>
      <c r="E434" s="1318">
        <v>75000</v>
      </c>
      <c r="F434" s="1322">
        <f t="shared" si="112"/>
        <v>79214.140000000014</v>
      </c>
      <c r="G434" s="1316" t="s">
        <v>1291</v>
      </c>
      <c r="H434" s="1325">
        <v>96482.13</v>
      </c>
      <c r="I434" s="1308">
        <v>0</v>
      </c>
      <c r="J434" s="1658">
        <f t="shared" si="104"/>
        <v>0.62563737670229203</v>
      </c>
      <c r="K434" s="1308">
        <v>4372.13</v>
      </c>
      <c r="L434" s="1308">
        <v>0</v>
      </c>
      <c r="M434" s="1307"/>
    </row>
    <row r="435" spans="1:13" ht="22.5" x14ac:dyDescent="0.2">
      <c r="A435" s="1302"/>
      <c r="B435" s="1302"/>
      <c r="C435" s="1303" t="s">
        <v>468</v>
      </c>
      <c r="D435" s="1313" t="s">
        <v>919</v>
      </c>
      <c r="E435" s="1318">
        <v>11000</v>
      </c>
      <c r="F435" s="1322">
        <f t="shared" si="112"/>
        <v>0</v>
      </c>
      <c r="G435" s="1316" t="s">
        <v>736</v>
      </c>
      <c r="H435" s="1325">
        <v>10440.64</v>
      </c>
      <c r="I435" s="1308">
        <v>0</v>
      </c>
      <c r="J435" s="1658">
        <f t="shared" si="104"/>
        <v>0.94914909090909083</v>
      </c>
      <c r="K435" s="1308">
        <v>0</v>
      </c>
      <c r="L435" s="1308">
        <v>0</v>
      </c>
      <c r="M435" s="1307"/>
    </row>
    <row r="436" spans="1:13" ht="22.5" x14ac:dyDescent="0.2">
      <c r="A436" s="1302"/>
      <c r="B436" s="1302"/>
      <c r="C436" s="1303" t="s">
        <v>997</v>
      </c>
      <c r="D436" s="1313" t="s">
        <v>998</v>
      </c>
      <c r="E436" s="1318">
        <v>22000</v>
      </c>
      <c r="F436" s="1322">
        <f t="shared" si="112"/>
        <v>-1600</v>
      </c>
      <c r="G436" s="1316" t="s">
        <v>1292</v>
      </c>
      <c r="H436" s="1325">
        <v>20400</v>
      </c>
      <c r="I436" s="1308">
        <v>0</v>
      </c>
      <c r="J436" s="1658">
        <f t="shared" si="104"/>
        <v>1</v>
      </c>
      <c r="K436" s="1308">
        <v>0</v>
      </c>
      <c r="L436" s="1308">
        <v>0</v>
      </c>
      <c r="M436" s="1307"/>
    </row>
    <row r="437" spans="1:13" x14ac:dyDescent="0.2">
      <c r="A437" s="1302"/>
      <c r="B437" s="1302"/>
      <c r="C437" s="1303" t="s">
        <v>1000</v>
      </c>
      <c r="D437" s="1313" t="s">
        <v>24</v>
      </c>
      <c r="E437" s="1318">
        <v>14000</v>
      </c>
      <c r="F437" s="1322">
        <f t="shared" si="112"/>
        <v>0</v>
      </c>
      <c r="G437" s="1316" t="s">
        <v>1293</v>
      </c>
      <c r="H437" s="1325">
        <v>11688.91</v>
      </c>
      <c r="I437" s="1308">
        <v>0</v>
      </c>
      <c r="J437" s="1658">
        <f t="shared" si="104"/>
        <v>0.83492214285714283</v>
      </c>
      <c r="K437" s="1308">
        <v>0</v>
      </c>
      <c r="L437" s="1308">
        <v>0</v>
      </c>
      <c r="M437" s="1307"/>
    </row>
    <row r="438" spans="1:13" x14ac:dyDescent="0.2">
      <c r="A438" s="1302"/>
      <c r="B438" s="1302"/>
      <c r="C438" s="1303" t="s">
        <v>897</v>
      </c>
      <c r="D438" s="1313" t="s">
        <v>19</v>
      </c>
      <c r="E438" s="1318">
        <v>1000</v>
      </c>
      <c r="F438" s="1322">
        <f t="shared" si="112"/>
        <v>0</v>
      </c>
      <c r="G438" s="1316" t="s">
        <v>680</v>
      </c>
      <c r="H438" s="1325">
        <v>693.5</v>
      </c>
      <c r="I438" s="1308">
        <v>0</v>
      </c>
      <c r="J438" s="1658">
        <f t="shared" si="104"/>
        <v>0.69350000000000001</v>
      </c>
      <c r="K438" s="1308">
        <v>0</v>
      </c>
      <c r="L438" s="1308">
        <v>0</v>
      </c>
      <c r="M438" s="1307"/>
    </row>
    <row r="439" spans="1:13" ht="22.5" x14ac:dyDescent="0.2">
      <c r="A439" s="1302"/>
      <c r="B439" s="1302"/>
      <c r="C439" s="1303" t="s">
        <v>1003</v>
      </c>
      <c r="D439" s="1313" t="s">
        <v>44</v>
      </c>
      <c r="E439" s="1318">
        <v>29252</v>
      </c>
      <c r="F439" s="1322">
        <f t="shared" si="112"/>
        <v>1285</v>
      </c>
      <c r="G439" s="1316" t="s">
        <v>1294</v>
      </c>
      <c r="H439" s="1325">
        <v>30537</v>
      </c>
      <c r="I439" s="1308">
        <v>0</v>
      </c>
      <c r="J439" s="1658">
        <f t="shared" si="104"/>
        <v>1</v>
      </c>
      <c r="K439" s="1308">
        <v>0</v>
      </c>
      <c r="L439" s="1308">
        <v>0</v>
      </c>
      <c r="M439" s="1307"/>
    </row>
    <row r="440" spans="1:13" ht="22.5" x14ac:dyDescent="0.2">
      <c r="A440" s="1302"/>
      <c r="B440" s="1302"/>
      <c r="C440" s="1303" t="s">
        <v>966</v>
      </c>
      <c r="D440" s="1313" t="s">
        <v>967</v>
      </c>
      <c r="E440" s="1318">
        <v>10000</v>
      </c>
      <c r="F440" s="1322">
        <f t="shared" si="112"/>
        <v>2000</v>
      </c>
      <c r="G440" s="1316" t="s">
        <v>882</v>
      </c>
      <c r="H440" s="1325">
        <v>9512.69</v>
      </c>
      <c r="I440" s="1308">
        <v>0</v>
      </c>
      <c r="J440" s="1658">
        <f t="shared" si="104"/>
        <v>0.79272416666666667</v>
      </c>
      <c r="K440" s="1308">
        <v>0</v>
      </c>
      <c r="L440" s="1308">
        <v>0</v>
      </c>
      <c r="M440" s="1307"/>
    </row>
    <row r="441" spans="1:13" ht="22.5" x14ac:dyDescent="0.2">
      <c r="A441" s="1299"/>
      <c r="B441" s="1305" t="s">
        <v>831</v>
      </c>
      <c r="C441" s="1300"/>
      <c r="D441" s="1312" t="s">
        <v>50</v>
      </c>
      <c r="E441" s="1317">
        <f>E442+E443+E444+E445</f>
        <v>576176</v>
      </c>
      <c r="F441" s="1321">
        <f t="shared" ref="F441:L441" si="113">F442+F443+F444+F445</f>
        <v>146824</v>
      </c>
      <c r="G441" s="1314">
        <f t="shared" si="113"/>
        <v>723000</v>
      </c>
      <c r="H441" s="1317">
        <f t="shared" si="113"/>
        <v>699598</v>
      </c>
      <c r="I441" s="1321">
        <f t="shared" si="113"/>
        <v>0</v>
      </c>
      <c r="J441" s="1326">
        <f t="shared" si="104"/>
        <v>0.96763208852005533</v>
      </c>
      <c r="K441" s="1321">
        <f t="shared" si="113"/>
        <v>0</v>
      </c>
      <c r="L441" s="1916">
        <f t="shared" si="113"/>
        <v>0</v>
      </c>
      <c r="M441" s="1307"/>
    </row>
    <row r="442" spans="1:13" ht="22.5" x14ac:dyDescent="0.2">
      <c r="A442" s="1302"/>
      <c r="B442" s="1302"/>
      <c r="C442" s="1303" t="s">
        <v>890</v>
      </c>
      <c r="D442" s="1313" t="s">
        <v>13</v>
      </c>
      <c r="E442" s="1318">
        <v>0</v>
      </c>
      <c r="F442" s="1322">
        <f>G442-E442</f>
        <v>0</v>
      </c>
      <c r="G442" s="1316" t="s">
        <v>636</v>
      </c>
      <c r="H442" s="1325">
        <v>0</v>
      </c>
      <c r="I442" s="1308">
        <v>0</v>
      </c>
      <c r="J442" s="1658">
        <v>0</v>
      </c>
      <c r="K442" s="1308">
        <v>0</v>
      </c>
      <c r="L442" s="1308">
        <v>0</v>
      </c>
      <c r="M442" s="1307"/>
    </row>
    <row r="443" spans="1:13" x14ac:dyDescent="0.2">
      <c r="A443" s="1302"/>
      <c r="B443" s="1302"/>
      <c r="C443" s="1303" t="s">
        <v>447</v>
      </c>
      <c r="D443" s="1313" t="s">
        <v>14</v>
      </c>
      <c r="E443" s="1318">
        <v>0</v>
      </c>
      <c r="F443" s="1322">
        <f t="shared" ref="F443:F445" si="114">G443-E443</f>
        <v>0</v>
      </c>
      <c r="G443" s="1316" t="s">
        <v>636</v>
      </c>
      <c r="H443" s="1325">
        <v>0</v>
      </c>
      <c r="I443" s="1308">
        <v>0</v>
      </c>
      <c r="J443" s="1658">
        <v>0</v>
      </c>
      <c r="K443" s="1308">
        <v>0</v>
      </c>
      <c r="L443" s="1308">
        <v>0</v>
      </c>
      <c r="M443" s="1307"/>
    </row>
    <row r="444" spans="1:13" x14ac:dyDescent="0.2">
      <c r="A444" s="1302"/>
      <c r="B444" s="1302"/>
      <c r="C444" s="1303" t="s">
        <v>450</v>
      </c>
      <c r="D444" s="1313" t="s">
        <v>15</v>
      </c>
      <c r="E444" s="1318">
        <v>0</v>
      </c>
      <c r="F444" s="1322">
        <f t="shared" si="114"/>
        <v>0</v>
      </c>
      <c r="G444" s="1316" t="s">
        <v>636</v>
      </c>
      <c r="H444" s="1325">
        <v>0</v>
      </c>
      <c r="I444" s="1308">
        <v>0</v>
      </c>
      <c r="J444" s="1658">
        <v>0</v>
      </c>
      <c r="K444" s="1308">
        <v>0</v>
      </c>
      <c r="L444" s="1308">
        <v>0</v>
      </c>
      <c r="M444" s="1307"/>
    </row>
    <row r="445" spans="1:13" x14ac:dyDescent="0.2">
      <c r="A445" s="1302"/>
      <c r="B445" s="1302"/>
      <c r="C445" s="1303" t="s">
        <v>404</v>
      </c>
      <c r="D445" s="1313" t="s">
        <v>18</v>
      </c>
      <c r="E445" s="1318">
        <v>576176</v>
      </c>
      <c r="F445" s="1322">
        <f t="shared" si="114"/>
        <v>146824</v>
      </c>
      <c r="G445" s="1316" t="s">
        <v>1295</v>
      </c>
      <c r="H445" s="1325">
        <v>699598</v>
      </c>
      <c r="I445" s="1308">
        <v>0</v>
      </c>
      <c r="J445" s="1658">
        <f t="shared" si="104"/>
        <v>0.96763208852005533</v>
      </c>
      <c r="K445" s="1308">
        <v>0</v>
      </c>
      <c r="L445" s="1308">
        <v>0</v>
      </c>
      <c r="M445" s="1307"/>
    </row>
    <row r="446" spans="1:13" ht="15" x14ac:dyDescent="0.2">
      <c r="A446" s="1299"/>
      <c r="B446" s="1305" t="s">
        <v>837</v>
      </c>
      <c r="C446" s="1300"/>
      <c r="D446" s="1312" t="s">
        <v>85</v>
      </c>
      <c r="E446" s="1317">
        <f>E447</f>
        <v>130000</v>
      </c>
      <c r="F446" s="1321">
        <f t="shared" ref="F446:L446" si="115">F447</f>
        <v>195000</v>
      </c>
      <c r="G446" s="1314" t="str">
        <f t="shared" si="115"/>
        <v>325 000,00</v>
      </c>
      <c r="H446" s="1317">
        <f t="shared" si="115"/>
        <v>325000</v>
      </c>
      <c r="I446" s="1321">
        <f t="shared" si="115"/>
        <v>0</v>
      </c>
      <c r="J446" s="1326">
        <f t="shared" si="104"/>
        <v>1</v>
      </c>
      <c r="K446" s="1321">
        <f t="shared" si="115"/>
        <v>0</v>
      </c>
      <c r="L446" s="1916">
        <f t="shared" si="115"/>
        <v>0</v>
      </c>
      <c r="M446" s="1307"/>
    </row>
    <row r="447" spans="1:13" x14ac:dyDescent="0.2">
      <c r="A447" s="1302"/>
      <c r="B447" s="1302"/>
      <c r="C447" s="1303" t="s">
        <v>1279</v>
      </c>
      <c r="D447" s="1313" t="s">
        <v>54</v>
      </c>
      <c r="E447" s="1318">
        <v>130000</v>
      </c>
      <c r="F447" s="1322">
        <f>G447-E447</f>
        <v>195000</v>
      </c>
      <c r="G447" s="1316" t="s">
        <v>1296</v>
      </c>
      <c r="H447" s="1325">
        <v>325000</v>
      </c>
      <c r="I447" s="1308">
        <v>0</v>
      </c>
      <c r="J447" s="1658">
        <f t="shared" si="104"/>
        <v>1</v>
      </c>
      <c r="K447" s="1308">
        <v>0</v>
      </c>
      <c r="L447" s="1308">
        <v>0</v>
      </c>
      <c r="M447" s="1307"/>
    </row>
    <row r="448" spans="1:13" ht="15" x14ac:dyDescent="0.2">
      <c r="A448" s="1299"/>
      <c r="B448" s="1305" t="s">
        <v>1297</v>
      </c>
      <c r="C448" s="1300"/>
      <c r="D448" s="1312" t="s">
        <v>318</v>
      </c>
      <c r="E448" s="1317">
        <f>E449</f>
        <v>150000</v>
      </c>
      <c r="F448" s="1321">
        <f t="shared" ref="F448:L448" si="116">F449</f>
        <v>0</v>
      </c>
      <c r="G448" s="1314" t="str">
        <f t="shared" si="116"/>
        <v>150 000,00</v>
      </c>
      <c r="H448" s="1317">
        <f t="shared" si="116"/>
        <v>150000</v>
      </c>
      <c r="I448" s="1321">
        <f t="shared" si="116"/>
        <v>0</v>
      </c>
      <c r="J448" s="1326">
        <f t="shared" si="104"/>
        <v>1</v>
      </c>
      <c r="K448" s="1321">
        <f t="shared" si="116"/>
        <v>0</v>
      </c>
      <c r="L448" s="1916">
        <f t="shared" si="116"/>
        <v>0</v>
      </c>
      <c r="M448" s="1307"/>
    </row>
    <row r="449" spans="1:13" ht="22.5" x14ac:dyDescent="0.2">
      <c r="A449" s="1302"/>
      <c r="B449" s="1302"/>
      <c r="C449" s="1303" t="s">
        <v>924</v>
      </c>
      <c r="D449" s="1313" t="s">
        <v>317</v>
      </c>
      <c r="E449" s="1318">
        <v>150000</v>
      </c>
      <c r="F449" s="1322">
        <f>G449-E449</f>
        <v>0</v>
      </c>
      <c r="G449" s="1316" t="s">
        <v>1298</v>
      </c>
      <c r="H449" s="1325">
        <v>150000</v>
      </c>
      <c r="I449" s="1308">
        <v>0</v>
      </c>
      <c r="J449" s="1658">
        <f t="shared" si="104"/>
        <v>1</v>
      </c>
      <c r="K449" s="1308">
        <v>0</v>
      </c>
      <c r="L449" s="1308">
        <v>0</v>
      </c>
      <c r="M449" s="1307"/>
    </row>
    <row r="450" spans="1:13" ht="15" x14ac:dyDescent="0.2">
      <c r="A450" s="1299"/>
      <c r="B450" s="1305" t="s">
        <v>1299</v>
      </c>
      <c r="C450" s="1300"/>
      <c r="D450" s="1312" t="s">
        <v>11</v>
      </c>
      <c r="E450" s="1317">
        <f>E451+E452</f>
        <v>14000</v>
      </c>
      <c r="F450" s="1321">
        <f t="shared" ref="F450:L450" si="117">F451+F452</f>
        <v>-6000</v>
      </c>
      <c r="G450" s="1314">
        <f t="shared" si="117"/>
        <v>8000</v>
      </c>
      <c r="H450" s="1317">
        <f t="shared" si="117"/>
        <v>7896.71</v>
      </c>
      <c r="I450" s="1321">
        <f t="shared" si="117"/>
        <v>0</v>
      </c>
      <c r="J450" s="1326">
        <f t="shared" si="104"/>
        <v>0.98708874999999996</v>
      </c>
      <c r="K450" s="1321">
        <f t="shared" si="117"/>
        <v>0</v>
      </c>
      <c r="L450" s="1916">
        <f t="shared" si="117"/>
        <v>0</v>
      </c>
      <c r="M450" s="1307"/>
    </row>
    <row r="451" spans="1:13" x14ac:dyDescent="0.2">
      <c r="A451" s="1302"/>
      <c r="B451" s="1302"/>
      <c r="C451" s="1303" t="s">
        <v>391</v>
      </c>
      <c r="D451" s="1313" t="s">
        <v>17</v>
      </c>
      <c r="E451" s="1318">
        <v>6000</v>
      </c>
      <c r="F451" s="1322">
        <f>G451-E451</f>
        <v>0</v>
      </c>
      <c r="G451" s="1316" t="s">
        <v>716</v>
      </c>
      <c r="H451" s="1325">
        <v>5896.71</v>
      </c>
      <c r="I451" s="1308">
        <v>0</v>
      </c>
      <c r="J451" s="1658">
        <f t="shared" si="104"/>
        <v>0.98278500000000002</v>
      </c>
      <c r="K451" s="1308">
        <v>0</v>
      </c>
      <c r="L451" s="1308">
        <v>0</v>
      </c>
      <c r="M451" s="1307"/>
    </row>
    <row r="452" spans="1:13" x14ac:dyDescent="0.2">
      <c r="A452" s="1302"/>
      <c r="B452" s="1302"/>
      <c r="C452" s="1303" t="s">
        <v>404</v>
      </c>
      <c r="D452" s="1313" t="s">
        <v>18</v>
      </c>
      <c r="E452" s="1318">
        <v>8000</v>
      </c>
      <c r="F452" s="1322">
        <f>G452-E452</f>
        <v>-6000</v>
      </c>
      <c r="G452" s="1316" t="s">
        <v>668</v>
      </c>
      <c r="H452" s="1325">
        <v>2000</v>
      </c>
      <c r="I452" s="1308">
        <v>0</v>
      </c>
      <c r="J452" s="1658">
        <f t="shared" si="104"/>
        <v>1</v>
      </c>
      <c r="K452" s="1308">
        <v>0</v>
      </c>
      <c r="L452" s="1308">
        <v>0</v>
      </c>
      <c r="M452" s="1307"/>
    </row>
    <row r="453" spans="1:13" ht="22.5" x14ac:dyDescent="0.2">
      <c r="A453" s="1334" t="s">
        <v>839</v>
      </c>
      <c r="B453" s="1334"/>
      <c r="C453" s="1334"/>
      <c r="D453" s="1335" t="s">
        <v>333</v>
      </c>
      <c r="E453" s="1336">
        <f>E454</f>
        <v>574662.73</v>
      </c>
      <c r="F453" s="1330">
        <f t="shared" ref="F453:L453" si="118">F454</f>
        <v>240615.84999999998</v>
      </c>
      <c r="G453" s="1337">
        <f t="shared" si="118"/>
        <v>815278.58</v>
      </c>
      <c r="H453" s="1336">
        <f t="shared" si="118"/>
        <v>690873.36999999988</v>
      </c>
      <c r="I453" s="1330">
        <f t="shared" si="118"/>
        <v>0</v>
      </c>
      <c r="J453" s="1333">
        <f t="shared" si="104"/>
        <v>0.8474077290243538</v>
      </c>
      <c r="K453" s="1330">
        <f t="shared" si="118"/>
        <v>57438</v>
      </c>
      <c r="L453" s="1917">
        <f t="shared" si="118"/>
        <v>0</v>
      </c>
      <c r="M453" s="1307"/>
    </row>
    <row r="454" spans="1:13" ht="15" x14ac:dyDescent="0.2">
      <c r="A454" s="1299"/>
      <c r="B454" s="1305" t="s">
        <v>840</v>
      </c>
      <c r="C454" s="1300"/>
      <c r="D454" s="1312" t="s">
        <v>11</v>
      </c>
      <c r="E454" s="1317">
        <f>E455+E456+E457+E458+E459+E460+E461+E462+E463+E464+E465+E466+E467+E468+E469+E470+E471+E472+E473</f>
        <v>574662.73</v>
      </c>
      <c r="F454" s="1321">
        <f t="shared" ref="F454:L454" si="119">F455+F456+F457+F458+F459+F460+F461+F462+F463+F464+F465+F466+F467+F468+F469+F470+F471+F472+F473</f>
        <v>240615.84999999998</v>
      </c>
      <c r="G454" s="1314">
        <f t="shared" si="119"/>
        <v>815278.58</v>
      </c>
      <c r="H454" s="1317">
        <f t="shared" si="119"/>
        <v>690873.36999999988</v>
      </c>
      <c r="I454" s="1321">
        <f t="shared" si="119"/>
        <v>0</v>
      </c>
      <c r="J454" s="1326">
        <f t="shared" si="104"/>
        <v>0.8474077290243538</v>
      </c>
      <c r="K454" s="1321">
        <f t="shared" si="119"/>
        <v>57438</v>
      </c>
      <c r="L454" s="1916">
        <f t="shared" si="119"/>
        <v>0</v>
      </c>
      <c r="M454" s="1307"/>
    </row>
    <row r="455" spans="1:13" ht="78.75" x14ac:dyDescent="0.2">
      <c r="A455" s="1302"/>
      <c r="B455" s="1302"/>
      <c r="C455" s="1303" t="s">
        <v>834</v>
      </c>
      <c r="D455" s="1313" t="s">
        <v>1069</v>
      </c>
      <c r="E455" s="1318">
        <v>4000</v>
      </c>
      <c r="F455" s="1322">
        <f>G455-E455</f>
        <v>600</v>
      </c>
      <c r="G455" s="1316" t="s">
        <v>1300</v>
      </c>
      <c r="H455" s="1325">
        <v>4600</v>
      </c>
      <c r="I455" s="1308">
        <v>0</v>
      </c>
      <c r="J455" s="1658">
        <f t="shared" si="104"/>
        <v>1</v>
      </c>
      <c r="K455" s="1308">
        <v>0</v>
      </c>
      <c r="L455" s="1308">
        <v>0</v>
      </c>
      <c r="M455" s="1307"/>
    </row>
    <row r="456" spans="1:13" x14ac:dyDescent="0.2">
      <c r="A456" s="1302"/>
      <c r="B456" s="1302"/>
      <c r="C456" s="1303" t="s">
        <v>1301</v>
      </c>
      <c r="D456" s="1313" t="s">
        <v>54</v>
      </c>
      <c r="E456" s="1318">
        <v>99649.600000000006</v>
      </c>
      <c r="F456" s="1322">
        <f t="shared" ref="F456:F473" si="120">G456-E456</f>
        <v>43681.139999999985</v>
      </c>
      <c r="G456" s="1316" t="s">
        <v>1302</v>
      </c>
      <c r="H456" s="1325">
        <v>139639.16</v>
      </c>
      <c r="I456" s="1308">
        <v>0</v>
      </c>
      <c r="J456" s="1658">
        <f t="shared" si="104"/>
        <v>0.97424432469964228</v>
      </c>
      <c r="K456" s="1308">
        <v>0</v>
      </c>
      <c r="L456" s="1308">
        <v>0</v>
      </c>
      <c r="M456" s="1307"/>
    </row>
    <row r="457" spans="1:13" x14ac:dyDescent="0.2">
      <c r="A457" s="1302"/>
      <c r="B457" s="1302"/>
      <c r="C457" s="1303" t="s">
        <v>1303</v>
      </c>
      <c r="D457" s="1313" t="s">
        <v>54</v>
      </c>
      <c r="E457" s="1318">
        <v>70200</v>
      </c>
      <c r="F457" s="1322">
        <f t="shared" si="120"/>
        <v>0</v>
      </c>
      <c r="G457" s="1316" t="s">
        <v>1304</v>
      </c>
      <c r="H457" s="1325">
        <v>70200</v>
      </c>
      <c r="I457" s="1308">
        <v>0</v>
      </c>
      <c r="J457" s="1658">
        <f t="shared" si="104"/>
        <v>1</v>
      </c>
      <c r="K457" s="1308">
        <v>0</v>
      </c>
      <c r="L457" s="1308">
        <v>0</v>
      </c>
      <c r="M457" s="1307"/>
    </row>
    <row r="458" spans="1:13" ht="22.5" x14ac:dyDescent="0.2">
      <c r="A458" s="1302"/>
      <c r="B458" s="1302"/>
      <c r="C458" s="1303" t="s">
        <v>1215</v>
      </c>
      <c r="D458" s="1313" t="s">
        <v>13</v>
      </c>
      <c r="E458" s="1318">
        <v>79786.149999999994</v>
      </c>
      <c r="F458" s="1322">
        <f t="shared" si="120"/>
        <v>31559.010000000009</v>
      </c>
      <c r="G458" s="1316" t="s">
        <v>1305</v>
      </c>
      <c r="H458" s="1325">
        <v>80760.62</v>
      </c>
      <c r="I458" s="1308">
        <v>0</v>
      </c>
      <c r="J458" s="1658">
        <f t="shared" si="104"/>
        <v>0.72531774169618146</v>
      </c>
      <c r="K458" s="1308">
        <v>0</v>
      </c>
      <c r="L458" s="1308">
        <v>0</v>
      </c>
      <c r="M458" s="1307"/>
    </row>
    <row r="459" spans="1:13" ht="22.5" x14ac:dyDescent="0.2">
      <c r="A459" s="1302"/>
      <c r="B459" s="1302"/>
      <c r="C459" s="1303" t="s">
        <v>1217</v>
      </c>
      <c r="D459" s="1313" t="s">
        <v>13</v>
      </c>
      <c r="E459" s="1318">
        <v>5857.19</v>
      </c>
      <c r="F459" s="1322">
        <f t="shared" si="120"/>
        <v>1367.9000000000005</v>
      </c>
      <c r="G459" s="1316" t="s">
        <v>1306</v>
      </c>
      <c r="H459" s="1325">
        <v>6172.01</v>
      </c>
      <c r="I459" s="1308">
        <v>0</v>
      </c>
      <c r="J459" s="1658">
        <f t="shared" ref="J459:J522" si="121">H459/G459</f>
        <v>0.8542467983097789</v>
      </c>
      <c r="K459" s="1308">
        <v>0</v>
      </c>
      <c r="L459" s="1308">
        <v>0</v>
      </c>
      <c r="M459" s="1307"/>
    </row>
    <row r="460" spans="1:13" x14ac:dyDescent="0.2">
      <c r="A460" s="1302"/>
      <c r="B460" s="1302"/>
      <c r="C460" s="1303" t="s">
        <v>1220</v>
      </c>
      <c r="D460" s="1313" t="s">
        <v>14</v>
      </c>
      <c r="E460" s="1318">
        <v>13931.23</v>
      </c>
      <c r="F460" s="1322">
        <f t="shared" si="120"/>
        <v>14325.05</v>
      </c>
      <c r="G460" s="1316" t="s">
        <v>1307</v>
      </c>
      <c r="H460" s="1325">
        <v>21938.29</v>
      </c>
      <c r="I460" s="1308">
        <v>0</v>
      </c>
      <c r="J460" s="1658">
        <f t="shared" si="121"/>
        <v>0.77640404186255241</v>
      </c>
      <c r="K460" s="1308">
        <v>652.34</v>
      </c>
      <c r="L460" s="1308">
        <v>0</v>
      </c>
      <c r="M460" s="1307"/>
    </row>
    <row r="461" spans="1:13" x14ac:dyDescent="0.2">
      <c r="A461" s="1302"/>
      <c r="B461" s="1302"/>
      <c r="C461" s="1303" t="s">
        <v>1222</v>
      </c>
      <c r="D461" s="1313" t="s">
        <v>14</v>
      </c>
      <c r="E461" s="1318">
        <v>1022.73</v>
      </c>
      <c r="F461" s="1322">
        <f t="shared" si="120"/>
        <v>238.76999999999998</v>
      </c>
      <c r="G461" s="1316" t="s">
        <v>1308</v>
      </c>
      <c r="H461" s="1325">
        <v>1077.6099999999999</v>
      </c>
      <c r="I461" s="1308">
        <v>0</v>
      </c>
      <c r="J461" s="1658">
        <f t="shared" si="121"/>
        <v>0.85422909235037647</v>
      </c>
      <c r="K461" s="1308">
        <v>0</v>
      </c>
      <c r="L461" s="1308">
        <v>0</v>
      </c>
      <c r="M461" s="1307"/>
    </row>
    <row r="462" spans="1:13" x14ac:dyDescent="0.2">
      <c r="A462" s="1302"/>
      <c r="B462" s="1302"/>
      <c r="C462" s="1303" t="s">
        <v>1225</v>
      </c>
      <c r="D462" s="1313" t="s">
        <v>15</v>
      </c>
      <c r="E462" s="1318">
        <v>1955.13</v>
      </c>
      <c r="F462" s="1322">
        <f t="shared" si="120"/>
        <v>1687.9099999999999</v>
      </c>
      <c r="G462" s="1316" t="s">
        <v>1309</v>
      </c>
      <c r="H462" s="1325">
        <v>2524.17</v>
      </c>
      <c r="I462" s="1308">
        <v>0</v>
      </c>
      <c r="J462" s="1658">
        <f t="shared" si="121"/>
        <v>0.69287463217532608</v>
      </c>
      <c r="K462" s="1308">
        <v>91.52</v>
      </c>
      <c r="L462" s="1308">
        <v>0</v>
      </c>
      <c r="M462" s="1307"/>
    </row>
    <row r="463" spans="1:13" x14ac:dyDescent="0.2">
      <c r="A463" s="1302"/>
      <c r="B463" s="1302"/>
      <c r="C463" s="1303" t="s">
        <v>1227</v>
      </c>
      <c r="D463" s="1313" t="s">
        <v>15</v>
      </c>
      <c r="E463" s="1318">
        <v>143.55000000000001</v>
      </c>
      <c r="F463" s="1322">
        <f t="shared" si="120"/>
        <v>34.769999999999982</v>
      </c>
      <c r="G463" s="1316" t="s">
        <v>1310</v>
      </c>
      <c r="H463" s="1325">
        <v>138.85</v>
      </c>
      <c r="I463" s="1308">
        <v>0</v>
      </c>
      <c r="J463" s="1658">
        <f t="shared" si="121"/>
        <v>0.77865634813817852</v>
      </c>
      <c r="K463" s="1308">
        <v>0</v>
      </c>
      <c r="L463" s="1308">
        <v>0</v>
      </c>
      <c r="M463" s="1307"/>
    </row>
    <row r="464" spans="1:13" x14ac:dyDescent="0.2">
      <c r="A464" s="1302"/>
      <c r="B464" s="1302"/>
      <c r="C464" s="1303" t="s">
        <v>1311</v>
      </c>
      <c r="D464" s="1313" t="s">
        <v>47</v>
      </c>
      <c r="E464" s="1318">
        <v>6523.2</v>
      </c>
      <c r="F464" s="1322">
        <f t="shared" si="120"/>
        <v>599.15999999999985</v>
      </c>
      <c r="G464" s="1316" t="s">
        <v>1312</v>
      </c>
      <c r="H464" s="1325">
        <v>7121.16</v>
      </c>
      <c r="I464" s="1308">
        <v>0</v>
      </c>
      <c r="J464" s="1658">
        <f t="shared" si="121"/>
        <v>0.99983151651980529</v>
      </c>
      <c r="K464" s="1308">
        <v>0</v>
      </c>
      <c r="L464" s="1308">
        <v>0</v>
      </c>
      <c r="M464" s="1307"/>
    </row>
    <row r="465" spans="1:13" x14ac:dyDescent="0.2">
      <c r="A465" s="1302"/>
      <c r="B465" s="1302"/>
      <c r="C465" s="1303" t="s">
        <v>1313</v>
      </c>
      <c r="D465" s="1313" t="s">
        <v>31</v>
      </c>
      <c r="E465" s="1318">
        <v>49600</v>
      </c>
      <c r="F465" s="1322">
        <f t="shared" si="120"/>
        <v>2560.7699999999968</v>
      </c>
      <c r="G465" s="1316" t="s">
        <v>1314</v>
      </c>
      <c r="H465" s="1325">
        <v>37783.17</v>
      </c>
      <c r="I465" s="1308">
        <v>0</v>
      </c>
      <c r="J465" s="1658">
        <f t="shared" si="121"/>
        <v>0.72435989729446093</v>
      </c>
      <c r="K465" s="1308">
        <v>12346.14</v>
      </c>
      <c r="L465" s="1308">
        <v>0</v>
      </c>
      <c r="M465" s="1307"/>
    </row>
    <row r="466" spans="1:13" x14ac:dyDescent="0.2">
      <c r="A466" s="1302"/>
      <c r="B466" s="1302"/>
      <c r="C466" s="1303" t="s">
        <v>1231</v>
      </c>
      <c r="D466" s="1313" t="s">
        <v>17</v>
      </c>
      <c r="E466" s="1318">
        <v>751.58</v>
      </c>
      <c r="F466" s="1322">
        <f t="shared" si="120"/>
        <v>8241.11</v>
      </c>
      <c r="G466" s="1316" t="s">
        <v>1315</v>
      </c>
      <c r="H466" s="1325">
        <v>8992.58</v>
      </c>
      <c r="I466" s="1308">
        <v>0</v>
      </c>
      <c r="J466" s="1658">
        <f t="shared" si="121"/>
        <v>0.99998776784254761</v>
      </c>
      <c r="K466" s="1308">
        <v>0</v>
      </c>
      <c r="L466" s="1308">
        <v>0</v>
      </c>
      <c r="M466" s="1307"/>
    </row>
    <row r="467" spans="1:13" x14ac:dyDescent="0.2">
      <c r="A467" s="1302"/>
      <c r="B467" s="1302"/>
      <c r="C467" s="1303" t="s">
        <v>1233</v>
      </c>
      <c r="D467" s="1313" t="s">
        <v>17</v>
      </c>
      <c r="E467" s="1318">
        <v>88.42</v>
      </c>
      <c r="F467" s="1322">
        <f t="shared" si="120"/>
        <v>0</v>
      </c>
      <c r="G467" s="1316" t="s">
        <v>1316</v>
      </c>
      <c r="H467" s="1325">
        <v>88.42</v>
      </c>
      <c r="I467" s="1308">
        <v>0</v>
      </c>
      <c r="J467" s="1658">
        <f t="shared" si="121"/>
        <v>1</v>
      </c>
      <c r="K467" s="1308">
        <v>0</v>
      </c>
      <c r="L467" s="1308">
        <v>0</v>
      </c>
      <c r="M467" s="1307"/>
    </row>
    <row r="468" spans="1:13" x14ac:dyDescent="0.2">
      <c r="A468" s="1302"/>
      <c r="B468" s="1302"/>
      <c r="C468" s="1303" t="s">
        <v>1317</v>
      </c>
      <c r="D468" s="1313" t="s">
        <v>42</v>
      </c>
      <c r="E468" s="1318">
        <v>0</v>
      </c>
      <c r="F468" s="1322">
        <f t="shared" si="120"/>
        <v>0</v>
      </c>
      <c r="G468" s="1316" t="s">
        <v>636</v>
      </c>
      <c r="H468" s="1325">
        <v>0</v>
      </c>
      <c r="I468" s="1308">
        <v>0</v>
      </c>
      <c r="J468" s="1658">
        <v>0</v>
      </c>
      <c r="K468" s="1308">
        <v>0</v>
      </c>
      <c r="L468" s="1308">
        <v>0</v>
      </c>
      <c r="M468" s="1307"/>
    </row>
    <row r="469" spans="1:13" x14ac:dyDescent="0.2">
      <c r="A469" s="1302"/>
      <c r="B469" s="1302"/>
      <c r="C469" s="1303" t="s">
        <v>1240</v>
      </c>
      <c r="D469" s="1313" t="s">
        <v>18</v>
      </c>
      <c r="E469" s="1318">
        <v>192786.92</v>
      </c>
      <c r="F469" s="1322">
        <f t="shared" si="120"/>
        <v>161872.88999999998</v>
      </c>
      <c r="G469" s="1316" t="s">
        <v>1318</v>
      </c>
      <c r="H469" s="1325">
        <v>292056.65999999997</v>
      </c>
      <c r="I469" s="1308">
        <v>0</v>
      </c>
      <c r="J469" s="1658">
        <f t="shared" si="121"/>
        <v>0.82348394648945411</v>
      </c>
      <c r="K469" s="1308">
        <v>44348</v>
      </c>
      <c r="L469" s="1308">
        <v>0</v>
      </c>
      <c r="M469" s="1307"/>
    </row>
    <row r="470" spans="1:13" x14ac:dyDescent="0.2">
      <c r="A470" s="1302"/>
      <c r="B470" s="1302"/>
      <c r="C470" s="1303" t="s">
        <v>1242</v>
      </c>
      <c r="D470" s="1313" t="s">
        <v>18</v>
      </c>
      <c r="E470" s="1318">
        <v>14827.03</v>
      </c>
      <c r="F470" s="1322">
        <f t="shared" si="120"/>
        <v>2347.3700000000008</v>
      </c>
      <c r="G470" s="1316" t="s">
        <v>1319</v>
      </c>
      <c r="H470" s="1325">
        <v>12831.58</v>
      </c>
      <c r="I470" s="1308">
        <v>0</v>
      </c>
      <c r="J470" s="1658">
        <f t="shared" si="121"/>
        <v>0.74713410657723112</v>
      </c>
      <c r="K470" s="1308">
        <v>0</v>
      </c>
      <c r="L470" s="1308">
        <v>0</v>
      </c>
      <c r="M470" s="1307"/>
    </row>
    <row r="471" spans="1:13" x14ac:dyDescent="0.2">
      <c r="A471" s="1302"/>
      <c r="B471" s="1302"/>
      <c r="C471" s="1303" t="s">
        <v>1320</v>
      </c>
      <c r="D471" s="1313" t="s">
        <v>24</v>
      </c>
      <c r="E471" s="1318">
        <v>32509.47</v>
      </c>
      <c r="F471" s="1322">
        <f t="shared" si="120"/>
        <v>-28000</v>
      </c>
      <c r="G471" s="1316" t="s">
        <v>1321</v>
      </c>
      <c r="H471" s="1308">
        <v>4428.1499999999996</v>
      </c>
      <c r="I471" s="1308">
        <v>0</v>
      </c>
      <c r="J471" s="1658">
        <f t="shared" si="121"/>
        <v>0.98196683867505485</v>
      </c>
      <c r="K471" s="1308">
        <v>0</v>
      </c>
      <c r="L471" s="1308">
        <v>0</v>
      </c>
      <c r="M471" s="1307"/>
    </row>
    <row r="472" spans="1:13" x14ac:dyDescent="0.2">
      <c r="A472" s="1302"/>
      <c r="B472" s="1302"/>
      <c r="C472" s="1303" t="s">
        <v>1322</v>
      </c>
      <c r="D472" s="1313" t="s">
        <v>24</v>
      </c>
      <c r="E472" s="1318">
        <v>530.53</v>
      </c>
      <c r="F472" s="1322">
        <f t="shared" si="120"/>
        <v>0</v>
      </c>
      <c r="G472" s="1316" t="s">
        <v>1323</v>
      </c>
      <c r="H472" s="1308">
        <v>520.94000000000005</v>
      </c>
      <c r="I472" s="1308">
        <v>0</v>
      </c>
      <c r="J472" s="1658">
        <f t="shared" si="121"/>
        <v>0.98192373664071797</v>
      </c>
      <c r="K472" s="1308">
        <v>0</v>
      </c>
      <c r="L472" s="1308">
        <v>0</v>
      </c>
      <c r="M472" s="1307"/>
    </row>
    <row r="473" spans="1:13" x14ac:dyDescent="0.2">
      <c r="A473" s="1302"/>
      <c r="B473" s="1302"/>
      <c r="C473" s="1303" t="s">
        <v>1324</v>
      </c>
      <c r="D473" s="1313" t="s">
        <v>19</v>
      </c>
      <c r="E473" s="1318">
        <v>500</v>
      </c>
      <c r="F473" s="1322">
        <f t="shared" si="120"/>
        <v>-500</v>
      </c>
      <c r="G473" s="1316" t="s">
        <v>636</v>
      </c>
      <c r="H473" s="1325">
        <v>0</v>
      </c>
      <c r="I473" s="1308">
        <v>0</v>
      </c>
      <c r="J473" s="1658">
        <v>0</v>
      </c>
      <c r="K473" s="1308">
        <v>0</v>
      </c>
      <c r="L473" s="1308">
        <v>0</v>
      </c>
      <c r="M473" s="1307"/>
    </row>
    <row r="474" spans="1:13" x14ac:dyDescent="0.2">
      <c r="A474" s="1334" t="s">
        <v>843</v>
      </c>
      <c r="B474" s="1334"/>
      <c r="C474" s="1334"/>
      <c r="D474" s="1335" t="s">
        <v>86</v>
      </c>
      <c r="E474" s="1336">
        <f>E475+E487+E490</f>
        <v>968924</v>
      </c>
      <c r="F474" s="1330">
        <f t="shared" ref="F474:L474" si="122">F475+F487+F490</f>
        <v>-14577</v>
      </c>
      <c r="G474" s="1337">
        <f t="shared" si="122"/>
        <v>954347</v>
      </c>
      <c r="H474" s="1336">
        <f t="shared" si="122"/>
        <v>929655.62999999989</v>
      </c>
      <c r="I474" s="1330">
        <f t="shared" si="122"/>
        <v>0</v>
      </c>
      <c r="J474" s="1333">
        <f t="shared" si="121"/>
        <v>0.97412747145430323</v>
      </c>
      <c r="K474" s="1330">
        <f t="shared" si="122"/>
        <v>63237.46</v>
      </c>
      <c r="L474" s="1917">
        <f t="shared" si="122"/>
        <v>0</v>
      </c>
      <c r="M474" s="1307"/>
    </row>
    <row r="475" spans="1:13" ht="15" x14ac:dyDescent="0.2">
      <c r="A475" s="1299"/>
      <c r="B475" s="1305" t="s">
        <v>1325</v>
      </c>
      <c r="C475" s="1300"/>
      <c r="D475" s="1312" t="s">
        <v>1326</v>
      </c>
      <c r="E475" s="1317">
        <f>E476+E477+E478+E479+E480+E481+E482+E483+E484+E485+E486</f>
        <v>897074</v>
      </c>
      <c r="F475" s="1321">
        <f t="shared" ref="F475:L475" si="123">F476+F477+F478+F479+F480+F481+F482+F483+F484+F485+F486</f>
        <v>-100280</v>
      </c>
      <c r="G475" s="1314">
        <f t="shared" si="123"/>
        <v>796794</v>
      </c>
      <c r="H475" s="1317">
        <f t="shared" si="123"/>
        <v>772102.62999999989</v>
      </c>
      <c r="I475" s="1321">
        <f t="shared" si="123"/>
        <v>0</v>
      </c>
      <c r="J475" s="1326">
        <f t="shared" si="121"/>
        <v>0.96901160149298304</v>
      </c>
      <c r="K475" s="1321">
        <f t="shared" si="123"/>
        <v>63237.46</v>
      </c>
      <c r="L475" s="1916">
        <f t="shared" si="123"/>
        <v>0</v>
      </c>
      <c r="M475" s="1307"/>
    </row>
    <row r="476" spans="1:13" ht="22.5" x14ac:dyDescent="0.2">
      <c r="A476" s="1302"/>
      <c r="B476" s="1302"/>
      <c r="C476" s="1303" t="s">
        <v>956</v>
      </c>
      <c r="D476" s="1313" t="s">
        <v>957</v>
      </c>
      <c r="E476" s="1318">
        <v>4383</v>
      </c>
      <c r="F476" s="1322">
        <f>G476-E476</f>
        <v>-550</v>
      </c>
      <c r="G476" s="1316" t="s">
        <v>1327</v>
      </c>
      <c r="H476" s="1325">
        <v>3401.6</v>
      </c>
      <c r="I476" s="1308">
        <v>0</v>
      </c>
      <c r="J476" s="1658">
        <f t="shared" si="121"/>
        <v>0.88745108270284367</v>
      </c>
      <c r="K476" s="1308">
        <v>13.1</v>
      </c>
      <c r="L476" s="1308">
        <v>0</v>
      </c>
      <c r="M476" s="1307"/>
    </row>
    <row r="477" spans="1:13" ht="22.5" x14ac:dyDescent="0.2">
      <c r="A477" s="1302"/>
      <c r="B477" s="1302"/>
      <c r="C477" s="1303" t="s">
        <v>890</v>
      </c>
      <c r="D477" s="1313" t="s">
        <v>13</v>
      </c>
      <c r="E477" s="1318">
        <v>640800</v>
      </c>
      <c r="F477" s="1322">
        <f t="shared" ref="F477:F486" si="124">G477-E477</f>
        <v>-74000</v>
      </c>
      <c r="G477" s="1316" t="s">
        <v>1328</v>
      </c>
      <c r="H477" s="1325">
        <v>547093.93999999994</v>
      </c>
      <c r="I477" s="1308">
        <v>0</v>
      </c>
      <c r="J477" s="1658">
        <f t="shared" si="121"/>
        <v>0.96523278052222994</v>
      </c>
      <c r="K477" s="1308">
        <v>3612.79</v>
      </c>
      <c r="L477" s="1308">
        <v>0</v>
      </c>
      <c r="M477" s="1307"/>
    </row>
    <row r="478" spans="1:13" x14ac:dyDescent="0.2">
      <c r="A478" s="1302"/>
      <c r="B478" s="1302"/>
      <c r="C478" s="1303" t="s">
        <v>959</v>
      </c>
      <c r="D478" s="1313" t="s">
        <v>960</v>
      </c>
      <c r="E478" s="1318">
        <v>50836</v>
      </c>
      <c r="F478" s="1322">
        <f t="shared" si="124"/>
        <v>0</v>
      </c>
      <c r="G478" s="1316" t="s">
        <v>1329</v>
      </c>
      <c r="H478" s="1325">
        <v>50836</v>
      </c>
      <c r="I478" s="1308">
        <v>0</v>
      </c>
      <c r="J478" s="1658">
        <f t="shared" si="121"/>
        <v>1</v>
      </c>
      <c r="K478" s="1308">
        <v>46270</v>
      </c>
      <c r="L478" s="1308">
        <v>0</v>
      </c>
      <c r="M478" s="1307"/>
    </row>
    <row r="479" spans="1:13" x14ac:dyDescent="0.2">
      <c r="A479" s="1302"/>
      <c r="B479" s="1302"/>
      <c r="C479" s="1303" t="s">
        <v>447</v>
      </c>
      <c r="D479" s="1313" t="s">
        <v>14</v>
      </c>
      <c r="E479" s="1318">
        <v>116990</v>
      </c>
      <c r="F479" s="1322">
        <f t="shared" si="124"/>
        <v>-19800</v>
      </c>
      <c r="G479" s="1316" t="s">
        <v>1330</v>
      </c>
      <c r="H479" s="1325">
        <v>97104.42</v>
      </c>
      <c r="I479" s="1308">
        <v>0</v>
      </c>
      <c r="J479" s="1658">
        <f t="shared" si="121"/>
        <v>0.99911945673423186</v>
      </c>
      <c r="K479" s="1308">
        <v>11956.72</v>
      </c>
      <c r="L479" s="1308">
        <v>0</v>
      </c>
      <c r="M479" s="1307"/>
    </row>
    <row r="480" spans="1:13" x14ac:dyDescent="0.2">
      <c r="A480" s="1302"/>
      <c r="B480" s="1302"/>
      <c r="C480" s="1303" t="s">
        <v>450</v>
      </c>
      <c r="D480" s="1313" t="s">
        <v>15</v>
      </c>
      <c r="E480" s="1318">
        <v>16712</v>
      </c>
      <c r="F480" s="1322">
        <f t="shared" si="124"/>
        <v>-3630</v>
      </c>
      <c r="G480" s="1316" t="s">
        <v>1331</v>
      </c>
      <c r="H480" s="1325">
        <v>12838.46</v>
      </c>
      <c r="I480" s="1308">
        <v>0</v>
      </c>
      <c r="J480" s="1658">
        <f t="shared" si="121"/>
        <v>0.98138358049227936</v>
      </c>
      <c r="K480" s="1308">
        <v>1384.85</v>
      </c>
      <c r="L480" s="1308">
        <v>0</v>
      </c>
      <c r="M480" s="1307"/>
    </row>
    <row r="481" spans="1:13" x14ac:dyDescent="0.2">
      <c r="A481" s="1302"/>
      <c r="B481" s="1302"/>
      <c r="C481" s="1303" t="s">
        <v>391</v>
      </c>
      <c r="D481" s="1313" t="s">
        <v>17</v>
      </c>
      <c r="E481" s="1318">
        <v>16900</v>
      </c>
      <c r="F481" s="1322">
        <f t="shared" si="124"/>
        <v>-2300</v>
      </c>
      <c r="G481" s="1316" t="s">
        <v>1195</v>
      </c>
      <c r="H481" s="1325">
        <v>14382.82</v>
      </c>
      <c r="I481" s="1308">
        <v>0</v>
      </c>
      <c r="J481" s="1658">
        <f t="shared" si="121"/>
        <v>0.98512465753424661</v>
      </c>
      <c r="K481" s="1308">
        <v>0</v>
      </c>
      <c r="L481" s="1308">
        <v>0</v>
      </c>
      <c r="M481" s="1307"/>
    </row>
    <row r="482" spans="1:13" ht="22.5" x14ac:dyDescent="0.2">
      <c r="A482" s="1302"/>
      <c r="B482" s="1302"/>
      <c r="C482" s="1303" t="s">
        <v>1102</v>
      </c>
      <c r="D482" s="1313" t="s">
        <v>36</v>
      </c>
      <c r="E482" s="1318">
        <v>9000</v>
      </c>
      <c r="F482" s="1322">
        <f t="shared" si="124"/>
        <v>0</v>
      </c>
      <c r="G482" s="1316" t="s">
        <v>1064</v>
      </c>
      <c r="H482" s="1325">
        <v>8892.09</v>
      </c>
      <c r="I482" s="1308">
        <v>0</v>
      </c>
      <c r="J482" s="1658">
        <f t="shared" si="121"/>
        <v>0.98801000000000005</v>
      </c>
      <c r="K482" s="1308">
        <v>0</v>
      </c>
      <c r="L482" s="1308">
        <v>0</v>
      </c>
      <c r="M482" s="1307"/>
    </row>
    <row r="483" spans="1:13" x14ac:dyDescent="0.2">
      <c r="A483" s="1302"/>
      <c r="B483" s="1302"/>
      <c r="C483" s="1303" t="s">
        <v>902</v>
      </c>
      <c r="D483" s="1313" t="s">
        <v>41</v>
      </c>
      <c r="E483" s="1318">
        <v>6700</v>
      </c>
      <c r="F483" s="1322">
        <f t="shared" si="124"/>
        <v>0</v>
      </c>
      <c r="G483" s="1316" t="s">
        <v>980</v>
      </c>
      <c r="H483" s="1325">
        <v>4235.97</v>
      </c>
      <c r="I483" s="1308">
        <v>0</v>
      </c>
      <c r="J483" s="1658">
        <f t="shared" si="121"/>
        <v>0.63223432835820903</v>
      </c>
      <c r="K483" s="1308">
        <v>0</v>
      </c>
      <c r="L483" s="1308">
        <v>0</v>
      </c>
      <c r="M483" s="1307"/>
    </row>
    <row r="484" spans="1:13" x14ac:dyDescent="0.2">
      <c r="A484" s="1302"/>
      <c r="B484" s="1302"/>
      <c r="C484" s="1303" t="s">
        <v>912</v>
      </c>
      <c r="D484" s="1313" t="s">
        <v>78</v>
      </c>
      <c r="E484" s="1318">
        <v>4500</v>
      </c>
      <c r="F484" s="1322">
        <f t="shared" si="124"/>
        <v>0</v>
      </c>
      <c r="G484" s="1316" t="s">
        <v>900</v>
      </c>
      <c r="H484" s="1325">
        <v>4298.04</v>
      </c>
      <c r="I484" s="1308">
        <v>0</v>
      </c>
      <c r="J484" s="1658">
        <f t="shared" si="121"/>
        <v>0.95511999999999997</v>
      </c>
      <c r="K484" s="1308">
        <v>0</v>
      </c>
      <c r="L484" s="1308">
        <v>0</v>
      </c>
      <c r="M484" s="1307"/>
    </row>
    <row r="485" spans="1:13" x14ac:dyDescent="0.2">
      <c r="A485" s="1302"/>
      <c r="B485" s="1302"/>
      <c r="C485" s="1303" t="s">
        <v>404</v>
      </c>
      <c r="D485" s="1313" t="s">
        <v>18</v>
      </c>
      <c r="E485" s="1318">
        <v>3200</v>
      </c>
      <c r="F485" s="1322">
        <f t="shared" si="124"/>
        <v>0</v>
      </c>
      <c r="G485" s="1316" t="s">
        <v>1230</v>
      </c>
      <c r="H485" s="1325">
        <v>1966.29</v>
      </c>
      <c r="I485" s="1308">
        <v>0</v>
      </c>
      <c r="J485" s="1658">
        <f t="shared" si="121"/>
        <v>0.61446562500000002</v>
      </c>
      <c r="K485" s="1308">
        <v>0</v>
      </c>
      <c r="L485" s="1308">
        <v>0</v>
      </c>
      <c r="M485" s="1307"/>
    </row>
    <row r="486" spans="1:13" ht="22.5" x14ac:dyDescent="0.2">
      <c r="A486" s="1302"/>
      <c r="B486" s="1302"/>
      <c r="C486" s="1303" t="s">
        <v>1003</v>
      </c>
      <c r="D486" s="1313" t="s">
        <v>44</v>
      </c>
      <c r="E486" s="1318">
        <v>27053</v>
      </c>
      <c r="F486" s="1322">
        <f t="shared" si="124"/>
        <v>0</v>
      </c>
      <c r="G486" s="1316" t="s">
        <v>1332</v>
      </c>
      <c r="H486" s="1325">
        <v>27053</v>
      </c>
      <c r="I486" s="1308">
        <v>0</v>
      </c>
      <c r="J486" s="1658">
        <f t="shared" si="121"/>
        <v>1</v>
      </c>
      <c r="K486" s="1308">
        <v>0</v>
      </c>
      <c r="L486" s="1308">
        <v>0</v>
      </c>
      <c r="M486" s="1307"/>
    </row>
    <row r="487" spans="1:13" ht="22.5" x14ac:dyDescent="0.2">
      <c r="A487" s="1299"/>
      <c r="B487" s="1305" t="s">
        <v>844</v>
      </c>
      <c r="C487" s="1300"/>
      <c r="D487" s="1312" t="s">
        <v>87</v>
      </c>
      <c r="E487" s="1317">
        <f>E488+E489</f>
        <v>60000</v>
      </c>
      <c r="F487" s="1321">
        <f t="shared" ref="F487:L487" si="125">F488+F489</f>
        <v>84353</v>
      </c>
      <c r="G487" s="1314">
        <f t="shared" si="125"/>
        <v>144353</v>
      </c>
      <c r="H487" s="1317">
        <f t="shared" si="125"/>
        <v>144353</v>
      </c>
      <c r="I487" s="1321">
        <f t="shared" si="125"/>
        <v>0</v>
      </c>
      <c r="J487" s="1326">
        <f t="shared" si="121"/>
        <v>1</v>
      </c>
      <c r="K487" s="1321">
        <f t="shared" si="125"/>
        <v>0</v>
      </c>
      <c r="L487" s="1916">
        <f t="shared" si="125"/>
        <v>0</v>
      </c>
      <c r="M487" s="1307"/>
    </row>
    <row r="488" spans="1:13" x14ac:dyDescent="0.2">
      <c r="A488" s="1302"/>
      <c r="B488" s="1302"/>
      <c r="C488" s="1303" t="s">
        <v>1333</v>
      </c>
      <c r="D488" s="1313" t="s">
        <v>88</v>
      </c>
      <c r="E488" s="1318">
        <v>60000</v>
      </c>
      <c r="F488" s="1322">
        <f>G488-E488</f>
        <v>83018</v>
      </c>
      <c r="G488" s="1316" t="s">
        <v>1334</v>
      </c>
      <c r="H488" s="1325">
        <v>143018</v>
      </c>
      <c r="I488" s="1308">
        <v>0</v>
      </c>
      <c r="J488" s="1658">
        <f t="shared" si="121"/>
        <v>1</v>
      </c>
      <c r="K488" s="1308">
        <v>0</v>
      </c>
      <c r="L488" s="1308">
        <v>0</v>
      </c>
      <c r="M488" s="1307"/>
    </row>
    <row r="489" spans="1:13" x14ac:dyDescent="0.2">
      <c r="A489" s="1302"/>
      <c r="B489" s="1302"/>
      <c r="C489" s="1303" t="s">
        <v>1335</v>
      </c>
      <c r="D489" s="1313" t="s">
        <v>1336</v>
      </c>
      <c r="E489" s="1318">
        <v>0</v>
      </c>
      <c r="F489" s="1322">
        <f>G489-E489</f>
        <v>1335</v>
      </c>
      <c r="G489" s="1316" t="s">
        <v>848</v>
      </c>
      <c r="H489" s="1325">
        <v>1335</v>
      </c>
      <c r="I489" s="1308">
        <v>0</v>
      </c>
      <c r="J489" s="1658">
        <f t="shared" si="121"/>
        <v>1</v>
      </c>
      <c r="K489" s="1308">
        <v>0</v>
      </c>
      <c r="L489" s="1308">
        <v>0</v>
      </c>
      <c r="M489" s="1307"/>
    </row>
    <row r="490" spans="1:13" ht="22.5" x14ac:dyDescent="0.2">
      <c r="A490" s="1299"/>
      <c r="B490" s="1305" t="s">
        <v>1337</v>
      </c>
      <c r="C490" s="1300"/>
      <c r="D490" s="1312" t="s">
        <v>1338</v>
      </c>
      <c r="E490" s="1317">
        <f>E491+E492</f>
        <v>11850</v>
      </c>
      <c r="F490" s="1321">
        <f t="shared" ref="F490:L490" si="126">F491+F492</f>
        <v>1350</v>
      </c>
      <c r="G490" s="1314">
        <f t="shared" si="126"/>
        <v>13200</v>
      </c>
      <c r="H490" s="1317">
        <f t="shared" si="126"/>
        <v>13200</v>
      </c>
      <c r="I490" s="1321">
        <f t="shared" si="126"/>
        <v>0</v>
      </c>
      <c r="J490" s="1326">
        <f t="shared" si="121"/>
        <v>1</v>
      </c>
      <c r="K490" s="1321">
        <f t="shared" si="126"/>
        <v>0</v>
      </c>
      <c r="L490" s="1916">
        <f t="shared" si="126"/>
        <v>0</v>
      </c>
      <c r="M490" s="1307"/>
    </row>
    <row r="491" spans="1:13" x14ac:dyDescent="0.2">
      <c r="A491" s="1302"/>
      <c r="B491" s="1302"/>
      <c r="C491" s="1303" t="s">
        <v>1333</v>
      </c>
      <c r="D491" s="1313" t="s">
        <v>88</v>
      </c>
      <c r="E491" s="1318">
        <v>11850</v>
      </c>
      <c r="F491" s="1322">
        <f>G491-E491</f>
        <v>1350</v>
      </c>
      <c r="G491" s="1316" t="s">
        <v>1339</v>
      </c>
      <c r="H491" s="1325">
        <v>13200</v>
      </c>
      <c r="I491" s="1308">
        <v>0</v>
      </c>
      <c r="J491" s="1658">
        <f t="shared" si="121"/>
        <v>1</v>
      </c>
      <c r="K491" s="1308">
        <v>0</v>
      </c>
      <c r="L491" s="1308">
        <v>0</v>
      </c>
      <c r="M491" s="1307"/>
    </row>
    <row r="492" spans="1:13" x14ac:dyDescent="0.2">
      <c r="A492" s="1302"/>
      <c r="B492" s="1302"/>
      <c r="C492" s="1303" t="s">
        <v>1335</v>
      </c>
      <c r="D492" s="1313" t="s">
        <v>1336</v>
      </c>
      <c r="E492" s="1318">
        <v>0</v>
      </c>
      <c r="F492" s="1322">
        <f>G492-E492</f>
        <v>0</v>
      </c>
      <c r="G492" s="1316" t="s">
        <v>636</v>
      </c>
      <c r="H492" s="1325">
        <v>0</v>
      </c>
      <c r="I492" s="1308">
        <v>0</v>
      </c>
      <c r="J492" s="1658">
        <v>0</v>
      </c>
      <c r="K492" s="1308">
        <v>0</v>
      </c>
      <c r="L492" s="1308">
        <v>0</v>
      </c>
      <c r="M492" s="1307"/>
    </row>
    <row r="493" spans="1:13" x14ac:dyDescent="0.2">
      <c r="A493" s="1334" t="s">
        <v>849</v>
      </c>
      <c r="B493" s="1334"/>
      <c r="C493" s="1334"/>
      <c r="D493" s="1335" t="s">
        <v>51</v>
      </c>
      <c r="E493" s="1336">
        <f>E494+E510+E524+E528+E540+E542</f>
        <v>21574916</v>
      </c>
      <c r="F493" s="1330">
        <f t="shared" ref="F493:I493" si="127">F494+F510+F524+F528+F540+F542</f>
        <v>1527477</v>
      </c>
      <c r="G493" s="1337">
        <f t="shared" si="127"/>
        <v>23102393</v>
      </c>
      <c r="H493" s="1336">
        <f t="shared" si="127"/>
        <v>22998061.550000001</v>
      </c>
      <c r="I493" s="1330">
        <f t="shared" si="127"/>
        <v>0</v>
      </c>
      <c r="J493" s="1333">
        <f t="shared" si="121"/>
        <v>0.99548395484398522</v>
      </c>
      <c r="K493" s="1330">
        <f t="shared" ref="K493" si="128">K494+K510+K524+K528+K540+K542</f>
        <v>73584.59</v>
      </c>
      <c r="L493" s="1917">
        <f t="shared" ref="L493" si="129">L494+L510+L524+L528+L540+L542</f>
        <v>0</v>
      </c>
      <c r="M493" s="1307"/>
    </row>
    <row r="494" spans="1:13" ht="15" x14ac:dyDescent="0.2">
      <c r="A494" s="1299"/>
      <c r="B494" s="1305" t="s">
        <v>850</v>
      </c>
      <c r="C494" s="1300"/>
      <c r="D494" s="1312" t="s">
        <v>851</v>
      </c>
      <c r="E494" s="1317">
        <f>E495+E496+E497+E498+E499+E500+E501+E502+E503+E504+E505+E506+E507+E508+E509</f>
        <v>13523240</v>
      </c>
      <c r="F494" s="1321">
        <f t="shared" ref="F494:L494" si="130">F495+F496+F497+F498+F499+F500+F501+F502+F503+F504+F505+F506+F507+F508+F509</f>
        <v>557112.00000000012</v>
      </c>
      <c r="G494" s="1314">
        <f t="shared" si="130"/>
        <v>14080352</v>
      </c>
      <c r="H494" s="1317">
        <f t="shared" si="130"/>
        <v>14025704.15</v>
      </c>
      <c r="I494" s="1321">
        <f t="shared" si="130"/>
        <v>0</v>
      </c>
      <c r="J494" s="1326">
        <f t="shared" si="121"/>
        <v>0.99611885768196706</v>
      </c>
      <c r="K494" s="1321">
        <f t="shared" si="130"/>
        <v>21411.53</v>
      </c>
      <c r="L494" s="1916">
        <f t="shared" si="130"/>
        <v>0</v>
      </c>
      <c r="M494" s="1307"/>
    </row>
    <row r="495" spans="1:13" ht="78.75" x14ac:dyDescent="0.2">
      <c r="A495" s="1302"/>
      <c r="B495" s="1302"/>
      <c r="C495" s="1303" t="s">
        <v>821</v>
      </c>
      <c r="D495" s="1313" t="s">
        <v>1275</v>
      </c>
      <c r="E495" s="1318">
        <v>10000</v>
      </c>
      <c r="F495" s="1322">
        <f>G495-E495</f>
        <v>30000</v>
      </c>
      <c r="G495" s="1316" t="s">
        <v>658</v>
      </c>
      <c r="H495" s="1325">
        <v>20800</v>
      </c>
      <c r="I495" s="1308">
        <v>0</v>
      </c>
      <c r="J495" s="1658">
        <f t="shared" si="121"/>
        <v>0.52</v>
      </c>
      <c r="K495" s="1308">
        <v>0</v>
      </c>
      <c r="L495" s="1308">
        <v>0</v>
      </c>
      <c r="M495" s="1307"/>
    </row>
    <row r="496" spans="1:13" x14ac:dyDescent="0.2">
      <c r="A496" s="1302"/>
      <c r="B496" s="1302"/>
      <c r="C496" s="1303" t="s">
        <v>1279</v>
      </c>
      <c r="D496" s="1313" t="s">
        <v>54</v>
      </c>
      <c r="E496" s="1318">
        <v>13306849</v>
      </c>
      <c r="F496" s="1322">
        <f t="shared" ref="F496:F509" si="131">G496-E496</f>
        <v>521112</v>
      </c>
      <c r="G496" s="1316" t="s">
        <v>1340</v>
      </c>
      <c r="H496" s="1325">
        <v>13795436.16</v>
      </c>
      <c r="I496" s="1308">
        <v>0</v>
      </c>
      <c r="J496" s="1658">
        <f t="shared" si="121"/>
        <v>0.99764789327942127</v>
      </c>
      <c r="K496" s="1308">
        <v>8645.5</v>
      </c>
      <c r="L496" s="1308">
        <v>0</v>
      </c>
      <c r="M496" s="1307"/>
    </row>
    <row r="497" spans="1:13" ht="22.5" x14ac:dyDescent="0.2">
      <c r="A497" s="1302"/>
      <c r="B497" s="1302"/>
      <c r="C497" s="1303" t="s">
        <v>890</v>
      </c>
      <c r="D497" s="1313" t="s">
        <v>13</v>
      </c>
      <c r="E497" s="1318">
        <v>105000</v>
      </c>
      <c r="F497" s="1322">
        <f t="shared" si="131"/>
        <v>10000</v>
      </c>
      <c r="G497" s="1316" t="s">
        <v>1341</v>
      </c>
      <c r="H497" s="1325">
        <v>114945.13</v>
      </c>
      <c r="I497" s="1308">
        <v>0</v>
      </c>
      <c r="J497" s="1658">
        <f t="shared" si="121"/>
        <v>0.99952286956521741</v>
      </c>
      <c r="K497" s="1308">
        <v>0</v>
      </c>
      <c r="L497" s="1308">
        <v>0</v>
      </c>
      <c r="M497" s="1307"/>
    </row>
    <row r="498" spans="1:13" x14ac:dyDescent="0.2">
      <c r="A498" s="1302"/>
      <c r="B498" s="1302"/>
      <c r="C498" s="1303" t="s">
        <v>959</v>
      </c>
      <c r="D498" s="1313" t="s">
        <v>960</v>
      </c>
      <c r="E498" s="1318">
        <v>7600</v>
      </c>
      <c r="F498" s="1322">
        <f t="shared" si="131"/>
        <v>-177.31999999999971</v>
      </c>
      <c r="G498" s="1316" t="s">
        <v>1342</v>
      </c>
      <c r="H498" s="1325">
        <v>7422.68</v>
      </c>
      <c r="I498" s="1308">
        <v>0</v>
      </c>
      <c r="J498" s="1658">
        <f t="shared" si="121"/>
        <v>1</v>
      </c>
      <c r="K498" s="1308">
        <v>9666.5300000000007</v>
      </c>
      <c r="L498" s="1308">
        <v>0</v>
      </c>
      <c r="M498" s="1307"/>
    </row>
    <row r="499" spans="1:13" x14ac:dyDescent="0.2">
      <c r="A499" s="1302"/>
      <c r="B499" s="1302"/>
      <c r="C499" s="1303" t="s">
        <v>447</v>
      </c>
      <c r="D499" s="1313" t="s">
        <v>14</v>
      </c>
      <c r="E499" s="1318">
        <v>20533</v>
      </c>
      <c r="F499" s="1322">
        <f t="shared" si="131"/>
        <v>1398.4000000000015</v>
      </c>
      <c r="G499" s="1316" t="s">
        <v>1343</v>
      </c>
      <c r="H499" s="1325">
        <v>21252.33</v>
      </c>
      <c r="I499" s="1308">
        <v>0</v>
      </c>
      <c r="J499" s="1658">
        <f t="shared" si="121"/>
        <v>0.96903663240832782</v>
      </c>
      <c r="K499" s="1308">
        <v>1687.77</v>
      </c>
      <c r="L499" s="1308">
        <v>0</v>
      </c>
      <c r="M499" s="1307"/>
    </row>
    <row r="500" spans="1:13" x14ac:dyDescent="0.2">
      <c r="A500" s="1302"/>
      <c r="B500" s="1302"/>
      <c r="C500" s="1303" t="s">
        <v>450</v>
      </c>
      <c r="D500" s="1313" t="s">
        <v>15</v>
      </c>
      <c r="E500" s="1318">
        <v>2888</v>
      </c>
      <c r="F500" s="1322">
        <f t="shared" si="131"/>
        <v>-300</v>
      </c>
      <c r="G500" s="1316" t="s">
        <v>1344</v>
      </c>
      <c r="H500" s="1325">
        <v>2538.39</v>
      </c>
      <c r="I500" s="1308">
        <v>0</v>
      </c>
      <c r="J500" s="1658">
        <f t="shared" si="121"/>
        <v>0.98083075734157643</v>
      </c>
      <c r="K500" s="1308">
        <v>110.73</v>
      </c>
      <c r="L500" s="1308">
        <v>0</v>
      </c>
      <c r="M500" s="1307"/>
    </row>
    <row r="501" spans="1:13" x14ac:dyDescent="0.2">
      <c r="A501" s="1302"/>
      <c r="B501" s="1302"/>
      <c r="C501" s="1303" t="s">
        <v>442</v>
      </c>
      <c r="D501" s="1313" t="s">
        <v>31</v>
      </c>
      <c r="E501" s="1318">
        <v>5000</v>
      </c>
      <c r="F501" s="1322">
        <f t="shared" si="131"/>
        <v>0</v>
      </c>
      <c r="G501" s="1316" t="s">
        <v>859</v>
      </c>
      <c r="H501" s="1325">
        <v>5000</v>
      </c>
      <c r="I501" s="1308">
        <v>0</v>
      </c>
      <c r="J501" s="1658">
        <f t="shared" si="121"/>
        <v>1</v>
      </c>
      <c r="K501" s="1308">
        <v>0</v>
      </c>
      <c r="L501" s="1308">
        <v>0</v>
      </c>
      <c r="M501" s="1307"/>
    </row>
    <row r="502" spans="1:13" x14ac:dyDescent="0.2">
      <c r="A502" s="1302"/>
      <c r="B502" s="1302"/>
      <c r="C502" s="1303" t="s">
        <v>391</v>
      </c>
      <c r="D502" s="1313" t="s">
        <v>17</v>
      </c>
      <c r="E502" s="1318">
        <v>20000</v>
      </c>
      <c r="F502" s="1322">
        <f t="shared" si="131"/>
        <v>-5000</v>
      </c>
      <c r="G502" s="1316" t="s">
        <v>1345</v>
      </c>
      <c r="H502" s="1325">
        <v>14017.98</v>
      </c>
      <c r="I502" s="1308">
        <v>0</v>
      </c>
      <c r="J502" s="1658">
        <f t="shared" si="121"/>
        <v>0.93453199999999992</v>
      </c>
      <c r="K502" s="1308">
        <v>0</v>
      </c>
      <c r="L502" s="1308">
        <v>0</v>
      </c>
      <c r="M502" s="1307"/>
    </row>
    <row r="503" spans="1:13" x14ac:dyDescent="0.2">
      <c r="A503" s="1302"/>
      <c r="B503" s="1302"/>
      <c r="C503" s="1303" t="s">
        <v>902</v>
      </c>
      <c r="D503" s="1313" t="s">
        <v>41</v>
      </c>
      <c r="E503" s="1318">
        <v>7000</v>
      </c>
      <c r="F503" s="1322">
        <f t="shared" si="131"/>
        <v>-3600</v>
      </c>
      <c r="G503" s="1316" t="s">
        <v>1128</v>
      </c>
      <c r="H503" s="1325">
        <v>3093.77</v>
      </c>
      <c r="I503" s="1308">
        <v>0</v>
      </c>
      <c r="J503" s="1658">
        <f t="shared" si="121"/>
        <v>0.90993235294117647</v>
      </c>
      <c r="K503" s="1308">
        <v>264</v>
      </c>
      <c r="L503" s="1308">
        <v>0</v>
      </c>
      <c r="M503" s="1307"/>
    </row>
    <row r="504" spans="1:13" x14ac:dyDescent="0.2">
      <c r="A504" s="1302"/>
      <c r="B504" s="1302"/>
      <c r="C504" s="1303" t="s">
        <v>404</v>
      </c>
      <c r="D504" s="1313" t="s">
        <v>18</v>
      </c>
      <c r="E504" s="1318">
        <v>30000</v>
      </c>
      <c r="F504" s="1322">
        <f t="shared" si="131"/>
        <v>6278.9199999999983</v>
      </c>
      <c r="G504" s="1316" t="s">
        <v>1346</v>
      </c>
      <c r="H504" s="1325">
        <v>36278.92</v>
      </c>
      <c r="I504" s="1308">
        <v>0</v>
      </c>
      <c r="J504" s="1658">
        <f t="shared" si="121"/>
        <v>1</v>
      </c>
      <c r="K504" s="1308">
        <v>1037</v>
      </c>
      <c r="L504" s="1308">
        <v>0</v>
      </c>
      <c r="M504" s="1307"/>
    </row>
    <row r="505" spans="1:13" ht="33.75" x14ac:dyDescent="0.2">
      <c r="A505" s="1302"/>
      <c r="B505" s="1302"/>
      <c r="C505" s="1303" t="s">
        <v>1108</v>
      </c>
      <c r="D505" s="1313" t="s">
        <v>1109</v>
      </c>
      <c r="E505" s="1318">
        <v>0</v>
      </c>
      <c r="F505" s="1322">
        <f t="shared" si="131"/>
        <v>0</v>
      </c>
      <c r="G505" s="1316" t="s">
        <v>636</v>
      </c>
      <c r="H505" s="1325">
        <v>0</v>
      </c>
      <c r="I505" s="1308">
        <v>0</v>
      </c>
      <c r="J505" s="1658">
        <v>0</v>
      </c>
      <c r="K505" s="1308">
        <v>0</v>
      </c>
      <c r="L505" s="1308">
        <v>0</v>
      </c>
      <c r="M505" s="1307"/>
    </row>
    <row r="506" spans="1:13" ht="22.5" x14ac:dyDescent="0.2">
      <c r="A506" s="1302"/>
      <c r="B506" s="1302"/>
      <c r="C506" s="1303" t="s">
        <v>468</v>
      </c>
      <c r="D506" s="1313" t="s">
        <v>919</v>
      </c>
      <c r="E506" s="1318">
        <v>1000</v>
      </c>
      <c r="F506" s="1322">
        <f t="shared" si="131"/>
        <v>-800</v>
      </c>
      <c r="G506" s="1316" t="s">
        <v>1347</v>
      </c>
      <c r="H506" s="1325">
        <v>200</v>
      </c>
      <c r="I506" s="1308">
        <v>0</v>
      </c>
      <c r="J506" s="1658">
        <f t="shared" si="121"/>
        <v>1</v>
      </c>
      <c r="K506" s="1308">
        <v>0</v>
      </c>
      <c r="L506" s="1308">
        <v>0</v>
      </c>
      <c r="M506" s="1307"/>
    </row>
    <row r="507" spans="1:13" ht="22.5" x14ac:dyDescent="0.2">
      <c r="A507" s="1302"/>
      <c r="B507" s="1302"/>
      <c r="C507" s="1303" t="s">
        <v>1003</v>
      </c>
      <c r="D507" s="1313" t="s">
        <v>44</v>
      </c>
      <c r="E507" s="1318">
        <v>2370</v>
      </c>
      <c r="F507" s="1322">
        <f t="shared" si="131"/>
        <v>0</v>
      </c>
      <c r="G507" s="1316" t="s">
        <v>1348</v>
      </c>
      <c r="H507" s="1325">
        <v>2370</v>
      </c>
      <c r="I507" s="1308">
        <v>0</v>
      </c>
      <c r="J507" s="1658">
        <f t="shared" si="121"/>
        <v>1</v>
      </c>
      <c r="K507" s="1308">
        <v>0</v>
      </c>
      <c r="L507" s="1308">
        <v>0</v>
      </c>
      <c r="M507" s="1307"/>
    </row>
    <row r="508" spans="1:13" ht="78.75" x14ac:dyDescent="0.2">
      <c r="A508" s="1302"/>
      <c r="B508" s="1302"/>
      <c r="C508" s="1303" t="s">
        <v>1349</v>
      </c>
      <c r="D508" s="1313" t="s">
        <v>1350</v>
      </c>
      <c r="E508" s="1318">
        <v>1000</v>
      </c>
      <c r="F508" s="1322">
        <f t="shared" si="131"/>
        <v>1000</v>
      </c>
      <c r="G508" s="1316" t="s">
        <v>668</v>
      </c>
      <c r="H508" s="1325">
        <v>1197.01</v>
      </c>
      <c r="I508" s="1308">
        <v>0</v>
      </c>
      <c r="J508" s="1658">
        <f t="shared" si="121"/>
        <v>0.59850499999999995</v>
      </c>
      <c r="K508" s="1308">
        <v>0</v>
      </c>
      <c r="L508" s="1308">
        <v>0</v>
      </c>
      <c r="M508" s="1307"/>
    </row>
    <row r="509" spans="1:13" ht="22.5" x14ac:dyDescent="0.2">
      <c r="A509" s="1302"/>
      <c r="B509" s="1302"/>
      <c r="C509" s="1303" t="s">
        <v>966</v>
      </c>
      <c r="D509" s="1313" t="s">
        <v>967</v>
      </c>
      <c r="E509" s="1318">
        <v>4000</v>
      </c>
      <c r="F509" s="1322">
        <f t="shared" si="131"/>
        <v>-2800</v>
      </c>
      <c r="G509" s="1316" t="s">
        <v>1163</v>
      </c>
      <c r="H509" s="1325">
        <v>1151.78</v>
      </c>
      <c r="I509" s="1308">
        <v>0</v>
      </c>
      <c r="J509" s="1658">
        <f t="shared" si="121"/>
        <v>0.95981666666666665</v>
      </c>
      <c r="K509" s="1308">
        <v>0</v>
      </c>
      <c r="L509" s="1308">
        <v>0</v>
      </c>
      <c r="M509" s="1307"/>
    </row>
    <row r="510" spans="1:13" ht="56.25" x14ac:dyDescent="0.2">
      <c r="A510" s="1299"/>
      <c r="B510" s="1305" t="s">
        <v>857</v>
      </c>
      <c r="C510" s="1300"/>
      <c r="D510" s="1312" t="s">
        <v>858</v>
      </c>
      <c r="E510" s="1317">
        <f>E511+E512+E513+E514+E515+E516+E517+E518+E519+E520+E521+E522+E523</f>
        <v>7613368</v>
      </c>
      <c r="F510" s="1321">
        <f t="shared" ref="F510:L510" si="132">F511+F512+F513+F514+F515+F516+F517+F518+F519+F520+F521+F522+F523</f>
        <v>189499.99999999994</v>
      </c>
      <c r="G510" s="1314">
        <f t="shared" si="132"/>
        <v>7802867.9999999991</v>
      </c>
      <c r="H510" s="1317">
        <f t="shared" si="132"/>
        <v>7765702.0799999991</v>
      </c>
      <c r="I510" s="1321">
        <f t="shared" si="132"/>
        <v>0</v>
      </c>
      <c r="J510" s="1326">
        <f t="shared" si="121"/>
        <v>0.99523688982051217</v>
      </c>
      <c r="K510" s="1321">
        <f t="shared" si="132"/>
        <v>42279.469999999994</v>
      </c>
      <c r="L510" s="1916">
        <f t="shared" si="132"/>
        <v>0</v>
      </c>
      <c r="M510" s="1307"/>
    </row>
    <row r="511" spans="1:13" ht="78.75" x14ac:dyDescent="0.2">
      <c r="A511" s="1302"/>
      <c r="B511" s="1302"/>
      <c r="C511" s="1303" t="s">
        <v>821</v>
      </c>
      <c r="D511" s="1313" t="s">
        <v>1275</v>
      </c>
      <c r="E511" s="1318">
        <v>25000</v>
      </c>
      <c r="F511" s="1322">
        <f>G511-E511</f>
        <v>27000</v>
      </c>
      <c r="G511" s="1316" t="s">
        <v>860</v>
      </c>
      <c r="H511" s="1325">
        <v>34850.71</v>
      </c>
      <c r="I511" s="1308">
        <v>0</v>
      </c>
      <c r="J511" s="1658">
        <f t="shared" si="121"/>
        <v>0.67020596153846157</v>
      </c>
      <c r="K511" s="1308">
        <v>0</v>
      </c>
      <c r="L511" s="1308">
        <v>0</v>
      </c>
      <c r="M511" s="1307"/>
    </row>
    <row r="512" spans="1:13" x14ac:dyDescent="0.2">
      <c r="A512" s="1302"/>
      <c r="B512" s="1302"/>
      <c r="C512" s="1303" t="s">
        <v>1279</v>
      </c>
      <c r="D512" s="1313" t="s">
        <v>54</v>
      </c>
      <c r="E512" s="1318">
        <v>7106912</v>
      </c>
      <c r="F512" s="1322">
        <f t="shared" ref="F512:F523" si="133">G512-E512</f>
        <v>127381.91999999993</v>
      </c>
      <c r="G512" s="1316" t="s">
        <v>1351</v>
      </c>
      <c r="H512" s="1325">
        <v>7218699.7999999998</v>
      </c>
      <c r="I512" s="1308">
        <v>0</v>
      </c>
      <c r="J512" s="1658">
        <f t="shared" si="121"/>
        <v>0.99784441713698024</v>
      </c>
      <c r="K512" s="1308">
        <v>22961.439999999999</v>
      </c>
      <c r="L512" s="1308">
        <v>0</v>
      </c>
      <c r="M512" s="1307"/>
    </row>
    <row r="513" spans="1:13" ht="22.5" x14ac:dyDescent="0.2">
      <c r="A513" s="1302"/>
      <c r="B513" s="1302"/>
      <c r="C513" s="1303" t="s">
        <v>890</v>
      </c>
      <c r="D513" s="1313" t="s">
        <v>13</v>
      </c>
      <c r="E513" s="1318">
        <v>140000</v>
      </c>
      <c r="F513" s="1322">
        <f t="shared" si="133"/>
        <v>15443.25</v>
      </c>
      <c r="G513" s="1316" t="s">
        <v>1352</v>
      </c>
      <c r="H513" s="1325">
        <v>154604.84</v>
      </c>
      <c r="I513" s="1308">
        <v>0</v>
      </c>
      <c r="J513" s="1658">
        <f t="shared" si="121"/>
        <v>0.99460632738957788</v>
      </c>
      <c r="K513" s="1308">
        <v>0</v>
      </c>
      <c r="L513" s="1308">
        <v>0</v>
      </c>
      <c r="M513" s="1307"/>
    </row>
    <row r="514" spans="1:13" x14ac:dyDescent="0.2">
      <c r="A514" s="1302"/>
      <c r="B514" s="1302"/>
      <c r="C514" s="1303" t="s">
        <v>959</v>
      </c>
      <c r="D514" s="1313" t="s">
        <v>960</v>
      </c>
      <c r="E514" s="1318">
        <v>9200</v>
      </c>
      <c r="F514" s="1322">
        <f t="shared" si="133"/>
        <v>-383.45000000000073</v>
      </c>
      <c r="G514" s="1316" t="s">
        <v>1353</v>
      </c>
      <c r="H514" s="1325">
        <v>8816.5499999999993</v>
      </c>
      <c r="I514" s="1308">
        <v>0</v>
      </c>
      <c r="J514" s="1658">
        <f t="shared" si="121"/>
        <v>1</v>
      </c>
      <c r="K514" s="1308">
        <v>15055.01</v>
      </c>
      <c r="L514" s="1308">
        <v>0</v>
      </c>
      <c r="M514" s="1307"/>
    </row>
    <row r="515" spans="1:13" x14ac:dyDescent="0.2">
      <c r="A515" s="1302"/>
      <c r="B515" s="1302"/>
      <c r="C515" s="1303" t="s">
        <v>447</v>
      </c>
      <c r="D515" s="1313" t="s">
        <v>14</v>
      </c>
      <c r="E515" s="1318">
        <v>276923</v>
      </c>
      <c r="F515" s="1322">
        <f t="shared" si="133"/>
        <v>11265.390000000014</v>
      </c>
      <c r="G515" s="1316" t="s">
        <v>1354</v>
      </c>
      <c r="H515" s="1325">
        <v>286456.11</v>
      </c>
      <c r="I515" s="1308">
        <v>0</v>
      </c>
      <c r="J515" s="1658">
        <f t="shared" si="121"/>
        <v>0.99398907082967491</v>
      </c>
      <c r="K515" s="1308">
        <v>2628.63</v>
      </c>
      <c r="L515" s="1308">
        <v>0</v>
      </c>
      <c r="M515" s="1307"/>
    </row>
    <row r="516" spans="1:13" x14ac:dyDescent="0.2">
      <c r="A516" s="1302"/>
      <c r="B516" s="1302"/>
      <c r="C516" s="1303" t="s">
        <v>450</v>
      </c>
      <c r="D516" s="1313" t="s">
        <v>15</v>
      </c>
      <c r="E516" s="1318">
        <v>3778</v>
      </c>
      <c r="F516" s="1322">
        <f t="shared" si="133"/>
        <v>-907.11000000000013</v>
      </c>
      <c r="G516" s="1316" t="s">
        <v>1355</v>
      </c>
      <c r="H516" s="1325">
        <v>2870.89</v>
      </c>
      <c r="I516" s="1308">
        <v>0</v>
      </c>
      <c r="J516" s="1658">
        <f t="shared" si="121"/>
        <v>1</v>
      </c>
      <c r="K516" s="1308">
        <v>177.39</v>
      </c>
      <c r="L516" s="1308">
        <v>0</v>
      </c>
      <c r="M516" s="1307"/>
    </row>
    <row r="517" spans="1:13" x14ac:dyDescent="0.2">
      <c r="A517" s="1302"/>
      <c r="B517" s="1302"/>
      <c r="C517" s="1303" t="s">
        <v>391</v>
      </c>
      <c r="D517" s="1313" t="s">
        <v>17</v>
      </c>
      <c r="E517" s="1318">
        <v>10000</v>
      </c>
      <c r="F517" s="1322">
        <f t="shared" si="133"/>
        <v>0</v>
      </c>
      <c r="G517" s="1316" t="s">
        <v>648</v>
      </c>
      <c r="H517" s="1325">
        <v>10000</v>
      </c>
      <c r="I517" s="1308">
        <v>0</v>
      </c>
      <c r="J517" s="1658">
        <f t="shared" si="121"/>
        <v>1</v>
      </c>
      <c r="K517" s="1308">
        <v>0</v>
      </c>
      <c r="L517" s="1308">
        <v>0</v>
      </c>
      <c r="M517" s="1307"/>
    </row>
    <row r="518" spans="1:13" x14ac:dyDescent="0.2">
      <c r="A518" s="1302"/>
      <c r="B518" s="1302"/>
      <c r="C518" s="1303" t="s">
        <v>902</v>
      </c>
      <c r="D518" s="1313" t="s">
        <v>41</v>
      </c>
      <c r="E518" s="1318">
        <v>4000</v>
      </c>
      <c r="F518" s="1322">
        <f t="shared" si="133"/>
        <v>-800</v>
      </c>
      <c r="G518" s="1316" t="s">
        <v>1230</v>
      </c>
      <c r="H518" s="1325">
        <v>3093.77</v>
      </c>
      <c r="I518" s="1308">
        <v>0</v>
      </c>
      <c r="J518" s="1658">
        <f t="shared" si="121"/>
        <v>0.96680312499999999</v>
      </c>
      <c r="K518" s="1308">
        <v>420</v>
      </c>
      <c r="L518" s="1308">
        <v>0</v>
      </c>
      <c r="M518" s="1307"/>
    </row>
    <row r="519" spans="1:13" x14ac:dyDescent="0.2">
      <c r="A519" s="1302"/>
      <c r="B519" s="1302"/>
      <c r="C519" s="1303" t="s">
        <v>404</v>
      </c>
      <c r="D519" s="1313" t="s">
        <v>18</v>
      </c>
      <c r="E519" s="1318">
        <v>25000</v>
      </c>
      <c r="F519" s="1322">
        <f t="shared" si="133"/>
        <v>11000</v>
      </c>
      <c r="G519" s="1316" t="s">
        <v>1356</v>
      </c>
      <c r="H519" s="1325">
        <v>36000</v>
      </c>
      <c r="I519" s="1308">
        <v>0</v>
      </c>
      <c r="J519" s="1658">
        <f t="shared" si="121"/>
        <v>1</v>
      </c>
      <c r="K519" s="1308">
        <v>1037</v>
      </c>
      <c r="L519" s="1308">
        <v>0</v>
      </c>
      <c r="M519" s="1307"/>
    </row>
    <row r="520" spans="1:13" ht="22.5" x14ac:dyDescent="0.2">
      <c r="A520" s="1302"/>
      <c r="B520" s="1302"/>
      <c r="C520" s="1303" t="s">
        <v>468</v>
      </c>
      <c r="D520" s="1313" t="s">
        <v>919</v>
      </c>
      <c r="E520" s="1318">
        <v>1000</v>
      </c>
      <c r="F520" s="1322">
        <f t="shared" si="133"/>
        <v>0</v>
      </c>
      <c r="G520" s="1316" t="s">
        <v>680</v>
      </c>
      <c r="H520" s="1325">
        <v>1000</v>
      </c>
      <c r="I520" s="1308">
        <v>0</v>
      </c>
      <c r="J520" s="1658">
        <f t="shared" si="121"/>
        <v>1</v>
      </c>
      <c r="K520" s="1308">
        <v>0</v>
      </c>
      <c r="L520" s="1308">
        <v>0</v>
      </c>
      <c r="M520" s="1307"/>
    </row>
    <row r="521" spans="1:13" ht="22.5" x14ac:dyDescent="0.2">
      <c r="A521" s="1302"/>
      <c r="B521" s="1302"/>
      <c r="C521" s="1303" t="s">
        <v>1003</v>
      </c>
      <c r="D521" s="1313" t="s">
        <v>44</v>
      </c>
      <c r="E521" s="1318">
        <v>3555</v>
      </c>
      <c r="F521" s="1322">
        <f t="shared" si="133"/>
        <v>0</v>
      </c>
      <c r="G521" s="1316" t="s">
        <v>1357</v>
      </c>
      <c r="H521" s="1325">
        <v>3555</v>
      </c>
      <c r="I521" s="1308">
        <v>0</v>
      </c>
      <c r="J521" s="1658">
        <f t="shared" si="121"/>
        <v>1</v>
      </c>
      <c r="K521" s="1308">
        <v>0</v>
      </c>
      <c r="L521" s="1308">
        <v>0</v>
      </c>
      <c r="M521" s="1307"/>
    </row>
    <row r="522" spans="1:13" ht="78.75" x14ac:dyDescent="0.2">
      <c r="A522" s="1302"/>
      <c r="B522" s="1302"/>
      <c r="C522" s="1303" t="s">
        <v>1349</v>
      </c>
      <c r="D522" s="1313" t="s">
        <v>1350</v>
      </c>
      <c r="E522" s="1318">
        <v>5000</v>
      </c>
      <c r="F522" s="1322">
        <f t="shared" si="133"/>
        <v>0</v>
      </c>
      <c r="G522" s="1316" t="s">
        <v>859</v>
      </c>
      <c r="H522" s="1325">
        <v>3404.09</v>
      </c>
      <c r="I522" s="1308">
        <v>0</v>
      </c>
      <c r="J522" s="1658">
        <f t="shared" si="121"/>
        <v>0.68081800000000003</v>
      </c>
      <c r="K522" s="1308">
        <v>0</v>
      </c>
      <c r="L522" s="1308">
        <v>0</v>
      </c>
      <c r="M522" s="1307"/>
    </row>
    <row r="523" spans="1:13" ht="22.5" x14ac:dyDescent="0.2">
      <c r="A523" s="1302"/>
      <c r="B523" s="1302"/>
      <c r="C523" s="1303" t="s">
        <v>966</v>
      </c>
      <c r="D523" s="1313" t="s">
        <v>967</v>
      </c>
      <c r="E523" s="1318">
        <v>3000</v>
      </c>
      <c r="F523" s="1322">
        <f t="shared" si="133"/>
        <v>-500</v>
      </c>
      <c r="G523" s="1316" t="s">
        <v>1077</v>
      </c>
      <c r="H523" s="1325">
        <v>2350.3200000000002</v>
      </c>
      <c r="I523" s="1308">
        <v>0</v>
      </c>
      <c r="J523" s="1658">
        <f t="shared" ref="J523:J587" si="134">H523/G523</f>
        <v>0.94012800000000007</v>
      </c>
      <c r="K523" s="1308">
        <v>0</v>
      </c>
      <c r="L523" s="1308">
        <v>0</v>
      </c>
      <c r="M523" s="1307"/>
    </row>
    <row r="524" spans="1:13" ht="15" x14ac:dyDescent="0.2">
      <c r="A524" s="1299"/>
      <c r="B524" s="1305" t="s">
        <v>863</v>
      </c>
      <c r="C524" s="1300"/>
      <c r="D524" s="1312" t="s">
        <v>57</v>
      </c>
      <c r="E524" s="1317">
        <f>E525+E526+E527</f>
        <v>0</v>
      </c>
      <c r="F524" s="1321">
        <f t="shared" ref="F524:L524" si="135">F525+F526+F527</f>
        <v>300</v>
      </c>
      <c r="G524" s="1314">
        <f t="shared" si="135"/>
        <v>300</v>
      </c>
      <c r="H524" s="1317">
        <f t="shared" si="135"/>
        <v>300</v>
      </c>
      <c r="I524" s="1321">
        <f t="shared" si="135"/>
        <v>0</v>
      </c>
      <c r="J524" s="1326">
        <f t="shared" si="134"/>
        <v>1</v>
      </c>
      <c r="K524" s="1321">
        <f t="shared" si="135"/>
        <v>0</v>
      </c>
      <c r="L524" s="1916">
        <f t="shared" si="135"/>
        <v>0</v>
      </c>
      <c r="M524" s="1307"/>
    </row>
    <row r="525" spans="1:13" ht="22.5" x14ac:dyDescent="0.2">
      <c r="A525" s="1302"/>
      <c r="B525" s="1302"/>
      <c r="C525" s="1303" t="s">
        <v>890</v>
      </c>
      <c r="D525" s="1313" t="s">
        <v>13</v>
      </c>
      <c r="E525" s="1318">
        <v>0</v>
      </c>
      <c r="F525" s="1322">
        <f>G525-E525</f>
        <v>250.19</v>
      </c>
      <c r="G525" s="1316" t="s">
        <v>1358</v>
      </c>
      <c r="H525" s="1325">
        <v>250.19</v>
      </c>
      <c r="I525" s="1308">
        <v>0</v>
      </c>
      <c r="J525" s="1658">
        <f t="shared" si="134"/>
        <v>1</v>
      </c>
      <c r="K525" s="1308">
        <v>0</v>
      </c>
      <c r="L525" s="1308">
        <v>0</v>
      </c>
      <c r="M525" s="1307"/>
    </row>
    <row r="526" spans="1:13" x14ac:dyDescent="0.2">
      <c r="A526" s="1302"/>
      <c r="B526" s="1302"/>
      <c r="C526" s="1303" t="s">
        <v>447</v>
      </c>
      <c r="D526" s="1313" t="s">
        <v>14</v>
      </c>
      <c r="E526" s="1318">
        <v>0</v>
      </c>
      <c r="F526" s="1322">
        <f t="shared" ref="F526:F527" si="136">G526-E526</f>
        <v>43.68</v>
      </c>
      <c r="G526" s="1316" t="s">
        <v>1359</v>
      </c>
      <c r="H526" s="1325">
        <v>43.68</v>
      </c>
      <c r="I526" s="1308">
        <v>0</v>
      </c>
      <c r="J526" s="1658">
        <f t="shared" si="134"/>
        <v>1</v>
      </c>
      <c r="K526" s="1308">
        <v>0</v>
      </c>
      <c r="L526" s="1308">
        <v>0</v>
      </c>
      <c r="M526" s="1307"/>
    </row>
    <row r="527" spans="1:13" x14ac:dyDescent="0.2">
      <c r="A527" s="1302"/>
      <c r="B527" s="1302"/>
      <c r="C527" s="1303" t="s">
        <v>450</v>
      </c>
      <c r="D527" s="1313" t="s">
        <v>15</v>
      </c>
      <c r="E527" s="1318">
        <v>0</v>
      </c>
      <c r="F527" s="1322">
        <f t="shared" si="136"/>
        <v>6.13</v>
      </c>
      <c r="G527" s="1316" t="s">
        <v>1360</v>
      </c>
      <c r="H527" s="1325">
        <v>6.13</v>
      </c>
      <c r="I527" s="1308">
        <v>0</v>
      </c>
      <c r="J527" s="1658">
        <f t="shared" si="134"/>
        <v>1</v>
      </c>
      <c r="K527" s="1308">
        <v>0</v>
      </c>
      <c r="L527" s="1308">
        <v>0</v>
      </c>
      <c r="M527" s="1307"/>
    </row>
    <row r="528" spans="1:13" ht="15" x14ac:dyDescent="0.2">
      <c r="A528" s="1299"/>
      <c r="B528" s="1305" t="s">
        <v>865</v>
      </c>
      <c r="C528" s="1300"/>
      <c r="D528" s="1312" t="s">
        <v>58</v>
      </c>
      <c r="E528" s="1317">
        <f>E529+E530+E531+E532+E533+E534+E535+E536+E537+E538+E539</f>
        <v>137180</v>
      </c>
      <c r="F528" s="1321">
        <f t="shared" ref="F528:L528" si="137">F529+F530+F531+F532+F533+F534+F535+F536+F537+F538+F539</f>
        <v>768565</v>
      </c>
      <c r="G528" s="1314">
        <f t="shared" si="137"/>
        <v>905745</v>
      </c>
      <c r="H528" s="1317">
        <f t="shared" si="137"/>
        <v>902438.62</v>
      </c>
      <c r="I528" s="1321">
        <f t="shared" si="137"/>
        <v>0</v>
      </c>
      <c r="J528" s="1326">
        <f t="shared" si="134"/>
        <v>0.99634954650591501</v>
      </c>
      <c r="K528" s="1321">
        <f t="shared" si="137"/>
        <v>9893.59</v>
      </c>
      <c r="L528" s="1916">
        <f t="shared" si="137"/>
        <v>0</v>
      </c>
      <c r="M528" s="1307"/>
    </row>
    <row r="529" spans="1:13" ht="22.5" x14ac:dyDescent="0.2">
      <c r="A529" s="1302"/>
      <c r="B529" s="1302"/>
      <c r="C529" s="1303" t="s">
        <v>956</v>
      </c>
      <c r="D529" s="1313" t="s">
        <v>957</v>
      </c>
      <c r="E529" s="1318">
        <v>2000</v>
      </c>
      <c r="F529" s="1322">
        <f>G529-E529</f>
        <v>-500</v>
      </c>
      <c r="G529" s="1316" t="s">
        <v>793</v>
      </c>
      <c r="H529" s="1325">
        <v>1423.28</v>
      </c>
      <c r="I529" s="1308">
        <v>0</v>
      </c>
      <c r="J529" s="1658">
        <f t="shared" si="134"/>
        <v>0.94885333333333333</v>
      </c>
      <c r="K529" s="1308">
        <v>0</v>
      </c>
      <c r="L529" s="1308">
        <v>0</v>
      </c>
      <c r="M529" s="1307"/>
    </row>
    <row r="530" spans="1:13" x14ac:dyDescent="0.2">
      <c r="A530" s="1302"/>
      <c r="B530" s="1302"/>
      <c r="C530" s="1303" t="s">
        <v>1279</v>
      </c>
      <c r="D530" s="1313" t="s">
        <v>54</v>
      </c>
      <c r="E530" s="1318">
        <v>0</v>
      </c>
      <c r="F530" s="1322">
        <f t="shared" ref="F530:F539" si="138">G530-E530</f>
        <v>745200</v>
      </c>
      <c r="G530" s="1316" t="s">
        <v>1361</v>
      </c>
      <c r="H530" s="1325">
        <v>744150</v>
      </c>
      <c r="I530" s="1308">
        <v>0</v>
      </c>
      <c r="J530" s="1658">
        <f t="shared" si="134"/>
        <v>0.99859098228663445</v>
      </c>
      <c r="K530" s="1308">
        <v>0</v>
      </c>
      <c r="L530" s="1308">
        <v>0</v>
      </c>
      <c r="M530" s="1307"/>
    </row>
    <row r="531" spans="1:13" ht="22.5" x14ac:dyDescent="0.2">
      <c r="A531" s="1302"/>
      <c r="B531" s="1302"/>
      <c r="C531" s="1303" t="s">
        <v>890</v>
      </c>
      <c r="D531" s="1313" t="s">
        <v>13</v>
      </c>
      <c r="E531" s="1318">
        <v>96400</v>
      </c>
      <c r="F531" s="1322">
        <f t="shared" si="138"/>
        <v>17031</v>
      </c>
      <c r="G531" s="1316" t="s">
        <v>1362</v>
      </c>
      <c r="H531" s="1325">
        <v>112331</v>
      </c>
      <c r="I531" s="1308">
        <v>0</v>
      </c>
      <c r="J531" s="1658">
        <f t="shared" si="134"/>
        <v>0.99030247463215526</v>
      </c>
      <c r="K531" s="1308">
        <v>0</v>
      </c>
      <c r="L531" s="1308">
        <v>0</v>
      </c>
      <c r="M531" s="1307"/>
    </row>
    <row r="532" spans="1:13" x14ac:dyDescent="0.2">
      <c r="A532" s="1302"/>
      <c r="B532" s="1302"/>
      <c r="C532" s="1303" t="s">
        <v>959</v>
      </c>
      <c r="D532" s="1313" t="s">
        <v>960</v>
      </c>
      <c r="E532" s="1318">
        <v>6550</v>
      </c>
      <c r="F532" s="1322">
        <f t="shared" si="138"/>
        <v>0</v>
      </c>
      <c r="G532" s="1316" t="s">
        <v>1363</v>
      </c>
      <c r="H532" s="1325">
        <v>6488.11</v>
      </c>
      <c r="I532" s="1308">
        <v>0</v>
      </c>
      <c r="J532" s="1658">
        <f t="shared" si="134"/>
        <v>0.99055114503816788</v>
      </c>
      <c r="K532" s="1308">
        <v>8250.86</v>
      </c>
      <c r="L532" s="1308">
        <v>0</v>
      </c>
      <c r="M532" s="1307"/>
    </row>
    <row r="533" spans="1:13" x14ac:dyDescent="0.2">
      <c r="A533" s="1302"/>
      <c r="B533" s="1302"/>
      <c r="C533" s="1303" t="s">
        <v>447</v>
      </c>
      <c r="D533" s="1313" t="s">
        <v>14</v>
      </c>
      <c r="E533" s="1318">
        <v>17970</v>
      </c>
      <c r="F533" s="1322">
        <f t="shared" si="138"/>
        <v>2991.4000000000015</v>
      </c>
      <c r="G533" s="1316" t="s">
        <v>1364</v>
      </c>
      <c r="H533" s="1325">
        <v>20096.77</v>
      </c>
      <c r="I533" s="1308">
        <v>0</v>
      </c>
      <c r="J533" s="1658">
        <f t="shared" si="134"/>
        <v>0.95875132386195572</v>
      </c>
      <c r="K533" s="1308">
        <v>1440.58</v>
      </c>
      <c r="L533" s="1308">
        <v>0</v>
      </c>
      <c r="M533" s="1307"/>
    </row>
    <row r="534" spans="1:13" x14ac:dyDescent="0.2">
      <c r="A534" s="1302"/>
      <c r="B534" s="1302"/>
      <c r="C534" s="1303" t="s">
        <v>450</v>
      </c>
      <c r="D534" s="1313" t="s">
        <v>15</v>
      </c>
      <c r="E534" s="1318">
        <v>2520</v>
      </c>
      <c r="F534" s="1322">
        <f t="shared" si="138"/>
        <v>350</v>
      </c>
      <c r="G534" s="1316" t="s">
        <v>1365</v>
      </c>
      <c r="H534" s="1325">
        <v>2716.86</v>
      </c>
      <c r="I534" s="1308">
        <v>0</v>
      </c>
      <c r="J534" s="1658">
        <f t="shared" si="134"/>
        <v>0.94664111498257841</v>
      </c>
      <c r="K534" s="1308">
        <v>202.15</v>
      </c>
      <c r="L534" s="1308">
        <v>0</v>
      </c>
      <c r="M534" s="1307"/>
    </row>
    <row r="535" spans="1:13" x14ac:dyDescent="0.2">
      <c r="A535" s="1302"/>
      <c r="B535" s="1302"/>
      <c r="C535" s="1303" t="s">
        <v>391</v>
      </c>
      <c r="D535" s="1313" t="s">
        <v>17</v>
      </c>
      <c r="E535" s="1318">
        <v>3000</v>
      </c>
      <c r="F535" s="1322">
        <f t="shared" si="138"/>
        <v>0</v>
      </c>
      <c r="G535" s="1316" t="s">
        <v>1028</v>
      </c>
      <c r="H535" s="1325">
        <v>3000</v>
      </c>
      <c r="I535" s="1308">
        <v>0</v>
      </c>
      <c r="J535" s="1658">
        <f t="shared" si="134"/>
        <v>1</v>
      </c>
      <c r="K535" s="1308">
        <v>0</v>
      </c>
      <c r="L535" s="1308">
        <v>0</v>
      </c>
      <c r="M535" s="1307"/>
    </row>
    <row r="536" spans="1:13" x14ac:dyDescent="0.2">
      <c r="A536" s="1302"/>
      <c r="B536" s="1302"/>
      <c r="C536" s="1303" t="s">
        <v>404</v>
      </c>
      <c r="D536" s="1313" t="s">
        <v>18</v>
      </c>
      <c r="E536" s="1318">
        <v>0</v>
      </c>
      <c r="F536" s="1322">
        <f t="shared" si="138"/>
        <v>1992.6</v>
      </c>
      <c r="G536" s="1316" t="s">
        <v>1366</v>
      </c>
      <c r="H536" s="1325">
        <v>1992.6</v>
      </c>
      <c r="I536" s="1308">
        <v>0</v>
      </c>
      <c r="J536" s="1658">
        <f t="shared" si="134"/>
        <v>1</v>
      </c>
      <c r="K536" s="1308">
        <v>0</v>
      </c>
      <c r="L536" s="1308">
        <v>0</v>
      </c>
      <c r="M536" s="1307"/>
    </row>
    <row r="537" spans="1:13" x14ac:dyDescent="0.2">
      <c r="A537" s="1302"/>
      <c r="B537" s="1302"/>
      <c r="C537" s="1303" t="s">
        <v>1000</v>
      </c>
      <c r="D537" s="1313" t="s">
        <v>24</v>
      </c>
      <c r="E537" s="1318">
        <v>4000</v>
      </c>
      <c r="F537" s="1322">
        <f t="shared" si="138"/>
        <v>0</v>
      </c>
      <c r="G537" s="1316" t="s">
        <v>873</v>
      </c>
      <c r="H537" s="1325">
        <v>4000</v>
      </c>
      <c r="I537" s="1308">
        <v>0</v>
      </c>
      <c r="J537" s="1658">
        <f t="shared" si="134"/>
        <v>1</v>
      </c>
      <c r="K537" s="1308">
        <v>0</v>
      </c>
      <c r="L537" s="1308">
        <v>0</v>
      </c>
      <c r="M537" s="1307"/>
    </row>
    <row r="538" spans="1:13" ht="22.5" x14ac:dyDescent="0.2">
      <c r="A538" s="1302"/>
      <c r="B538" s="1302"/>
      <c r="C538" s="1303" t="s">
        <v>1003</v>
      </c>
      <c r="D538" s="1313" t="s">
        <v>44</v>
      </c>
      <c r="E538" s="1318">
        <v>4740</v>
      </c>
      <c r="F538" s="1322">
        <f t="shared" si="138"/>
        <v>0</v>
      </c>
      <c r="G538" s="1316" t="s">
        <v>1367</v>
      </c>
      <c r="H538" s="1325">
        <v>4740</v>
      </c>
      <c r="I538" s="1308">
        <v>0</v>
      </c>
      <c r="J538" s="1658">
        <f t="shared" si="134"/>
        <v>1</v>
      </c>
      <c r="K538" s="1308">
        <v>0</v>
      </c>
      <c r="L538" s="1308">
        <v>0</v>
      </c>
      <c r="M538" s="1307"/>
    </row>
    <row r="539" spans="1:13" ht="22.5" x14ac:dyDescent="0.2">
      <c r="A539" s="1302"/>
      <c r="B539" s="1302"/>
      <c r="C539" s="1303" t="s">
        <v>966</v>
      </c>
      <c r="D539" s="1313" t="s">
        <v>967</v>
      </c>
      <c r="E539" s="1318">
        <v>0</v>
      </c>
      <c r="F539" s="1322">
        <f t="shared" si="138"/>
        <v>1500</v>
      </c>
      <c r="G539" s="1316" t="s">
        <v>793</v>
      </c>
      <c r="H539" s="1325">
        <v>1500</v>
      </c>
      <c r="I539" s="1308">
        <v>0</v>
      </c>
      <c r="J539" s="1658">
        <f t="shared" si="134"/>
        <v>1</v>
      </c>
      <c r="K539" s="1308">
        <v>0</v>
      </c>
      <c r="L539" s="1308">
        <v>0</v>
      </c>
      <c r="M539" s="1307"/>
    </row>
    <row r="540" spans="1:13" ht="15" x14ac:dyDescent="0.2">
      <c r="A540" s="1299"/>
      <c r="B540" s="1305" t="s">
        <v>1368</v>
      </c>
      <c r="C540" s="1300"/>
      <c r="D540" s="1312" t="s">
        <v>1369</v>
      </c>
      <c r="E540" s="1317">
        <f>E541</f>
        <v>141128</v>
      </c>
      <c r="F540" s="1321">
        <f t="shared" ref="F540:L540" si="139">F541</f>
        <v>12000</v>
      </c>
      <c r="G540" s="1314" t="str">
        <f t="shared" si="139"/>
        <v>153 128,00</v>
      </c>
      <c r="H540" s="1317">
        <f t="shared" si="139"/>
        <v>149721.60999999999</v>
      </c>
      <c r="I540" s="1321">
        <f t="shared" si="139"/>
        <v>0</v>
      </c>
      <c r="J540" s="1326">
        <f t="shared" si="134"/>
        <v>0.97775462358288479</v>
      </c>
      <c r="K540" s="1321">
        <f t="shared" si="139"/>
        <v>0</v>
      </c>
      <c r="L540" s="1916">
        <f t="shared" si="139"/>
        <v>0</v>
      </c>
      <c r="M540" s="1307"/>
    </row>
    <row r="541" spans="1:13" ht="33.75" x14ac:dyDescent="0.2">
      <c r="A541" s="1302"/>
      <c r="B541" s="1302"/>
      <c r="C541" s="1303" t="s">
        <v>1108</v>
      </c>
      <c r="D541" s="1313" t="s">
        <v>1109</v>
      </c>
      <c r="E541" s="1318">
        <v>141128</v>
      </c>
      <c r="F541" s="1322">
        <f>G541-E541</f>
        <v>12000</v>
      </c>
      <c r="G541" s="1316" t="s">
        <v>1370</v>
      </c>
      <c r="H541" s="1325">
        <v>149721.60999999999</v>
      </c>
      <c r="I541" s="1308">
        <v>0</v>
      </c>
      <c r="J541" s="1658">
        <f t="shared" si="134"/>
        <v>0.97775462358288479</v>
      </c>
      <c r="K541" s="1308">
        <v>0</v>
      </c>
      <c r="L541" s="1308">
        <v>0</v>
      </c>
      <c r="M541" s="1307"/>
    </row>
    <row r="542" spans="1:13" ht="22.5" x14ac:dyDescent="0.2">
      <c r="A542" s="1299"/>
      <c r="B542" s="1305" t="s">
        <v>1371</v>
      </c>
      <c r="C542" s="1300"/>
      <c r="D542" s="1312" t="s">
        <v>1372</v>
      </c>
      <c r="E542" s="1317">
        <f>E543</f>
        <v>160000</v>
      </c>
      <c r="F542" s="1321">
        <f t="shared" ref="F542:L542" si="140">F543</f>
        <v>0</v>
      </c>
      <c r="G542" s="1314" t="str">
        <f t="shared" si="140"/>
        <v>160 000,00</v>
      </c>
      <c r="H542" s="1317">
        <f t="shared" si="140"/>
        <v>154195.09</v>
      </c>
      <c r="I542" s="1321">
        <f t="shared" si="140"/>
        <v>0</v>
      </c>
      <c r="J542" s="1326">
        <f t="shared" si="134"/>
        <v>0.96371931249999998</v>
      </c>
      <c r="K542" s="1321">
        <f t="shared" si="140"/>
        <v>0</v>
      </c>
      <c r="L542" s="1916">
        <f t="shared" si="140"/>
        <v>0</v>
      </c>
      <c r="M542" s="1307"/>
    </row>
    <row r="543" spans="1:13" ht="33.75" x14ac:dyDescent="0.2">
      <c r="A543" s="1302"/>
      <c r="B543" s="1302"/>
      <c r="C543" s="1303" t="s">
        <v>1108</v>
      </c>
      <c r="D543" s="1313" t="s">
        <v>1109</v>
      </c>
      <c r="E543" s="1318">
        <v>160000</v>
      </c>
      <c r="F543" s="1322">
        <f>G543-E543</f>
        <v>0</v>
      </c>
      <c r="G543" s="1316" t="s">
        <v>1373</v>
      </c>
      <c r="H543" s="1325">
        <v>154195.09</v>
      </c>
      <c r="I543" s="1308">
        <v>0</v>
      </c>
      <c r="J543" s="1658">
        <f t="shared" si="134"/>
        <v>0.96371931249999998</v>
      </c>
      <c r="K543" s="1308">
        <v>0</v>
      </c>
      <c r="L543" s="1308">
        <v>0</v>
      </c>
      <c r="M543" s="1307"/>
    </row>
    <row r="544" spans="1:13" ht="22.5" x14ac:dyDescent="0.2">
      <c r="A544" s="1334" t="s">
        <v>246</v>
      </c>
      <c r="B544" s="1334"/>
      <c r="C544" s="1334"/>
      <c r="D544" s="1335" t="s">
        <v>311</v>
      </c>
      <c r="E544" s="1336">
        <f>E545+E551+E564+E567+E572+E574+E582+E586+E588</f>
        <v>4884904.1499999994</v>
      </c>
      <c r="F544" s="1330">
        <f t="shared" ref="F544:L544" si="141">F545+F551+F564+F567+F572+F574+F582+F586+F588</f>
        <v>460585.03</v>
      </c>
      <c r="G544" s="1337">
        <f t="shared" si="141"/>
        <v>5345489.1800000006</v>
      </c>
      <c r="H544" s="1336">
        <f t="shared" si="141"/>
        <v>4812685.7300000004</v>
      </c>
      <c r="I544" s="1330">
        <f t="shared" si="141"/>
        <v>322498.67000000004</v>
      </c>
      <c r="J544" s="1333">
        <f t="shared" si="134"/>
        <v>0.90032653101357507</v>
      </c>
      <c r="K544" s="1330">
        <f t="shared" si="141"/>
        <v>308430.08000000002</v>
      </c>
      <c r="L544" s="1917">
        <f t="shared" si="141"/>
        <v>20862.57</v>
      </c>
      <c r="M544" s="1307"/>
    </row>
    <row r="545" spans="1:13" ht="15" x14ac:dyDescent="0.2">
      <c r="A545" s="1299"/>
      <c r="B545" s="1305" t="s">
        <v>247</v>
      </c>
      <c r="C545" s="1300"/>
      <c r="D545" s="1312" t="s">
        <v>1374</v>
      </c>
      <c r="E545" s="1317">
        <f>E546+E547+E549+E550</f>
        <v>275000</v>
      </c>
      <c r="F545" s="1321">
        <f t="shared" ref="F545:I545" si="142">F546+F547+F549+F550</f>
        <v>154000</v>
      </c>
      <c r="G545" s="1314">
        <f t="shared" si="142"/>
        <v>429000</v>
      </c>
      <c r="H545" s="1317">
        <f t="shared" si="142"/>
        <v>417829.23</v>
      </c>
      <c r="I545" s="1321">
        <f t="shared" si="142"/>
        <v>173451.67</v>
      </c>
      <c r="J545" s="1326">
        <f t="shared" si="134"/>
        <v>0.97396090909090904</v>
      </c>
      <c r="K545" s="1321">
        <f>K546+K547+K548+K549+K550</f>
        <v>7275</v>
      </c>
      <c r="L545" s="1321">
        <f>L546+L547+L548+L549+L550</f>
        <v>0</v>
      </c>
      <c r="M545" s="1307"/>
    </row>
    <row r="546" spans="1:13" x14ac:dyDescent="0.2">
      <c r="A546" s="1302"/>
      <c r="B546" s="1302"/>
      <c r="C546" s="1303" t="s">
        <v>391</v>
      </c>
      <c r="D546" s="1313" t="s">
        <v>17</v>
      </c>
      <c r="E546" s="1318">
        <v>5000</v>
      </c>
      <c r="F546" s="1322">
        <f>G546-E546</f>
        <v>0</v>
      </c>
      <c r="G546" s="1316" t="s">
        <v>859</v>
      </c>
      <c r="H546" s="1325">
        <v>0</v>
      </c>
      <c r="I546" s="1308">
        <v>0</v>
      </c>
      <c r="J546" s="1658">
        <f t="shared" si="134"/>
        <v>0</v>
      </c>
      <c r="K546" s="1308">
        <v>0</v>
      </c>
      <c r="L546" s="1308">
        <v>0</v>
      </c>
      <c r="M546" s="1307"/>
    </row>
    <row r="547" spans="1:13" x14ac:dyDescent="0.2">
      <c r="A547" s="1302"/>
      <c r="B547" s="1302"/>
      <c r="C547" s="1303" t="s">
        <v>404</v>
      </c>
      <c r="D547" s="1313" t="s">
        <v>18</v>
      </c>
      <c r="E547" s="1318">
        <v>160000</v>
      </c>
      <c r="F547" s="1322">
        <f t="shared" ref="F547:F550" si="143">G547-E547</f>
        <v>0</v>
      </c>
      <c r="G547" s="1316" t="s">
        <v>1373</v>
      </c>
      <c r="H547" s="1325">
        <v>156525.10999999999</v>
      </c>
      <c r="I547" s="1308">
        <v>0</v>
      </c>
      <c r="J547" s="1658">
        <f t="shared" si="134"/>
        <v>0.97828193749999992</v>
      </c>
      <c r="K547" s="1308">
        <v>0</v>
      </c>
      <c r="L547" s="1308">
        <v>0</v>
      </c>
      <c r="M547" s="1307"/>
    </row>
    <row r="548" spans="1:13" s="1340" customFormat="1" x14ac:dyDescent="0.2">
      <c r="A548" s="1342"/>
      <c r="B548" s="1342"/>
      <c r="C548" s="1356" t="s">
        <v>897</v>
      </c>
      <c r="D548" s="1675" t="s">
        <v>19</v>
      </c>
      <c r="E548" s="1318">
        <v>0</v>
      </c>
      <c r="F548" s="1322">
        <v>0</v>
      </c>
      <c r="G548" s="1316">
        <v>0</v>
      </c>
      <c r="H548" s="1325">
        <v>0</v>
      </c>
      <c r="I548" s="1308">
        <v>0</v>
      </c>
      <c r="J548" s="1658"/>
      <c r="K548" s="1308">
        <v>7275</v>
      </c>
      <c r="L548" s="1308">
        <v>0</v>
      </c>
      <c r="M548" s="1307"/>
    </row>
    <row r="549" spans="1:13" ht="22.5" x14ac:dyDescent="0.2">
      <c r="A549" s="1302"/>
      <c r="B549" s="1302"/>
      <c r="C549" s="1303" t="s">
        <v>147</v>
      </c>
      <c r="D549" s="1313" t="s">
        <v>45</v>
      </c>
      <c r="E549" s="1318">
        <v>80000</v>
      </c>
      <c r="F549" s="1322">
        <f t="shared" si="143"/>
        <v>115000</v>
      </c>
      <c r="G549" s="1316" t="s">
        <v>838</v>
      </c>
      <c r="H549" s="1325">
        <v>195000</v>
      </c>
      <c r="I549" s="1308">
        <v>173451.67</v>
      </c>
      <c r="J549" s="1658">
        <f t="shared" si="134"/>
        <v>1</v>
      </c>
      <c r="K549" s="1308">
        <v>0</v>
      </c>
      <c r="L549" s="1308">
        <v>0</v>
      </c>
      <c r="M549" s="1307"/>
    </row>
    <row r="550" spans="1:13" ht="67.5" x14ac:dyDescent="0.2">
      <c r="A550" s="1302"/>
      <c r="B550" s="1302"/>
      <c r="C550" s="1303" t="s">
        <v>210</v>
      </c>
      <c r="D550" s="1313" t="s">
        <v>1063</v>
      </c>
      <c r="E550" s="1318">
        <v>30000</v>
      </c>
      <c r="F550" s="1322">
        <f t="shared" si="143"/>
        <v>39000</v>
      </c>
      <c r="G550" s="1316" t="s">
        <v>1375</v>
      </c>
      <c r="H550" s="1325">
        <v>66304.12</v>
      </c>
      <c r="I550" s="1308">
        <v>0</v>
      </c>
      <c r="J550" s="1658">
        <f t="shared" si="134"/>
        <v>0.96092927536231876</v>
      </c>
      <c r="K550" s="1308">
        <v>0</v>
      </c>
      <c r="L550" s="1308">
        <v>0</v>
      </c>
      <c r="M550" s="1307"/>
    </row>
    <row r="551" spans="1:13" ht="15" x14ac:dyDescent="0.2">
      <c r="A551" s="1299"/>
      <c r="B551" s="1305" t="s">
        <v>871</v>
      </c>
      <c r="C551" s="1300"/>
      <c r="D551" s="1312" t="s">
        <v>312</v>
      </c>
      <c r="E551" s="1317">
        <f>E552+E553+E554+E555+E556+E557+E558+E559+E560+E561+E562+E563</f>
        <v>2533836.4900000002</v>
      </c>
      <c r="F551" s="1321">
        <f t="shared" ref="F551:L551" si="144">F552+F553+F554+F555+F556+F557+F558+F559+F560+F561+F562+F563</f>
        <v>-3317.2299999999777</v>
      </c>
      <c r="G551" s="1314">
        <f t="shared" si="144"/>
        <v>2530519.2600000002</v>
      </c>
      <c r="H551" s="1317">
        <f t="shared" si="144"/>
        <v>2278250.66</v>
      </c>
      <c r="I551" s="1321">
        <f t="shared" si="144"/>
        <v>0</v>
      </c>
      <c r="J551" s="1326">
        <f t="shared" si="134"/>
        <v>0.90030955148707303</v>
      </c>
      <c r="K551" s="1321">
        <f t="shared" si="144"/>
        <v>199240.52</v>
      </c>
      <c r="L551" s="1916">
        <f t="shared" si="144"/>
        <v>0</v>
      </c>
      <c r="M551" s="1307"/>
    </row>
    <row r="552" spans="1:13" ht="45" x14ac:dyDescent="0.2">
      <c r="A552" s="1302"/>
      <c r="B552" s="1302"/>
      <c r="C552" s="1303" t="s">
        <v>1150</v>
      </c>
      <c r="D552" s="1313" t="s">
        <v>1151</v>
      </c>
      <c r="E552" s="1318">
        <v>30000</v>
      </c>
      <c r="F552" s="1322">
        <f>G552-E552</f>
        <v>0</v>
      </c>
      <c r="G552" s="1316" t="s">
        <v>979</v>
      </c>
      <c r="H552" s="1325">
        <v>3115.4</v>
      </c>
      <c r="I552" s="1308">
        <v>0</v>
      </c>
      <c r="J552" s="1658">
        <f t="shared" si="134"/>
        <v>0.10384666666666667</v>
      </c>
      <c r="K552" s="1308">
        <v>0</v>
      </c>
      <c r="L552" s="1308">
        <v>0</v>
      </c>
      <c r="M552" s="1307"/>
    </row>
    <row r="553" spans="1:13" ht="22.5" x14ac:dyDescent="0.2">
      <c r="A553" s="1302"/>
      <c r="B553" s="1302"/>
      <c r="C553" s="1303" t="s">
        <v>890</v>
      </c>
      <c r="D553" s="1313" t="s">
        <v>13</v>
      </c>
      <c r="E553" s="1318">
        <v>153277.32999999999</v>
      </c>
      <c r="F553" s="1322">
        <f t="shared" ref="F553:F563" si="145">G553-E553</f>
        <v>-4907.5999999999767</v>
      </c>
      <c r="G553" s="1316" t="s">
        <v>1376</v>
      </c>
      <c r="H553" s="1325">
        <v>147708.13</v>
      </c>
      <c r="I553" s="1308">
        <v>0</v>
      </c>
      <c r="J553" s="1658">
        <f t="shared" si="134"/>
        <v>0.99554086942127618</v>
      </c>
      <c r="K553" s="1308">
        <v>0</v>
      </c>
      <c r="L553" s="1308">
        <v>0</v>
      </c>
      <c r="M553" s="1307"/>
    </row>
    <row r="554" spans="1:13" x14ac:dyDescent="0.2">
      <c r="A554" s="1302"/>
      <c r="B554" s="1302"/>
      <c r="C554" s="1303" t="s">
        <v>959</v>
      </c>
      <c r="D554" s="1313" t="s">
        <v>960</v>
      </c>
      <c r="E554" s="1318">
        <v>11195.52</v>
      </c>
      <c r="F554" s="1322">
        <f t="shared" si="145"/>
        <v>-1540.5200000000004</v>
      </c>
      <c r="G554" s="1316" t="s">
        <v>1377</v>
      </c>
      <c r="H554" s="1325">
        <v>9655</v>
      </c>
      <c r="I554" s="1308">
        <v>0</v>
      </c>
      <c r="J554" s="1658">
        <f t="shared" si="134"/>
        <v>1</v>
      </c>
      <c r="K554" s="1308">
        <v>11467.23</v>
      </c>
      <c r="L554" s="1308">
        <v>0</v>
      </c>
      <c r="M554" s="1307"/>
    </row>
    <row r="555" spans="1:13" x14ac:dyDescent="0.2">
      <c r="A555" s="1302"/>
      <c r="B555" s="1302"/>
      <c r="C555" s="1303" t="s">
        <v>447</v>
      </c>
      <c r="D555" s="1313" t="s">
        <v>14</v>
      </c>
      <c r="E555" s="1318">
        <v>28272.880000000001</v>
      </c>
      <c r="F555" s="1322">
        <f t="shared" si="145"/>
        <v>-2577.9500000000007</v>
      </c>
      <c r="G555" s="1316" t="s">
        <v>1378</v>
      </c>
      <c r="H555" s="1325">
        <v>25694.93</v>
      </c>
      <c r="I555" s="1308">
        <v>0</v>
      </c>
      <c r="J555" s="1658">
        <f t="shared" si="134"/>
        <v>1</v>
      </c>
      <c r="K555" s="1308">
        <v>1960.9</v>
      </c>
      <c r="L555" s="1308">
        <v>0</v>
      </c>
      <c r="M555" s="1307"/>
    </row>
    <row r="556" spans="1:13" x14ac:dyDescent="0.2">
      <c r="A556" s="1302"/>
      <c r="B556" s="1302"/>
      <c r="C556" s="1303" t="s">
        <v>450</v>
      </c>
      <c r="D556" s="1313" t="s">
        <v>15</v>
      </c>
      <c r="E556" s="1318">
        <v>4029.58</v>
      </c>
      <c r="F556" s="1322">
        <f t="shared" si="145"/>
        <v>-1198.1599999999999</v>
      </c>
      <c r="G556" s="1316" t="s">
        <v>1379</v>
      </c>
      <c r="H556" s="1325">
        <v>2831.42</v>
      </c>
      <c r="I556" s="1308">
        <v>0</v>
      </c>
      <c r="J556" s="1658">
        <f t="shared" si="134"/>
        <v>1</v>
      </c>
      <c r="K556" s="1308">
        <v>215.42</v>
      </c>
      <c r="L556" s="1308">
        <v>0</v>
      </c>
      <c r="M556" s="1307"/>
    </row>
    <row r="557" spans="1:13" x14ac:dyDescent="0.2">
      <c r="A557" s="1302"/>
      <c r="B557" s="1302"/>
      <c r="C557" s="1303" t="s">
        <v>442</v>
      </c>
      <c r="D557" s="1313" t="s">
        <v>31</v>
      </c>
      <c r="E557" s="1318">
        <v>0</v>
      </c>
      <c r="F557" s="1322">
        <f t="shared" si="145"/>
        <v>2500</v>
      </c>
      <c r="G557" s="1316" t="s">
        <v>1077</v>
      </c>
      <c r="H557" s="1325">
        <v>2497.5</v>
      </c>
      <c r="I557" s="1308">
        <v>0</v>
      </c>
      <c r="J557" s="1658">
        <f t="shared" si="134"/>
        <v>0.999</v>
      </c>
      <c r="K557" s="1308">
        <v>0</v>
      </c>
      <c r="L557" s="1308">
        <v>0</v>
      </c>
      <c r="M557" s="1307"/>
    </row>
    <row r="558" spans="1:13" x14ac:dyDescent="0.2">
      <c r="A558" s="1302"/>
      <c r="B558" s="1302"/>
      <c r="C558" s="1303" t="s">
        <v>391</v>
      </c>
      <c r="D558" s="1313" t="s">
        <v>17</v>
      </c>
      <c r="E558" s="1318">
        <v>29000</v>
      </c>
      <c r="F558" s="1322">
        <f t="shared" si="145"/>
        <v>0</v>
      </c>
      <c r="G558" s="1316" t="s">
        <v>1380</v>
      </c>
      <c r="H558" s="1325">
        <v>8964.86</v>
      </c>
      <c r="I558" s="1308">
        <v>0</v>
      </c>
      <c r="J558" s="1658">
        <f t="shared" si="134"/>
        <v>0.30913310344827588</v>
      </c>
      <c r="K558" s="1308">
        <v>0</v>
      </c>
      <c r="L558" s="1308">
        <v>0</v>
      </c>
      <c r="M558" s="1307"/>
    </row>
    <row r="559" spans="1:13" x14ac:dyDescent="0.2">
      <c r="A559" s="1302"/>
      <c r="B559" s="1302"/>
      <c r="C559" s="1303" t="s">
        <v>404</v>
      </c>
      <c r="D559" s="1313" t="s">
        <v>18</v>
      </c>
      <c r="E559" s="1318">
        <v>2270522.1800000002</v>
      </c>
      <c r="F559" s="1322">
        <f t="shared" si="145"/>
        <v>5000</v>
      </c>
      <c r="G559" s="1316" t="s">
        <v>1381</v>
      </c>
      <c r="H559" s="1325">
        <v>2072000.42</v>
      </c>
      <c r="I559" s="1308">
        <v>0</v>
      </c>
      <c r="J559" s="1658">
        <f t="shared" si="134"/>
        <v>0.91056041475280181</v>
      </c>
      <c r="K559" s="1308">
        <f>184440.77+1156.2</f>
        <v>185596.97</v>
      </c>
      <c r="L559" s="1308">
        <v>0</v>
      </c>
      <c r="M559" s="1307"/>
    </row>
    <row r="560" spans="1:13" x14ac:dyDescent="0.2">
      <c r="A560" s="1302"/>
      <c r="B560" s="1302"/>
      <c r="C560" s="1303" t="s">
        <v>897</v>
      </c>
      <c r="D560" s="1313" t="s">
        <v>19</v>
      </c>
      <c r="E560" s="1318">
        <v>500</v>
      </c>
      <c r="F560" s="1322">
        <f t="shared" si="145"/>
        <v>-500</v>
      </c>
      <c r="G560" s="1316" t="s">
        <v>636</v>
      </c>
      <c r="H560" s="1325">
        <v>0</v>
      </c>
      <c r="I560" s="1308">
        <v>0</v>
      </c>
      <c r="J560" s="1658">
        <v>0</v>
      </c>
      <c r="K560" s="1308">
        <v>0</v>
      </c>
      <c r="L560" s="1308">
        <v>0</v>
      </c>
      <c r="M560" s="1307"/>
    </row>
    <row r="561" spans="1:13" ht="22.5" x14ac:dyDescent="0.2">
      <c r="A561" s="1302"/>
      <c r="B561" s="1302"/>
      <c r="C561" s="1303" t="s">
        <v>1003</v>
      </c>
      <c r="D561" s="1313" t="s">
        <v>44</v>
      </c>
      <c r="E561" s="1318">
        <v>5039</v>
      </c>
      <c r="F561" s="1322">
        <f t="shared" si="145"/>
        <v>-593</v>
      </c>
      <c r="G561" s="1316" t="s">
        <v>1382</v>
      </c>
      <c r="H561" s="1325">
        <v>4446</v>
      </c>
      <c r="I561" s="1308">
        <v>0</v>
      </c>
      <c r="J561" s="1658">
        <f t="shared" si="134"/>
        <v>1</v>
      </c>
      <c r="K561" s="1308">
        <v>0</v>
      </c>
      <c r="L561" s="1308">
        <v>0</v>
      </c>
      <c r="M561" s="1307"/>
    </row>
    <row r="562" spans="1:13" ht="33.75" x14ac:dyDescent="0.2">
      <c r="A562" s="1302"/>
      <c r="B562" s="1302"/>
      <c r="C562" s="1303" t="s">
        <v>941</v>
      </c>
      <c r="D562" s="1313" t="s">
        <v>942</v>
      </c>
      <c r="E562" s="1318">
        <v>0</v>
      </c>
      <c r="F562" s="1322">
        <f t="shared" si="145"/>
        <v>500</v>
      </c>
      <c r="G562" s="1316" t="s">
        <v>1287</v>
      </c>
      <c r="H562" s="1325">
        <v>500</v>
      </c>
      <c r="I562" s="1308">
        <v>0</v>
      </c>
      <c r="J562" s="1658">
        <f t="shared" si="134"/>
        <v>1</v>
      </c>
      <c r="K562" s="1308">
        <v>0</v>
      </c>
      <c r="L562" s="1308">
        <v>0</v>
      </c>
      <c r="M562" s="1307"/>
    </row>
    <row r="563" spans="1:13" ht="22.5" x14ac:dyDescent="0.2">
      <c r="A563" s="1302"/>
      <c r="B563" s="1302"/>
      <c r="C563" s="1303" t="s">
        <v>966</v>
      </c>
      <c r="D563" s="1313" t="s">
        <v>967</v>
      </c>
      <c r="E563" s="1318">
        <v>2000</v>
      </c>
      <c r="F563" s="1322">
        <f t="shared" si="145"/>
        <v>0</v>
      </c>
      <c r="G563" s="1316" t="s">
        <v>668</v>
      </c>
      <c r="H563" s="1325">
        <v>837</v>
      </c>
      <c r="I563" s="1308">
        <v>0</v>
      </c>
      <c r="J563" s="1658">
        <f t="shared" si="134"/>
        <v>0.41849999999999998</v>
      </c>
      <c r="K563" s="1308">
        <v>0</v>
      </c>
      <c r="L563" s="1308">
        <v>0</v>
      </c>
      <c r="M563" s="1307"/>
    </row>
    <row r="564" spans="1:13" ht="15" x14ac:dyDescent="0.2">
      <c r="A564" s="1299"/>
      <c r="B564" s="1305" t="s">
        <v>1383</v>
      </c>
      <c r="C564" s="1300"/>
      <c r="D564" s="1312" t="s">
        <v>1384</v>
      </c>
      <c r="E564" s="1317">
        <f>E565+E566</f>
        <v>400000</v>
      </c>
      <c r="F564" s="1321">
        <f t="shared" ref="F564:L564" si="146">F565+F566</f>
        <v>-10000</v>
      </c>
      <c r="G564" s="1314">
        <f t="shared" si="146"/>
        <v>390000</v>
      </c>
      <c r="H564" s="1317">
        <f t="shared" si="146"/>
        <v>353033.15</v>
      </c>
      <c r="I564" s="1321">
        <f t="shared" si="146"/>
        <v>0</v>
      </c>
      <c r="J564" s="1326">
        <f t="shared" si="134"/>
        <v>0.90521320512820513</v>
      </c>
      <c r="K564" s="1321">
        <f t="shared" si="146"/>
        <v>18875.11</v>
      </c>
      <c r="L564" s="1916">
        <f t="shared" si="146"/>
        <v>0</v>
      </c>
      <c r="M564" s="1307"/>
    </row>
    <row r="565" spans="1:13" x14ac:dyDescent="0.2">
      <c r="A565" s="1302"/>
      <c r="B565" s="1302"/>
      <c r="C565" s="1303" t="s">
        <v>391</v>
      </c>
      <c r="D565" s="1313" t="s">
        <v>17</v>
      </c>
      <c r="E565" s="1318">
        <v>0</v>
      </c>
      <c r="F565" s="1322">
        <f>G565-E565</f>
        <v>30000</v>
      </c>
      <c r="G565" s="1316" t="s">
        <v>979</v>
      </c>
      <c r="H565" s="1325">
        <v>24086.65</v>
      </c>
      <c r="I565" s="1308">
        <v>0</v>
      </c>
      <c r="J565" s="1658">
        <f t="shared" si="134"/>
        <v>0.80288833333333343</v>
      </c>
      <c r="K565" s="1308">
        <v>0</v>
      </c>
      <c r="L565" s="1308">
        <v>0</v>
      </c>
      <c r="M565" s="1307"/>
    </row>
    <row r="566" spans="1:13" x14ac:dyDescent="0.2">
      <c r="A566" s="1302"/>
      <c r="B566" s="1302"/>
      <c r="C566" s="1303" t="s">
        <v>404</v>
      </c>
      <c r="D566" s="1313" t="s">
        <v>18</v>
      </c>
      <c r="E566" s="1318">
        <v>400000</v>
      </c>
      <c r="F566" s="1322">
        <f>G566-E566</f>
        <v>-40000</v>
      </c>
      <c r="G566" s="1316" t="s">
        <v>1385</v>
      </c>
      <c r="H566" s="1325">
        <v>328946.5</v>
      </c>
      <c r="I566" s="1308">
        <v>0</v>
      </c>
      <c r="J566" s="1658">
        <f t="shared" si="134"/>
        <v>0.91374027777777778</v>
      </c>
      <c r="K566" s="1308">
        <v>18875.11</v>
      </c>
      <c r="L566" s="1308">
        <v>0</v>
      </c>
      <c r="M566" s="1307"/>
    </row>
    <row r="567" spans="1:13" ht="15" x14ac:dyDescent="0.2">
      <c r="A567" s="1299"/>
      <c r="B567" s="1305" t="s">
        <v>432</v>
      </c>
      <c r="C567" s="1300"/>
      <c r="D567" s="1312" t="s">
        <v>433</v>
      </c>
      <c r="E567" s="1317">
        <f>E568+E569+E570+E571</f>
        <v>229509.93</v>
      </c>
      <c r="F567" s="1321">
        <f t="shared" ref="F567:L567" si="147">F568+F569+F570+F571</f>
        <v>5882</v>
      </c>
      <c r="G567" s="1314">
        <f t="shared" si="147"/>
        <v>235391.93</v>
      </c>
      <c r="H567" s="1317">
        <f t="shared" si="147"/>
        <v>183893.4</v>
      </c>
      <c r="I567" s="1321">
        <f t="shared" si="147"/>
        <v>0</v>
      </c>
      <c r="J567" s="1326">
        <f t="shared" si="134"/>
        <v>0.78122219398090664</v>
      </c>
      <c r="K567" s="1321">
        <f t="shared" si="147"/>
        <v>13.51</v>
      </c>
      <c r="L567" s="1916">
        <f t="shared" si="147"/>
        <v>20862.57</v>
      </c>
      <c r="M567" s="1307"/>
    </row>
    <row r="568" spans="1:13" x14ac:dyDescent="0.2">
      <c r="A568" s="1302"/>
      <c r="B568" s="1302"/>
      <c r="C568" s="1303" t="s">
        <v>442</v>
      </c>
      <c r="D568" s="1313" t="s">
        <v>31</v>
      </c>
      <c r="E568" s="1318">
        <v>2500</v>
      </c>
      <c r="F568" s="1322">
        <f>G568-E568</f>
        <v>0</v>
      </c>
      <c r="G568" s="1316" t="s">
        <v>1077</v>
      </c>
      <c r="H568" s="1325">
        <v>2500</v>
      </c>
      <c r="I568" s="1308">
        <v>0</v>
      </c>
      <c r="J568" s="1658">
        <f t="shared" si="134"/>
        <v>1</v>
      </c>
      <c r="K568" s="1308">
        <v>0</v>
      </c>
      <c r="L568" s="1308">
        <v>2500</v>
      </c>
      <c r="M568" s="1307"/>
    </row>
    <row r="569" spans="1:13" x14ac:dyDescent="0.2">
      <c r="A569" s="1302"/>
      <c r="B569" s="1302"/>
      <c r="C569" s="1303" t="s">
        <v>391</v>
      </c>
      <c r="D569" s="1313" t="s">
        <v>17</v>
      </c>
      <c r="E569" s="1318">
        <v>59709.93</v>
      </c>
      <c r="F569" s="1322">
        <f t="shared" ref="F569:F571" si="148">G569-E569</f>
        <v>-18800</v>
      </c>
      <c r="G569" s="1316" t="s">
        <v>1386</v>
      </c>
      <c r="H569" s="1325">
        <v>24750.29</v>
      </c>
      <c r="I569" s="1308">
        <v>0</v>
      </c>
      <c r="J569" s="1658">
        <f t="shared" si="134"/>
        <v>0.60499467977579036</v>
      </c>
      <c r="K569" s="1308">
        <v>0</v>
      </c>
      <c r="L569" s="1308">
        <v>16162.57</v>
      </c>
      <c r="M569" s="1307"/>
    </row>
    <row r="570" spans="1:13" x14ac:dyDescent="0.2">
      <c r="A570" s="1302"/>
      <c r="B570" s="1302"/>
      <c r="C570" s="1303" t="s">
        <v>902</v>
      </c>
      <c r="D570" s="1313" t="s">
        <v>41</v>
      </c>
      <c r="E570" s="1318">
        <v>3000</v>
      </c>
      <c r="F570" s="1322">
        <f t="shared" si="148"/>
        <v>0</v>
      </c>
      <c r="G570" s="1316" t="s">
        <v>1028</v>
      </c>
      <c r="H570" s="1325">
        <v>2723.73</v>
      </c>
      <c r="I570" s="1308">
        <v>0</v>
      </c>
      <c r="J570" s="1658">
        <f t="shared" si="134"/>
        <v>0.90790999999999999</v>
      </c>
      <c r="K570" s="1308">
        <v>13.51</v>
      </c>
      <c r="L570" s="1308">
        <v>0</v>
      </c>
      <c r="M570" s="1307"/>
    </row>
    <row r="571" spans="1:13" x14ac:dyDescent="0.2">
      <c r="A571" s="1302"/>
      <c r="B571" s="1302"/>
      <c r="C571" s="1303" t="s">
        <v>404</v>
      </c>
      <c r="D571" s="1313" t="s">
        <v>18</v>
      </c>
      <c r="E571" s="1318">
        <v>164300</v>
      </c>
      <c r="F571" s="1322">
        <f t="shared" si="148"/>
        <v>24682</v>
      </c>
      <c r="G571" s="1316" t="s">
        <v>1387</v>
      </c>
      <c r="H571" s="1325">
        <v>153919.38</v>
      </c>
      <c r="I571" s="1308">
        <v>0</v>
      </c>
      <c r="J571" s="1658">
        <f t="shared" si="134"/>
        <v>0.81446582214179131</v>
      </c>
      <c r="K571" s="1308">
        <v>0</v>
      </c>
      <c r="L571" s="1308">
        <v>2200</v>
      </c>
      <c r="M571" s="1307"/>
    </row>
    <row r="572" spans="1:13" ht="22.5" x14ac:dyDescent="0.2">
      <c r="A572" s="1299"/>
      <c r="B572" s="1305" t="s">
        <v>253</v>
      </c>
      <c r="C572" s="1300"/>
      <c r="D572" s="1312" t="s">
        <v>348</v>
      </c>
      <c r="E572" s="1317">
        <f>E573</f>
        <v>21000</v>
      </c>
      <c r="F572" s="1321">
        <f t="shared" ref="F572:L572" si="149">F573</f>
        <v>48000</v>
      </c>
      <c r="G572" s="1314" t="str">
        <f t="shared" si="149"/>
        <v>69 000,00</v>
      </c>
      <c r="H572" s="1317">
        <f t="shared" si="149"/>
        <v>68771</v>
      </c>
      <c r="I572" s="1321">
        <f t="shared" si="149"/>
        <v>0</v>
      </c>
      <c r="J572" s="1326">
        <f t="shared" si="134"/>
        <v>0.9966811594202899</v>
      </c>
      <c r="K572" s="1321">
        <f t="shared" si="149"/>
        <v>0</v>
      </c>
      <c r="L572" s="1916">
        <f t="shared" si="149"/>
        <v>0</v>
      </c>
      <c r="M572" s="1307"/>
    </row>
    <row r="573" spans="1:13" ht="67.5" x14ac:dyDescent="0.2">
      <c r="A573" s="1302"/>
      <c r="B573" s="1302"/>
      <c r="C573" s="1303" t="s">
        <v>210</v>
      </c>
      <c r="D573" s="1313" t="s">
        <v>1063</v>
      </c>
      <c r="E573" s="1318">
        <v>21000</v>
      </c>
      <c r="F573" s="1322">
        <f>G573-E573</f>
        <v>48000</v>
      </c>
      <c r="G573" s="1316" t="s">
        <v>1375</v>
      </c>
      <c r="H573" s="1325">
        <v>68771</v>
      </c>
      <c r="I573" s="1308">
        <v>0</v>
      </c>
      <c r="J573" s="1658">
        <f t="shared" si="134"/>
        <v>0.9966811594202899</v>
      </c>
      <c r="K573" s="1308">
        <v>0</v>
      </c>
      <c r="L573" s="1308">
        <v>0</v>
      </c>
      <c r="M573" s="1307"/>
    </row>
    <row r="574" spans="1:13" ht="15" x14ac:dyDescent="0.2">
      <c r="A574" s="1299"/>
      <c r="B574" s="1305" t="s">
        <v>260</v>
      </c>
      <c r="C574" s="1300"/>
      <c r="D574" s="1312" t="s">
        <v>314</v>
      </c>
      <c r="E574" s="1317">
        <f>E575+E576+E577+E578+E579+E580+E581</f>
        <v>272022.58999999997</v>
      </c>
      <c r="F574" s="1321">
        <f t="shared" ref="F574:L574" si="150">F575+F576+F577+F578+F579+F580+F581</f>
        <v>102020.26000000001</v>
      </c>
      <c r="G574" s="1314">
        <f t="shared" si="150"/>
        <v>374042.85</v>
      </c>
      <c r="H574" s="1317">
        <f t="shared" si="150"/>
        <v>351836.35</v>
      </c>
      <c r="I574" s="1321">
        <f t="shared" si="150"/>
        <v>0</v>
      </c>
      <c r="J574" s="1326">
        <f t="shared" si="134"/>
        <v>0.94063113357199579</v>
      </c>
      <c r="K574" s="1321">
        <f t="shared" si="150"/>
        <v>0</v>
      </c>
      <c r="L574" s="1916">
        <f t="shared" si="150"/>
        <v>0</v>
      </c>
      <c r="M574" s="1307"/>
    </row>
    <row r="575" spans="1:13" ht="45" x14ac:dyDescent="0.2">
      <c r="A575" s="1302"/>
      <c r="B575" s="1302"/>
      <c r="C575" s="1303" t="s">
        <v>795</v>
      </c>
      <c r="D575" s="1313" t="s">
        <v>905</v>
      </c>
      <c r="E575" s="1318">
        <v>120000</v>
      </c>
      <c r="F575" s="1322">
        <f>G575-E575</f>
        <v>0</v>
      </c>
      <c r="G575" s="1316" t="s">
        <v>1260</v>
      </c>
      <c r="H575" s="1325">
        <v>103250</v>
      </c>
      <c r="I575" s="1308">
        <v>0</v>
      </c>
      <c r="J575" s="1658">
        <f t="shared" si="134"/>
        <v>0.86041666666666672</v>
      </c>
      <c r="K575" s="1308">
        <v>0</v>
      </c>
      <c r="L575" s="1308">
        <v>0</v>
      </c>
      <c r="M575" s="1307"/>
    </row>
    <row r="576" spans="1:13" x14ac:dyDescent="0.2">
      <c r="A576" s="1302"/>
      <c r="B576" s="1302"/>
      <c r="C576" s="1303" t="s">
        <v>447</v>
      </c>
      <c r="D576" s="1313" t="s">
        <v>14</v>
      </c>
      <c r="E576" s="1318">
        <v>343.8</v>
      </c>
      <c r="F576" s="1322">
        <f t="shared" ref="F576:F581" si="151">G576-E576</f>
        <v>-171.9</v>
      </c>
      <c r="G576" s="1316" t="s">
        <v>1388</v>
      </c>
      <c r="H576" s="1325">
        <v>171</v>
      </c>
      <c r="I576" s="1308">
        <v>0</v>
      </c>
      <c r="J576" s="1658">
        <f t="shared" si="134"/>
        <v>0.9947643979057591</v>
      </c>
      <c r="K576" s="1308">
        <v>0</v>
      </c>
      <c r="L576" s="1308">
        <v>0</v>
      </c>
      <c r="M576" s="1307"/>
    </row>
    <row r="577" spans="1:13" x14ac:dyDescent="0.2">
      <c r="A577" s="1302"/>
      <c r="B577" s="1302"/>
      <c r="C577" s="1303" t="s">
        <v>450</v>
      </c>
      <c r="D577" s="1313" t="s">
        <v>15</v>
      </c>
      <c r="E577" s="1318">
        <v>49</v>
      </c>
      <c r="F577" s="1322">
        <f t="shared" si="151"/>
        <v>-24.5</v>
      </c>
      <c r="G577" s="1316" t="s">
        <v>1389</v>
      </c>
      <c r="H577" s="1325">
        <v>24.5</v>
      </c>
      <c r="I577" s="1308">
        <v>0</v>
      </c>
      <c r="J577" s="1658">
        <f t="shared" si="134"/>
        <v>1</v>
      </c>
      <c r="K577" s="1308">
        <v>0</v>
      </c>
      <c r="L577" s="1308">
        <v>0</v>
      </c>
      <c r="M577" s="1307"/>
    </row>
    <row r="578" spans="1:13" x14ac:dyDescent="0.2">
      <c r="A578" s="1302"/>
      <c r="B578" s="1302"/>
      <c r="C578" s="1303" t="s">
        <v>442</v>
      </c>
      <c r="D578" s="1313" t="s">
        <v>31</v>
      </c>
      <c r="E578" s="1318">
        <v>2000</v>
      </c>
      <c r="F578" s="1322">
        <f t="shared" si="151"/>
        <v>-1000</v>
      </c>
      <c r="G578" s="1316" t="s">
        <v>680</v>
      </c>
      <c r="H578" s="1325">
        <v>1000</v>
      </c>
      <c r="I578" s="1308">
        <v>0</v>
      </c>
      <c r="J578" s="1658">
        <f t="shared" si="134"/>
        <v>1</v>
      </c>
      <c r="K578" s="1308">
        <v>0</v>
      </c>
      <c r="L578" s="1308">
        <v>0</v>
      </c>
      <c r="M578" s="1307"/>
    </row>
    <row r="579" spans="1:13" x14ac:dyDescent="0.2">
      <c r="A579" s="1302"/>
      <c r="B579" s="1302"/>
      <c r="C579" s="1303" t="s">
        <v>391</v>
      </c>
      <c r="D579" s="1313" t="s">
        <v>17</v>
      </c>
      <c r="E579" s="1318">
        <v>1000</v>
      </c>
      <c r="F579" s="1322">
        <f t="shared" si="151"/>
        <v>2196.4</v>
      </c>
      <c r="G579" s="1316" t="s">
        <v>1390</v>
      </c>
      <c r="H579" s="1325">
        <v>590</v>
      </c>
      <c r="I579" s="1308">
        <v>0</v>
      </c>
      <c r="J579" s="1658">
        <f t="shared" si="134"/>
        <v>0.18458265548742334</v>
      </c>
      <c r="K579" s="1308">
        <v>0</v>
      </c>
      <c r="L579" s="1308">
        <v>0</v>
      </c>
      <c r="M579" s="1307"/>
    </row>
    <row r="580" spans="1:13" x14ac:dyDescent="0.2">
      <c r="A580" s="1302"/>
      <c r="B580" s="1302"/>
      <c r="C580" s="1303" t="s">
        <v>404</v>
      </c>
      <c r="D580" s="1313" t="s">
        <v>18</v>
      </c>
      <c r="E580" s="1318">
        <v>6607.2</v>
      </c>
      <c r="F580" s="1322">
        <f t="shared" si="151"/>
        <v>-1000</v>
      </c>
      <c r="G580" s="1316" t="s">
        <v>1391</v>
      </c>
      <c r="H580" s="1325">
        <v>2758</v>
      </c>
      <c r="I580" s="1308">
        <v>0</v>
      </c>
      <c r="J580" s="1658">
        <f t="shared" si="134"/>
        <v>0.49186759880154091</v>
      </c>
      <c r="K580" s="1308">
        <v>0</v>
      </c>
      <c r="L580" s="1308">
        <v>0</v>
      </c>
      <c r="M580" s="1307"/>
    </row>
    <row r="581" spans="1:13" ht="67.5" x14ac:dyDescent="0.2">
      <c r="A581" s="1302"/>
      <c r="B581" s="1302"/>
      <c r="C581" s="1303" t="s">
        <v>139</v>
      </c>
      <c r="D581" s="1313" t="s">
        <v>910</v>
      </c>
      <c r="E581" s="1318">
        <v>142022.59</v>
      </c>
      <c r="F581" s="1322">
        <f t="shared" si="151"/>
        <v>102020.26000000001</v>
      </c>
      <c r="G581" s="1316" t="s">
        <v>1392</v>
      </c>
      <c r="H581" s="1325">
        <v>244042.85</v>
      </c>
      <c r="I581" s="1308">
        <v>0</v>
      </c>
      <c r="J581" s="1658">
        <f t="shared" si="134"/>
        <v>1</v>
      </c>
      <c r="K581" s="1308">
        <v>0</v>
      </c>
      <c r="L581" s="1308">
        <v>0</v>
      </c>
      <c r="M581" s="1307"/>
    </row>
    <row r="582" spans="1:13" ht="15" x14ac:dyDescent="0.2">
      <c r="A582" s="1299"/>
      <c r="B582" s="1305" t="s">
        <v>256</v>
      </c>
      <c r="C582" s="1300"/>
      <c r="D582" s="1312" t="s">
        <v>444</v>
      </c>
      <c r="E582" s="1317">
        <f>E583+E584+E585</f>
        <v>908000</v>
      </c>
      <c r="F582" s="1321">
        <f t="shared" ref="F582:L582" si="152">F583+F584+F585</f>
        <v>167000</v>
      </c>
      <c r="G582" s="1314">
        <f t="shared" si="152"/>
        <v>1075000</v>
      </c>
      <c r="H582" s="1317">
        <f t="shared" si="152"/>
        <v>931348.69</v>
      </c>
      <c r="I582" s="1321">
        <f t="shared" si="152"/>
        <v>149047</v>
      </c>
      <c r="J582" s="1326">
        <f t="shared" si="134"/>
        <v>0.86637087441860461</v>
      </c>
      <c r="K582" s="1321">
        <f t="shared" si="152"/>
        <v>65473.71</v>
      </c>
      <c r="L582" s="1916">
        <f t="shared" si="152"/>
        <v>0</v>
      </c>
      <c r="M582" s="1307"/>
    </row>
    <row r="583" spans="1:13" x14ac:dyDescent="0.2">
      <c r="A583" s="1302"/>
      <c r="B583" s="1302"/>
      <c r="C583" s="1303" t="s">
        <v>902</v>
      </c>
      <c r="D583" s="1313" t="s">
        <v>41</v>
      </c>
      <c r="E583" s="1318">
        <v>550000</v>
      </c>
      <c r="F583" s="1322">
        <f>G583-E583</f>
        <v>0</v>
      </c>
      <c r="G583" s="1316" t="s">
        <v>1393</v>
      </c>
      <c r="H583" s="1325">
        <v>441872.96</v>
      </c>
      <c r="I583" s="1308">
        <v>0</v>
      </c>
      <c r="J583" s="1658">
        <f t="shared" si="134"/>
        <v>0.80340538181818189</v>
      </c>
      <c r="K583" s="1308">
        <v>51884.35</v>
      </c>
      <c r="L583" s="1308">
        <v>0</v>
      </c>
      <c r="M583" s="1307"/>
    </row>
    <row r="584" spans="1:13" x14ac:dyDescent="0.2">
      <c r="A584" s="1302"/>
      <c r="B584" s="1302"/>
      <c r="C584" s="1303" t="s">
        <v>404</v>
      </c>
      <c r="D584" s="1313" t="s">
        <v>18</v>
      </c>
      <c r="E584" s="1318">
        <v>358000</v>
      </c>
      <c r="F584" s="1322">
        <f t="shared" ref="F584:F585" si="153">G584-E584</f>
        <v>17000</v>
      </c>
      <c r="G584" s="1316" t="s">
        <v>1394</v>
      </c>
      <c r="H584" s="1325">
        <v>339475.73</v>
      </c>
      <c r="I584" s="1308">
        <v>0</v>
      </c>
      <c r="J584" s="1658">
        <f t="shared" si="134"/>
        <v>0.90526861333333331</v>
      </c>
      <c r="K584" s="1308">
        <v>13589.36</v>
      </c>
      <c r="L584" s="1308">
        <v>0</v>
      </c>
      <c r="M584" s="1307"/>
    </row>
    <row r="585" spans="1:13" ht="22.5" x14ac:dyDescent="0.2">
      <c r="A585" s="1302"/>
      <c r="B585" s="1302"/>
      <c r="C585" s="1303" t="s">
        <v>147</v>
      </c>
      <c r="D585" s="1313" t="s">
        <v>45</v>
      </c>
      <c r="E585" s="1318">
        <v>0</v>
      </c>
      <c r="F585" s="1322">
        <f t="shared" si="153"/>
        <v>150000</v>
      </c>
      <c r="G585" s="1316" t="s">
        <v>1298</v>
      </c>
      <c r="H585" s="1325">
        <v>150000</v>
      </c>
      <c r="I585" s="1308">
        <v>149047</v>
      </c>
      <c r="J585" s="1658">
        <f t="shared" si="134"/>
        <v>1</v>
      </c>
      <c r="K585" s="1308">
        <v>0</v>
      </c>
      <c r="L585" s="1308">
        <v>0</v>
      </c>
      <c r="M585" s="1307"/>
    </row>
    <row r="586" spans="1:13" ht="33.75" x14ac:dyDescent="0.2">
      <c r="A586" s="1299"/>
      <c r="B586" s="1305" t="s">
        <v>874</v>
      </c>
      <c r="C586" s="1300"/>
      <c r="D586" s="1312" t="s">
        <v>590</v>
      </c>
      <c r="E586" s="1317">
        <f>E587</f>
        <v>7000</v>
      </c>
      <c r="F586" s="1321">
        <f t="shared" ref="F586:L586" si="154">F587</f>
        <v>3000</v>
      </c>
      <c r="G586" s="1314" t="str">
        <f t="shared" si="154"/>
        <v>10 000,00</v>
      </c>
      <c r="H586" s="1317">
        <f t="shared" si="154"/>
        <v>9869</v>
      </c>
      <c r="I586" s="1321">
        <f t="shared" si="154"/>
        <v>0</v>
      </c>
      <c r="J586" s="1326">
        <f t="shared" si="134"/>
        <v>0.9869</v>
      </c>
      <c r="K586" s="1321">
        <f t="shared" si="154"/>
        <v>0</v>
      </c>
      <c r="L586" s="1916">
        <f t="shared" si="154"/>
        <v>0</v>
      </c>
      <c r="M586" s="1307"/>
    </row>
    <row r="587" spans="1:13" x14ac:dyDescent="0.2">
      <c r="A587" s="1302"/>
      <c r="B587" s="1302"/>
      <c r="C587" s="1303" t="s">
        <v>897</v>
      </c>
      <c r="D587" s="1313" t="s">
        <v>19</v>
      </c>
      <c r="E587" s="1318">
        <v>7000</v>
      </c>
      <c r="F587" s="1322">
        <f>G587-E587</f>
        <v>3000</v>
      </c>
      <c r="G587" s="1316" t="s">
        <v>648</v>
      </c>
      <c r="H587" s="1325">
        <v>9869</v>
      </c>
      <c r="I587" s="1308">
        <v>0</v>
      </c>
      <c r="J587" s="1658">
        <f t="shared" si="134"/>
        <v>0.9869</v>
      </c>
      <c r="K587" s="1308">
        <v>0</v>
      </c>
      <c r="L587" s="1308">
        <v>0</v>
      </c>
      <c r="M587" s="1307"/>
    </row>
    <row r="588" spans="1:13" ht="15" x14ac:dyDescent="0.2">
      <c r="A588" s="1299"/>
      <c r="B588" s="1305" t="s">
        <v>875</v>
      </c>
      <c r="C588" s="1300"/>
      <c r="D588" s="1312" t="s">
        <v>11</v>
      </c>
      <c r="E588" s="1317">
        <f>E589+E590+E591+E592+E593+E594</f>
        <v>238535.14</v>
      </c>
      <c r="F588" s="1321">
        <f t="shared" ref="F588:L588" si="155">F589+F590+F591+F592+F593+F594</f>
        <v>-6000</v>
      </c>
      <c r="G588" s="1314">
        <f t="shared" si="155"/>
        <v>232535.14</v>
      </c>
      <c r="H588" s="1317">
        <f t="shared" si="155"/>
        <v>217854.25</v>
      </c>
      <c r="I588" s="1321">
        <f t="shared" si="155"/>
        <v>0</v>
      </c>
      <c r="J588" s="1326">
        <f t="shared" ref="J588:J651" si="156">H588/G588</f>
        <v>0.93686592916666267</v>
      </c>
      <c r="K588" s="1321">
        <f t="shared" si="155"/>
        <v>17552.23</v>
      </c>
      <c r="L588" s="1916">
        <f t="shared" si="155"/>
        <v>0</v>
      </c>
      <c r="M588" s="1307"/>
    </row>
    <row r="589" spans="1:13" x14ac:dyDescent="0.2">
      <c r="A589" s="1302"/>
      <c r="B589" s="1302"/>
      <c r="C589" s="1303" t="s">
        <v>447</v>
      </c>
      <c r="D589" s="1313" t="s">
        <v>14</v>
      </c>
      <c r="E589" s="1318">
        <v>3812.6</v>
      </c>
      <c r="F589" s="1322">
        <f>G589-E589</f>
        <v>0</v>
      </c>
      <c r="G589" s="1316" t="s">
        <v>1395</v>
      </c>
      <c r="H589" s="1325">
        <v>1130.22</v>
      </c>
      <c r="I589" s="1308">
        <v>0</v>
      </c>
      <c r="J589" s="1658">
        <f t="shared" si="156"/>
        <v>0.2964433719771285</v>
      </c>
      <c r="K589" s="1308">
        <v>102.6</v>
      </c>
      <c r="L589" s="1308">
        <v>0</v>
      </c>
      <c r="M589" s="1307"/>
    </row>
    <row r="590" spans="1:13" x14ac:dyDescent="0.2">
      <c r="A590" s="1302"/>
      <c r="B590" s="1302"/>
      <c r="C590" s="1303" t="s">
        <v>450</v>
      </c>
      <c r="D590" s="1313" t="s">
        <v>15</v>
      </c>
      <c r="E590" s="1318">
        <v>543.39</v>
      </c>
      <c r="F590" s="1322">
        <f t="shared" ref="F590:F594" si="157">G590-E590</f>
        <v>0</v>
      </c>
      <c r="G590" s="1316" t="s">
        <v>1396</v>
      </c>
      <c r="H590" s="1325">
        <v>161.69999999999999</v>
      </c>
      <c r="I590" s="1308">
        <v>0</v>
      </c>
      <c r="J590" s="1658">
        <f t="shared" si="156"/>
        <v>0.2975763263954066</v>
      </c>
      <c r="K590" s="1308">
        <v>14.7</v>
      </c>
      <c r="L590" s="1308">
        <v>0</v>
      </c>
      <c r="M590" s="1307"/>
    </row>
    <row r="591" spans="1:13" x14ac:dyDescent="0.2">
      <c r="A591" s="1302"/>
      <c r="B591" s="1302"/>
      <c r="C591" s="1303" t="s">
        <v>442</v>
      </c>
      <c r="D591" s="1313" t="s">
        <v>31</v>
      </c>
      <c r="E591" s="1318">
        <v>22179.15</v>
      </c>
      <c r="F591" s="1322">
        <f t="shared" si="157"/>
        <v>0</v>
      </c>
      <c r="G591" s="1316" t="s">
        <v>1397</v>
      </c>
      <c r="H591" s="1325">
        <v>21662</v>
      </c>
      <c r="I591" s="1308">
        <v>0</v>
      </c>
      <c r="J591" s="1658">
        <f t="shared" si="156"/>
        <v>0.9766830559331624</v>
      </c>
      <c r="K591" s="1308">
        <v>0</v>
      </c>
      <c r="L591" s="1308">
        <v>0</v>
      </c>
      <c r="M591" s="1307"/>
    </row>
    <row r="592" spans="1:13" x14ac:dyDescent="0.2">
      <c r="A592" s="1302"/>
      <c r="B592" s="1302"/>
      <c r="C592" s="1303" t="s">
        <v>391</v>
      </c>
      <c r="D592" s="1313" t="s">
        <v>17</v>
      </c>
      <c r="E592" s="1318">
        <v>17000</v>
      </c>
      <c r="F592" s="1322">
        <f t="shared" si="157"/>
        <v>-6000</v>
      </c>
      <c r="G592" s="1316" t="s">
        <v>736</v>
      </c>
      <c r="H592" s="1325">
        <v>10114.27</v>
      </c>
      <c r="I592" s="1308">
        <v>0</v>
      </c>
      <c r="J592" s="1658">
        <f t="shared" si="156"/>
        <v>0.91947909090909097</v>
      </c>
      <c r="K592" s="1308">
        <v>0</v>
      </c>
      <c r="L592" s="1308">
        <v>0</v>
      </c>
      <c r="M592" s="1307"/>
    </row>
    <row r="593" spans="1:13" x14ac:dyDescent="0.2">
      <c r="A593" s="1302"/>
      <c r="B593" s="1302"/>
      <c r="C593" s="1303" t="s">
        <v>902</v>
      </c>
      <c r="D593" s="1313" t="s">
        <v>41</v>
      </c>
      <c r="E593" s="1318">
        <v>167000</v>
      </c>
      <c r="F593" s="1322">
        <f t="shared" si="157"/>
        <v>0</v>
      </c>
      <c r="G593" s="1316" t="s">
        <v>1398</v>
      </c>
      <c r="H593" s="1325">
        <v>165802.16</v>
      </c>
      <c r="I593" s="1308">
        <v>0</v>
      </c>
      <c r="J593" s="1658">
        <f t="shared" si="156"/>
        <v>0.99282730538922159</v>
      </c>
      <c r="K593" s="1308">
        <f>14813.98+1328.4</f>
        <v>16142.38</v>
      </c>
      <c r="L593" s="1308">
        <v>0</v>
      </c>
      <c r="M593" s="1307"/>
    </row>
    <row r="594" spans="1:13" x14ac:dyDescent="0.2">
      <c r="A594" s="1302"/>
      <c r="B594" s="1302"/>
      <c r="C594" s="1303" t="s">
        <v>404</v>
      </c>
      <c r="D594" s="1313" t="s">
        <v>18</v>
      </c>
      <c r="E594" s="1318">
        <v>28000</v>
      </c>
      <c r="F594" s="1322">
        <f t="shared" si="157"/>
        <v>0</v>
      </c>
      <c r="G594" s="1316" t="s">
        <v>1002</v>
      </c>
      <c r="H594" s="1325">
        <v>18983.900000000001</v>
      </c>
      <c r="I594" s="1308">
        <v>0</v>
      </c>
      <c r="J594" s="1658">
        <f t="shared" si="156"/>
        <v>0.67799642857142861</v>
      </c>
      <c r="K594" s="1308">
        <v>1292.55</v>
      </c>
      <c r="L594" s="1308">
        <v>0</v>
      </c>
      <c r="M594" s="1307"/>
    </row>
    <row r="595" spans="1:13" ht="22.5" x14ac:dyDescent="0.2">
      <c r="A595" s="1334" t="s">
        <v>263</v>
      </c>
      <c r="B595" s="1334"/>
      <c r="C595" s="1334"/>
      <c r="D595" s="1335" t="s">
        <v>297</v>
      </c>
      <c r="E595" s="1336">
        <f>E596+E602+E614+E617+E622+E624+E628</f>
        <v>10605488.449999999</v>
      </c>
      <c r="F595" s="1330">
        <f t="shared" ref="F595:L595" si="158">F596+F602+F614+F617+F622+F624+F628</f>
        <v>672755.73999999976</v>
      </c>
      <c r="G595" s="1337">
        <f t="shared" si="158"/>
        <v>11278244.189999999</v>
      </c>
      <c r="H595" s="1336">
        <f t="shared" si="158"/>
        <v>11220494.750000002</v>
      </c>
      <c r="I595" s="1330">
        <f t="shared" si="158"/>
        <v>0</v>
      </c>
      <c r="J595" s="1333">
        <f t="shared" si="156"/>
        <v>0.99487957176426434</v>
      </c>
      <c r="K595" s="1330">
        <f t="shared" si="158"/>
        <v>6576.47</v>
      </c>
      <c r="L595" s="1917">
        <f t="shared" si="158"/>
        <v>171499.28999999998</v>
      </c>
      <c r="M595" s="1307"/>
    </row>
    <row r="596" spans="1:13" ht="15" x14ac:dyDescent="0.2">
      <c r="A596" s="1299"/>
      <c r="B596" s="1305" t="s">
        <v>1399</v>
      </c>
      <c r="C596" s="1300"/>
      <c r="D596" s="1312" t="s">
        <v>334</v>
      </c>
      <c r="E596" s="1317">
        <f>E597+E598+E599+E600+E601</f>
        <v>30000</v>
      </c>
      <c r="F596" s="1321">
        <f t="shared" ref="F596:L596" si="159">F597+F598+F599+F600+F601</f>
        <v>13746</v>
      </c>
      <c r="G596" s="1314">
        <f t="shared" si="159"/>
        <v>43746</v>
      </c>
      <c r="H596" s="1317">
        <f t="shared" si="159"/>
        <v>23870.469999999998</v>
      </c>
      <c r="I596" s="1321">
        <f t="shared" si="159"/>
        <v>0</v>
      </c>
      <c r="J596" s="1326">
        <f t="shared" si="156"/>
        <v>0.54566063182919577</v>
      </c>
      <c r="K596" s="1321">
        <f t="shared" si="159"/>
        <v>634.07000000000005</v>
      </c>
      <c r="L596" s="1916">
        <f t="shared" si="159"/>
        <v>0</v>
      </c>
      <c r="M596" s="1307"/>
    </row>
    <row r="597" spans="1:13" ht="78.75" x14ac:dyDescent="0.2">
      <c r="A597" s="1302"/>
      <c r="B597" s="1302"/>
      <c r="C597" s="1303" t="s">
        <v>834</v>
      </c>
      <c r="D597" s="1313" t="s">
        <v>1069</v>
      </c>
      <c r="E597" s="1318">
        <v>9000</v>
      </c>
      <c r="F597" s="1322">
        <f>G597-E597</f>
        <v>-600</v>
      </c>
      <c r="G597" s="1316" t="s">
        <v>1400</v>
      </c>
      <c r="H597" s="1325">
        <v>6523.28</v>
      </c>
      <c r="I597" s="1308">
        <v>0</v>
      </c>
      <c r="J597" s="1658">
        <f t="shared" si="156"/>
        <v>0.77658095238095237</v>
      </c>
      <c r="K597" s="1308">
        <v>0</v>
      </c>
      <c r="L597" s="1308">
        <v>0</v>
      </c>
      <c r="M597" s="1307"/>
    </row>
    <row r="598" spans="1:13" x14ac:dyDescent="0.2">
      <c r="A598" s="1302"/>
      <c r="B598" s="1302"/>
      <c r="C598" s="1303" t="s">
        <v>447</v>
      </c>
      <c r="D598" s="1313" t="s">
        <v>14</v>
      </c>
      <c r="E598" s="1318">
        <v>0</v>
      </c>
      <c r="F598" s="1322">
        <f t="shared" ref="F598:F601" si="160">G598-E598</f>
        <v>638</v>
      </c>
      <c r="G598" s="1316" t="s">
        <v>1401</v>
      </c>
      <c r="H598" s="1325">
        <v>0</v>
      </c>
      <c r="I598" s="1308">
        <v>0</v>
      </c>
      <c r="J598" s="1658">
        <f t="shared" si="156"/>
        <v>0</v>
      </c>
      <c r="K598" s="1308">
        <v>634.07000000000005</v>
      </c>
      <c r="L598" s="1308">
        <v>0</v>
      </c>
      <c r="M598" s="1307"/>
    </row>
    <row r="599" spans="1:13" x14ac:dyDescent="0.2">
      <c r="A599" s="1302"/>
      <c r="B599" s="1302"/>
      <c r="C599" s="1303" t="s">
        <v>442</v>
      </c>
      <c r="D599" s="1313" t="s">
        <v>31</v>
      </c>
      <c r="E599" s="1318">
        <v>1000</v>
      </c>
      <c r="F599" s="1322">
        <f t="shared" si="160"/>
        <v>3708</v>
      </c>
      <c r="G599" s="1316" t="s">
        <v>1402</v>
      </c>
      <c r="H599" s="1325">
        <v>3708</v>
      </c>
      <c r="I599" s="1308">
        <v>0</v>
      </c>
      <c r="J599" s="1658">
        <f t="shared" si="156"/>
        <v>0.78759558198810531</v>
      </c>
      <c r="K599" s="1308">
        <v>0</v>
      </c>
      <c r="L599" s="1308">
        <v>0</v>
      </c>
      <c r="M599" s="1307"/>
    </row>
    <row r="600" spans="1:13" x14ac:dyDescent="0.2">
      <c r="A600" s="1302"/>
      <c r="B600" s="1302"/>
      <c r="C600" s="1303" t="s">
        <v>391</v>
      </c>
      <c r="D600" s="1313" t="s">
        <v>17</v>
      </c>
      <c r="E600" s="1318">
        <v>10000</v>
      </c>
      <c r="F600" s="1322">
        <f t="shared" si="160"/>
        <v>5000</v>
      </c>
      <c r="G600" s="1316" t="s">
        <v>1345</v>
      </c>
      <c r="H600" s="1325">
        <v>638.39</v>
      </c>
      <c r="I600" s="1308">
        <v>0</v>
      </c>
      <c r="J600" s="1658">
        <f t="shared" si="156"/>
        <v>4.2559333333333331E-2</v>
      </c>
      <c r="K600" s="1308">
        <v>0</v>
      </c>
      <c r="L600" s="1308">
        <v>0</v>
      </c>
      <c r="M600" s="1307"/>
    </row>
    <row r="601" spans="1:13" x14ac:dyDescent="0.2">
      <c r="A601" s="1302"/>
      <c r="B601" s="1302"/>
      <c r="C601" s="1303" t="s">
        <v>404</v>
      </c>
      <c r="D601" s="1313" t="s">
        <v>18</v>
      </c>
      <c r="E601" s="1318">
        <v>10000</v>
      </c>
      <c r="F601" s="1322">
        <f t="shared" si="160"/>
        <v>5000</v>
      </c>
      <c r="G601" s="1316" t="s">
        <v>1345</v>
      </c>
      <c r="H601" s="1325">
        <v>13000.8</v>
      </c>
      <c r="I601" s="1308">
        <v>0</v>
      </c>
      <c r="J601" s="1658">
        <f t="shared" si="156"/>
        <v>0.86671999999999993</v>
      </c>
      <c r="K601" s="1308">
        <v>0</v>
      </c>
      <c r="L601" s="1308">
        <v>0</v>
      </c>
      <c r="M601" s="1307"/>
    </row>
    <row r="602" spans="1:13" ht="15" x14ac:dyDescent="0.2">
      <c r="A602" s="1299"/>
      <c r="B602" s="1305" t="s">
        <v>264</v>
      </c>
      <c r="C602" s="1300"/>
      <c r="D602" s="1312" t="s">
        <v>298</v>
      </c>
      <c r="E602" s="1317">
        <f>E603+E604+E605+E606+E607+E608+E609+E610+E611+E612+E613</f>
        <v>1294659.8899999999</v>
      </c>
      <c r="F602" s="1321">
        <f t="shared" ref="F602:L602" si="161">F603+F604+F605+F606+F607+F608+F609+F610+F611+F612+F613</f>
        <v>479120.74</v>
      </c>
      <c r="G602" s="1314">
        <f t="shared" si="161"/>
        <v>1773780.6300000001</v>
      </c>
      <c r="H602" s="1317">
        <f t="shared" si="161"/>
        <v>1742515.4899999998</v>
      </c>
      <c r="I602" s="1321">
        <f t="shared" si="161"/>
        <v>0</v>
      </c>
      <c r="J602" s="1326">
        <f t="shared" si="156"/>
        <v>0.9823737279169632</v>
      </c>
      <c r="K602" s="1321">
        <f t="shared" si="161"/>
        <v>5942.4000000000005</v>
      </c>
      <c r="L602" s="1916">
        <f t="shared" si="161"/>
        <v>94540.38</v>
      </c>
      <c r="M602" s="1307"/>
    </row>
    <row r="603" spans="1:13" ht="22.5" x14ac:dyDescent="0.2">
      <c r="A603" s="1302"/>
      <c r="B603" s="1302"/>
      <c r="C603" s="1303" t="s">
        <v>1403</v>
      </c>
      <c r="D603" s="1313" t="s">
        <v>299</v>
      </c>
      <c r="E603" s="1318">
        <v>1115250</v>
      </c>
      <c r="F603" s="1322">
        <f>G603-E603</f>
        <v>367000</v>
      </c>
      <c r="G603" s="1316" t="s">
        <v>1404</v>
      </c>
      <c r="H603" s="1325">
        <v>1482250</v>
      </c>
      <c r="I603" s="1308">
        <v>0</v>
      </c>
      <c r="J603" s="1658">
        <f t="shared" si="156"/>
        <v>1</v>
      </c>
      <c r="K603" s="1308">
        <v>0</v>
      </c>
      <c r="L603" s="1308">
        <v>0</v>
      </c>
      <c r="M603" s="1307"/>
    </row>
    <row r="604" spans="1:13" x14ac:dyDescent="0.2">
      <c r="A604" s="1302"/>
      <c r="B604" s="1302"/>
      <c r="C604" s="1303" t="s">
        <v>447</v>
      </c>
      <c r="D604" s="1313" t="s">
        <v>14</v>
      </c>
      <c r="E604" s="1318">
        <v>516</v>
      </c>
      <c r="F604" s="1322">
        <f t="shared" ref="F604:F613" si="162">G604-E604</f>
        <v>-516</v>
      </c>
      <c r="G604" s="1316" t="s">
        <v>636</v>
      </c>
      <c r="H604" s="1325">
        <v>0</v>
      </c>
      <c r="I604" s="1308">
        <v>0</v>
      </c>
      <c r="J604" s="1658">
        <v>0</v>
      </c>
      <c r="K604" s="1308">
        <v>0</v>
      </c>
      <c r="L604" s="1308">
        <v>0</v>
      </c>
      <c r="M604" s="1307"/>
    </row>
    <row r="605" spans="1:13" x14ac:dyDescent="0.2">
      <c r="A605" s="1302"/>
      <c r="B605" s="1302"/>
      <c r="C605" s="1303" t="s">
        <v>450</v>
      </c>
      <c r="D605" s="1313" t="s">
        <v>15</v>
      </c>
      <c r="E605" s="1318">
        <v>74</v>
      </c>
      <c r="F605" s="1322">
        <f t="shared" si="162"/>
        <v>-74</v>
      </c>
      <c r="G605" s="1316" t="s">
        <v>636</v>
      </c>
      <c r="H605" s="1325">
        <v>0</v>
      </c>
      <c r="I605" s="1308">
        <v>0</v>
      </c>
      <c r="J605" s="1658">
        <v>0</v>
      </c>
      <c r="K605" s="1308">
        <v>0</v>
      </c>
      <c r="L605" s="1308">
        <v>0</v>
      </c>
      <c r="M605" s="1307"/>
    </row>
    <row r="606" spans="1:13" x14ac:dyDescent="0.2">
      <c r="A606" s="1302"/>
      <c r="B606" s="1302"/>
      <c r="C606" s="1303" t="s">
        <v>442</v>
      </c>
      <c r="D606" s="1313" t="s">
        <v>31</v>
      </c>
      <c r="E606" s="1318">
        <v>6700</v>
      </c>
      <c r="F606" s="1322">
        <f t="shared" si="162"/>
        <v>1390</v>
      </c>
      <c r="G606" s="1316" t="s">
        <v>1405</v>
      </c>
      <c r="H606" s="1325">
        <v>8090</v>
      </c>
      <c r="I606" s="1308">
        <v>0</v>
      </c>
      <c r="J606" s="1658">
        <f t="shared" si="156"/>
        <v>1</v>
      </c>
      <c r="K606" s="1308">
        <v>0</v>
      </c>
      <c r="L606" s="1308">
        <v>8090</v>
      </c>
      <c r="M606" s="1307"/>
    </row>
    <row r="607" spans="1:13" x14ac:dyDescent="0.2">
      <c r="A607" s="1302"/>
      <c r="B607" s="1302"/>
      <c r="C607" s="1303" t="s">
        <v>391</v>
      </c>
      <c r="D607" s="1313" t="s">
        <v>17</v>
      </c>
      <c r="E607" s="1318">
        <v>58094.879999999997</v>
      </c>
      <c r="F607" s="1322">
        <f t="shared" si="162"/>
        <v>5954.3600000000006</v>
      </c>
      <c r="G607" s="1316" t="s">
        <v>1406</v>
      </c>
      <c r="H607" s="1325">
        <v>59089.94</v>
      </c>
      <c r="I607" s="1308">
        <v>0</v>
      </c>
      <c r="J607" s="1658">
        <f t="shared" si="156"/>
        <v>0.9225705098140119</v>
      </c>
      <c r="K607" s="1308">
        <v>0</v>
      </c>
      <c r="L607" s="1308">
        <v>55984.15</v>
      </c>
      <c r="M607" s="1307"/>
    </row>
    <row r="608" spans="1:13" x14ac:dyDescent="0.2">
      <c r="A608" s="1302"/>
      <c r="B608" s="1302"/>
      <c r="C608" s="1303" t="s">
        <v>902</v>
      </c>
      <c r="D608" s="1313" t="s">
        <v>41</v>
      </c>
      <c r="E608" s="1318">
        <v>60000</v>
      </c>
      <c r="F608" s="1322">
        <f t="shared" si="162"/>
        <v>0</v>
      </c>
      <c r="G608" s="1316" t="s">
        <v>940</v>
      </c>
      <c r="H608" s="1325">
        <v>50918.46</v>
      </c>
      <c r="I608" s="1308">
        <v>0</v>
      </c>
      <c r="J608" s="1658">
        <f t="shared" si="156"/>
        <v>0.84864099999999998</v>
      </c>
      <c r="K608" s="1308">
        <v>5790.47</v>
      </c>
      <c r="L608" s="1308">
        <v>0</v>
      </c>
      <c r="M608" s="1307"/>
    </row>
    <row r="609" spans="1:13" x14ac:dyDescent="0.2">
      <c r="A609" s="1302"/>
      <c r="B609" s="1302"/>
      <c r="C609" s="1303" t="s">
        <v>912</v>
      </c>
      <c r="D609" s="1313" t="s">
        <v>78</v>
      </c>
      <c r="E609" s="1318">
        <v>0</v>
      </c>
      <c r="F609" s="1322">
        <f t="shared" si="162"/>
        <v>56500</v>
      </c>
      <c r="G609" s="1316" t="s">
        <v>1407</v>
      </c>
      <c r="H609" s="1325">
        <v>52950</v>
      </c>
      <c r="I609" s="1308">
        <v>0</v>
      </c>
      <c r="J609" s="1658">
        <f t="shared" si="156"/>
        <v>0.93716814159292039</v>
      </c>
      <c r="K609" s="1308">
        <v>0</v>
      </c>
      <c r="L609" s="1308">
        <v>0</v>
      </c>
      <c r="M609" s="1307"/>
    </row>
    <row r="610" spans="1:13" x14ac:dyDescent="0.2">
      <c r="A610" s="1302"/>
      <c r="B610" s="1302"/>
      <c r="C610" s="1303" t="s">
        <v>404</v>
      </c>
      <c r="D610" s="1313" t="s">
        <v>18</v>
      </c>
      <c r="E610" s="1318">
        <v>34778.559999999998</v>
      </c>
      <c r="F610" s="1322">
        <f t="shared" si="162"/>
        <v>925</v>
      </c>
      <c r="G610" s="1316" t="s">
        <v>1408</v>
      </c>
      <c r="H610" s="1325">
        <v>32113.5</v>
      </c>
      <c r="I610" s="1308">
        <v>0</v>
      </c>
      <c r="J610" s="1658">
        <f t="shared" si="156"/>
        <v>0.8994481222600772</v>
      </c>
      <c r="K610" s="1308">
        <v>151.93</v>
      </c>
      <c r="L610" s="1308">
        <v>18896.43</v>
      </c>
      <c r="M610" s="1307"/>
    </row>
    <row r="611" spans="1:13" ht="22.5" x14ac:dyDescent="0.2">
      <c r="A611" s="1302"/>
      <c r="B611" s="1302"/>
      <c r="C611" s="1303" t="s">
        <v>468</v>
      </c>
      <c r="D611" s="1313" t="s">
        <v>919</v>
      </c>
      <c r="E611" s="1318">
        <v>1329</v>
      </c>
      <c r="F611" s="1322">
        <f t="shared" si="162"/>
        <v>0</v>
      </c>
      <c r="G611" s="1316" t="s">
        <v>1409</v>
      </c>
      <c r="H611" s="1325">
        <v>1269.8</v>
      </c>
      <c r="I611" s="1308">
        <v>0</v>
      </c>
      <c r="J611" s="1658">
        <f t="shared" si="156"/>
        <v>0.95545522949586148</v>
      </c>
      <c r="K611" s="1308">
        <v>0</v>
      </c>
      <c r="L611" s="1308">
        <v>1269.8</v>
      </c>
      <c r="M611" s="1307"/>
    </row>
    <row r="612" spans="1:13" ht="22.5" x14ac:dyDescent="0.2">
      <c r="A612" s="1302"/>
      <c r="B612" s="1302"/>
      <c r="C612" s="1303" t="s">
        <v>147</v>
      </c>
      <c r="D612" s="1313" t="s">
        <v>45</v>
      </c>
      <c r="E612" s="1318">
        <v>17917.45</v>
      </c>
      <c r="F612" s="1322">
        <f t="shared" si="162"/>
        <v>941.38000000000102</v>
      </c>
      <c r="G612" s="1316" t="s">
        <v>1410</v>
      </c>
      <c r="H612" s="1325">
        <v>17215.900000000001</v>
      </c>
      <c r="I612" s="1308">
        <v>0</v>
      </c>
      <c r="J612" s="1658">
        <f t="shared" si="156"/>
        <v>0.91288271859919201</v>
      </c>
      <c r="K612" s="1308">
        <v>0</v>
      </c>
      <c r="L612" s="1308">
        <v>10300</v>
      </c>
      <c r="M612" s="1307"/>
    </row>
    <row r="613" spans="1:13" ht="56.25" x14ac:dyDescent="0.2">
      <c r="A613" s="1302"/>
      <c r="B613" s="1302"/>
      <c r="C613" s="1303" t="s">
        <v>232</v>
      </c>
      <c r="D613" s="1313" t="s">
        <v>1245</v>
      </c>
      <c r="E613" s="1318">
        <v>0</v>
      </c>
      <c r="F613" s="1322">
        <f t="shared" si="162"/>
        <v>47000</v>
      </c>
      <c r="G613" s="1316" t="s">
        <v>1026</v>
      </c>
      <c r="H613" s="1325">
        <v>38617.89</v>
      </c>
      <c r="I613" s="1308">
        <v>0</v>
      </c>
      <c r="J613" s="1658">
        <f t="shared" si="156"/>
        <v>0.8216572340425532</v>
      </c>
      <c r="K613" s="1308">
        <v>0</v>
      </c>
      <c r="L613" s="1308">
        <v>0</v>
      </c>
      <c r="M613" s="1307"/>
    </row>
    <row r="614" spans="1:13" ht="15" x14ac:dyDescent="0.2">
      <c r="A614" s="1299"/>
      <c r="B614" s="1305" t="s">
        <v>473</v>
      </c>
      <c r="C614" s="1300"/>
      <c r="D614" s="1312" t="s">
        <v>300</v>
      </c>
      <c r="E614" s="1317">
        <f>E615+E616</f>
        <v>412784.2</v>
      </c>
      <c r="F614" s="1321">
        <f t="shared" ref="F614:L614" si="163">F615+F616</f>
        <v>0</v>
      </c>
      <c r="G614" s="1314">
        <f t="shared" si="163"/>
        <v>412784.2</v>
      </c>
      <c r="H614" s="1317">
        <f t="shared" si="163"/>
        <v>412784.2</v>
      </c>
      <c r="I614" s="1321">
        <f>I615+I616</f>
        <v>0</v>
      </c>
      <c r="J614" s="1326">
        <f t="shared" si="156"/>
        <v>1</v>
      </c>
      <c r="K614" s="1321">
        <f t="shared" si="163"/>
        <v>0</v>
      </c>
      <c r="L614" s="1916">
        <f t="shared" si="163"/>
        <v>669.2</v>
      </c>
      <c r="M614" s="1307"/>
    </row>
    <row r="615" spans="1:13" ht="22.5" x14ac:dyDescent="0.2">
      <c r="A615" s="1302"/>
      <c r="B615" s="1302"/>
      <c r="C615" s="1303" t="s">
        <v>1403</v>
      </c>
      <c r="D615" s="1313" t="s">
        <v>299</v>
      </c>
      <c r="E615" s="1318">
        <v>412115</v>
      </c>
      <c r="F615" s="1322">
        <f>G615-E615</f>
        <v>0</v>
      </c>
      <c r="G615" s="1316" t="s">
        <v>1411</v>
      </c>
      <c r="H615" s="1325">
        <v>412115</v>
      </c>
      <c r="I615" s="1308">
        <v>0</v>
      </c>
      <c r="J615" s="1658">
        <f t="shared" si="156"/>
        <v>1</v>
      </c>
      <c r="K615" s="1308">
        <v>0</v>
      </c>
      <c r="L615" s="1308">
        <v>0</v>
      </c>
      <c r="M615" s="1307"/>
    </row>
    <row r="616" spans="1:13" x14ac:dyDescent="0.2">
      <c r="A616" s="1302"/>
      <c r="B616" s="1302"/>
      <c r="C616" s="1303" t="s">
        <v>391</v>
      </c>
      <c r="D616" s="1313" t="s">
        <v>17</v>
      </c>
      <c r="E616" s="1318">
        <v>669.2</v>
      </c>
      <c r="F616" s="1322">
        <f>G616-E616</f>
        <v>0</v>
      </c>
      <c r="G616" s="1316" t="s">
        <v>1412</v>
      </c>
      <c r="H616" s="1325">
        <v>669.2</v>
      </c>
      <c r="I616" s="1308">
        <v>0</v>
      </c>
      <c r="J616" s="1658">
        <f t="shared" si="156"/>
        <v>1</v>
      </c>
      <c r="K616" s="1308">
        <v>0</v>
      </c>
      <c r="L616" s="1308">
        <v>669.2</v>
      </c>
      <c r="M616" s="1307"/>
    </row>
    <row r="617" spans="1:13" ht="15" x14ac:dyDescent="0.2">
      <c r="A617" s="1299"/>
      <c r="B617" s="1305" t="s">
        <v>268</v>
      </c>
      <c r="C617" s="1300"/>
      <c r="D617" s="1312" t="s">
        <v>301</v>
      </c>
      <c r="E617" s="1317">
        <f>E618+E619+E620+E621</f>
        <v>8688221.9399999995</v>
      </c>
      <c r="F617" s="1321">
        <f t="shared" ref="F617:L617" si="164">F618+F619+F620+F621</f>
        <v>165874.99999999977</v>
      </c>
      <c r="G617" s="1314">
        <f t="shared" si="164"/>
        <v>8854096.9399999995</v>
      </c>
      <c r="H617" s="1317">
        <f t="shared" si="164"/>
        <v>8851140.1699999999</v>
      </c>
      <c r="I617" s="1321">
        <f t="shared" si="164"/>
        <v>0</v>
      </c>
      <c r="J617" s="1326">
        <f t="shared" si="156"/>
        <v>0.99966605628783645</v>
      </c>
      <c r="K617" s="1321">
        <f t="shared" si="164"/>
        <v>0</v>
      </c>
      <c r="L617" s="1916">
        <f t="shared" si="164"/>
        <v>0</v>
      </c>
      <c r="M617" s="1307"/>
    </row>
    <row r="618" spans="1:13" ht="22.5" x14ac:dyDescent="0.2">
      <c r="A618" s="1302"/>
      <c r="B618" s="1302"/>
      <c r="C618" s="1303" t="s">
        <v>1403</v>
      </c>
      <c r="D618" s="1313" t="s">
        <v>299</v>
      </c>
      <c r="E618" s="1318">
        <v>556330</v>
      </c>
      <c r="F618" s="1322">
        <f>G618-E618</f>
        <v>-40000</v>
      </c>
      <c r="G618" s="1316" t="s">
        <v>1413</v>
      </c>
      <c r="H618" s="1325">
        <v>516330</v>
      </c>
      <c r="I618" s="1308">
        <v>0</v>
      </c>
      <c r="J618" s="1658">
        <f t="shared" si="156"/>
        <v>1</v>
      </c>
      <c r="K618" s="1308">
        <v>0</v>
      </c>
      <c r="L618" s="1308">
        <v>0</v>
      </c>
      <c r="M618" s="1307"/>
    </row>
    <row r="619" spans="1:13" ht="22.5" x14ac:dyDescent="0.2">
      <c r="A619" s="1302"/>
      <c r="B619" s="1302"/>
      <c r="C619" s="1303" t="s">
        <v>147</v>
      </c>
      <c r="D619" s="1313" t="s">
        <v>45</v>
      </c>
      <c r="E619" s="1318">
        <v>0</v>
      </c>
      <c r="F619" s="1322">
        <f t="shared" ref="F619:F621" si="165">G619-E619</f>
        <v>309000</v>
      </c>
      <c r="G619" s="1316" t="s">
        <v>1414</v>
      </c>
      <c r="H619" s="1325">
        <v>306043.23</v>
      </c>
      <c r="I619" s="1308">
        <v>0</v>
      </c>
      <c r="J619" s="1658">
        <f t="shared" si="156"/>
        <v>0.99043116504854367</v>
      </c>
      <c r="K619" s="1308">
        <v>0</v>
      </c>
      <c r="L619" s="1308">
        <v>0</v>
      </c>
      <c r="M619" s="1307"/>
    </row>
    <row r="620" spans="1:13" ht="22.5" x14ac:dyDescent="0.2">
      <c r="A620" s="1302"/>
      <c r="B620" s="1302"/>
      <c r="C620" s="1303" t="s">
        <v>270</v>
      </c>
      <c r="D620" s="1313" t="s">
        <v>45</v>
      </c>
      <c r="E620" s="1318">
        <v>6827100</v>
      </c>
      <c r="F620" s="1322">
        <f t="shared" si="165"/>
        <v>-2648.1100000003353</v>
      </c>
      <c r="G620" s="1316" t="s">
        <v>1415</v>
      </c>
      <c r="H620" s="1325">
        <v>6824451.8899999997</v>
      </c>
      <c r="I620" s="1308">
        <v>0</v>
      </c>
      <c r="J620" s="1658">
        <f t="shared" si="156"/>
        <v>1</v>
      </c>
      <c r="K620" s="1308">
        <v>0</v>
      </c>
      <c r="L620" s="1308">
        <v>0</v>
      </c>
      <c r="M620" s="1307"/>
    </row>
    <row r="621" spans="1:13" ht="22.5" x14ac:dyDescent="0.2">
      <c r="A621" s="1302"/>
      <c r="B621" s="1302"/>
      <c r="C621" s="1303" t="s">
        <v>271</v>
      </c>
      <c r="D621" s="1313" t="s">
        <v>45</v>
      </c>
      <c r="E621" s="1318">
        <v>1304791.94</v>
      </c>
      <c r="F621" s="1322">
        <f t="shared" si="165"/>
        <v>-100476.8899999999</v>
      </c>
      <c r="G621" s="1316" t="s">
        <v>1416</v>
      </c>
      <c r="H621" s="1325">
        <v>1204315.05</v>
      </c>
      <c r="I621" s="1308">
        <v>0</v>
      </c>
      <c r="J621" s="1658">
        <f t="shared" si="156"/>
        <v>1</v>
      </c>
      <c r="K621" s="1308">
        <v>0</v>
      </c>
      <c r="L621" s="1308">
        <v>0</v>
      </c>
      <c r="M621" s="1307"/>
    </row>
    <row r="622" spans="1:13" ht="22.5" x14ac:dyDescent="0.2">
      <c r="A622" s="1299"/>
      <c r="B622" s="1305" t="s">
        <v>1417</v>
      </c>
      <c r="C622" s="1300"/>
      <c r="D622" s="1312" t="s">
        <v>335</v>
      </c>
      <c r="E622" s="1317">
        <f>E623</f>
        <v>100000</v>
      </c>
      <c r="F622" s="1321">
        <f t="shared" ref="F622:L622" si="166">F623</f>
        <v>0</v>
      </c>
      <c r="G622" s="1314" t="str">
        <f t="shared" si="166"/>
        <v>100 000,00</v>
      </c>
      <c r="H622" s="1317">
        <f t="shared" si="166"/>
        <v>100000</v>
      </c>
      <c r="I622" s="1321">
        <f t="shared" si="166"/>
        <v>0</v>
      </c>
      <c r="J622" s="1326">
        <f t="shared" si="156"/>
        <v>1</v>
      </c>
      <c r="K622" s="1321">
        <f t="shared" si="166"/>
        <v>0</v>
      </c>
      <c r="L622" s="1916">
        <f t="shared" si="166"/>
        <v>0</v>
      </c>
      <c r="M622" s="1307"/>
    </row>
    <row r="623" spans="1:13" ht="67.5" x14ac:dyDescent="0.2">
      <c r="A623" s="1302"/>
      <c r="B623" s="1302"/>
      <c r="C623" s="1303" t="s">
        <v>1419</v>
      </c>
      <c r="D623" s="1313" t="s">
        <v>336</v>
      </c>
      <c r="E623" s="1318">
        <v>100000</v>
      </c>
      <c r="F623" s="1322">
        <f>G623-E623</f>
        <v>0</v>
      </c>
      <c r="G623" s="1316" t="s">
        <v>1418</v>
      </c>
      <c r="H623" s="1325">
        <v>100000</v>
      </c>
      <c r="I623" s="1308">
        <v>0</v>
      </c>
      <c r="J623" s="1658">
        <f>H623/G623</f>
        <v>1</v>
      </c>
      <c r="K623" s="1308">
        <v>0</v>
      </c>
      <c r="L623" s="1308">
        <v>0</v>
      </c>
      <c r="M623" s="1307"/>
    </row>
    <row r="624" spans="1:13" ht="33.75" x14ac:dyDescent="0.2">
      <c r="A624" s="1299"/>
      <c r="B624" s="1305" t="s">
        <v>1420</v>
      </c>
      <c r="C624" s="1300"/>
      <c r="D624" s="1312" t="s">
        <v>1421</v>
      </c>
      <c r="E624" s="1317">
        <f>E625+E626+E627</f>
        <v>0</v>
      </c>
      <c r="F624" s="1321">
        <f t="shared" ref="F624:I624" si="167">F625+F626+F627</f>
        <v>14114</v>
      </c>
      <c r="G624" s="1314">
        <f t="shared" si="167"/>
        <v>14114</v>
      </c>
      <c r="H624" s="1317">
        <f t="shared" si="167"/>
        <v>13894.71</v>
      </c>
      <c r="I624" s="1321">
        <f t="shared" si="167"/>
        <v>0</v>
      </c>
      <c r="J624" s="1326">
        <f t="shared" si="156"/>
        <v>0.98446294459402006</v>
      </c>
      <c r="K624" s="1321">
        <f>K625+K626+K627</f>
        <v>0</v>
      </c>
      <c r="L624" s="1916">
        <f t="shared" ref="L624" si="168">L625+L626+L627</f>
        <v>0</v>
      </c>
      <c r="M624" s="1307"/>
    </row>
    <row r="625" spans="1:13" x14ac:dyDescent="0.2">
      <c r="A625" s="1302"/>
      <c r="B625" s="1302"/>
      <c r="C625" s="1303" t="s">
        <v>447</v>
      </c>
      <c r="D625" s="1313" t="s">
        <v>14</v>
      </c>
      <c r="E625" s="1318">
        <v>0</v>
      </c>
      <c r="F625" s="1322">
        <f>G625-E625</f>
        <v>474</v>
      </c>
      <c r="G625" s="1316" t="s">
        <v>1422</v>
      </c>
      <c r="H625" s="1325">
        <v>422.71</v>
      </c>
      <c r="I625" s="1308">
        <v>0</v>
      </c>
      <c r="J625" s="1658">
        <f t="shared" si="156"/>
        <v>0.89179324894514767</v>
      </c>
      <c r="K625" s="1308">
        <v>0</v>
      </c>
      <c r="L625" s="1308">
        <v>0</v>
      </c>
      <c r="M625" s="1307"/>
    </row>
    <row r="626" spans="1:13" x14ac:dyDescent="0.2">
      <c r="A626" s="1302"/>
      <c r="B626" s="1302"/>
      <c r="C626" s="1303" t="s">
        <v>442</v>
      </c>
      <c r="D626" s="1313" t="s">
        <v>31</v>
      </c>
      <c r="E626" s="1318">
        <v>0</v>
      </c>
      <c r="F626" s="1322">
        <f t="shared" ref="F626:F627" si="169">G626-E626</f>
        <v>2640</v>
      </c>
      <c r="G626" s="1316" t="s">
        <v>1423</v>
      </c>
      <c r="H626" s="1325">
        <v>2472</v>
      </c>
      <c r="I626" s="1308">
        <v>0</v>
      </c>
      <c r="J626" s="1658">
        <f t="shared" si="156"/>
        <v>0.9363636363636364</v>
      </c>
      <c r="K626" s="1308">
        <v>0</v>
      </c>
      <c r="L626" s="1308">
        <v>0</v>
      </c>
      <c r="M626" s="1307"/>
    </row>
    <row r="627" spans="1:13" x14ac:dyDescent="0.2">
      <c r="A627" s="1302"/>
      <c r="B627" s="1302"/>
      <c r="C627" s="1303" t="s">
        <v>912</v>
      </c>
      <c r="D627" s="1313" t="s">
        <v>78</v>
      </c>
      <c r="E627" s="1318">
        <v>0</v>
      </c>
      <c r="F627" s="1322">
        <f t="shared" si="169"/>
        <v>11000</v>
      </c>
      <c r="G627" s="1316" t="s">
        <v>736</v>
      </c>
      <c r="H627" s="1325">
        <v>11000</v>
      </c>
      <c r="I627" s="1308">
        <v>0</v>
      </c>
      <c r="J627" s="1658">
        <f t="shared" si="156"/>
        <v>1</v>
      </c>
      <c r="K627" s="1308">
        <v>0</v>
      </c>
      <c r="L627" s="1308">
        <v>0</v>
      </c>
      <c r="M627" s="1307"/>
    </row>
    <row r="628" spans="1:13" ht="15" x14ac:dyDescent="0.2">
      <c r="A628" s="1299"/>
      <c r="B628" s="1305" t="s">
        <v>476</v>
      </c>
      <c r="C628" s="1300"/>
      <c r="D628" s="1312" t="s">
        <v>11</v>
      </c>
      <c r="E628" s="1317">
        <f>E629+E630+E631</f>
        <v>79822.42</v>
      </c>
      <c r="F628" s="1321">
        <f t="shared" ref="F628:L628" si="170">F629+F630+F631</f>
        <v>-100</v>
      </c>
      <c r="G628" s="1314">
        <f t="shared" si="170"/>
        <v>79722.42</v>
      </c>
      <c r="H628" s="1317">
        <f t="shared" si="170"/>
        <v>76289.709999999992</v>
      </c>
      <c r="I628" s="1321">
        <f t="shared" si="170"/>
        <v>0</v>
      </c>
      <c r="J628" s="1326">
        <f t="shared" si="156"/>
        <v>0.95694172354527107</v>
      </c>
      <c r="K628" s="1321">
        <f t="shared" si="170"/>
        <v>0</v>
      </c>
      <c r="L628" s="1916">
        <f t="shared" si="170"/>
        <v>76289.709999999992</v>
      </c>
      <c r="M628" s="1307"/>
    </row>
    <row r="629" spans="1:13" x14ac:dyDescent="0.2">
      <c r="A629" s="1302"/>
      <c r="B629" s="1302"/>
      <c r="C629" s="1303" t="s">
        <v>442</v>
      </c>
      <c r="D629" s="1313" t="s">
        <v>31</v>
      </c>
      <c r="E629" s="1318">
        <v>1300</v>
      </c>
      <c r="F629" s="1322">
        <f>G629-E629</f>
        <v>0</v>
      </c>
      <c r="G629" s="1316" t="s">
        <v>1424</v>
      </c>
      <c r="H629" s="1325">
        <v>1300</v>
      </c>
      <c r="I629" s="1308"/>
      <c r="J629" s="1658">
        <f t="shared" si="156"/>
        <v>1</v>
      </c>
      <c r="K629" s="1308"/>
      <c r="L629" s="1308">
        <v>1300</v>
      </c>
      <c r="M629" s="1307"/>
    </row>
    <row r="630" spans="1:13" x14ac:dyDescent="0.2">
      <c r="A630" s="1302"/>
      <c r="B630" s="1302"/>
      <c r="C630" s="1303" t="s">
        <v>391</v>
      </c>
      <c r="D630" s="1313" t="s">
        <v>17</v>
      </c>
      <c r="E630" s="1318">
        <v>46722.42</v>
      </c>
      <c r="F630" s="1322">
        <f t="shared" ref="F630:F631" si="171">G630-E630</f>
        <v>-600</v>
      </c>
      <c r="G630" s="1316" t="s">
        <v>1425</v>
      </c>
      <c r="H630" s="1325">
        <v>43718.61</v>
      </c>
      <c r="I630" s="1308"/>
      <c r="J630" s="1658">
        <f t="shared" si="156"/>
        <v>0.94788196282849002</v>
      </c>
      <c r="K630" s="1308"/>
      <c r="L630" s="1308">
        <v>43718.61</v>
      </c>
      <c r="M630" s="1307"/>
    </row>
    <row r="631" spans="1:13" x14ac:dyDescent="0.2">
      <c r="A631" s="1302"/>
      <c r="B631" s="1302"/>
      <c r="C631" s="1303" t="s">
        <v>404</v>
      </c>
      <c r="D631" s="1313" t="s">
        <v>18</v>
      </c>
      <c r="E631" s="1318">
        <v>31800</v>
      </c>
      <c r="F631" s="1322">
        <f t="shared" si="171"/>
        <v>500</v>
      </c>
      <c r="G631" s="1316" t="s">
        <v>1426</v>
      </c>
      <c r="H631" s="1325">
        <v>31271.1</v>
      </c>
      <c r="I631" s="1308"/>
      <c r="J631" s="1658">
        <f t="shared" si="156"/>
        <v>0.96814551083591327</v>
      </c>
      <c r="K631" s="1308"/>
      <c r="L631" s="1308">
        <v>31271.1</v>
      </c>
      <c r="M631" s="1307"/>
    </row>
    <row r="632" spans="1:13" x14ac:dyDescent="0.2">
      <c r="A632" s="1334" t="s">
        <v>273</v>
      </c>
      <c r="B632" s="1334"/>
      <c r="C632" s="1334"/>
      <c r="D632" s="1335" t="s">
        <v>384</v>
      </c>
      <c r="E632" s="1336">
        <f>E633+E646</f>
        <v>886061.20000000007</v>
      </c>
      <c r="F632" s="1330">
        <f t="shared" ref="F632:I632" si="172">F633+F646</f>
        <v>326800.64000000001</v>
      </c>
      <c r="G632" s="1337">
        <f t="shared" si="172"/>
        <v>1212861.8399999999</v>
      </c>
      <c r="H632" s="1336">
        <f t="shared" si="172"/>
        <v>1157028.8</v>
      </c>
      <c r="I632" s="1330">
        <f t="shared" si="172"/>
        <v>0</v>
      </c>
      <c r="J632" s="1333">
        <f t="shared" si="156"/>
        <v>0.95396586968223862</v>
      </c>
      <c r="K632" s="1330">
        <f>K633+K646</f>
        <v>1110.29</v>
      </c>
      <c r="L632" s="1917">
        <f t="shared" ref="L632" si="173">L633+L646</f>
        <v>56253.5</v>
      </c>
      <c r="M632" s="1307"/>
    </row>
    <row r="633" spans="1:13" ht="15" x14ac:dyDescent="0.2">
      <c r="A633" s="1299"/>
      <c r="B633" s="1305" t="s">
        <v>274</v>
      </c>
      <c r="C633" s="1300"/>
      <c r="D633" s="1312" t="s">
        <v>385</v>
      </c>
      <c r="E633" s="1317">
        <f>E634+E635+E636+E637+E638+E639+E640+E641+E642+E643+E644+E645</f>
        <v>549468.56000000006</v>
      </c>
      <c r="F633" s="1321">
        <f t="shared" ref="F633:L633" si="174">F634+F635+F636+F637+F638+F639+F640+F641+F642+F643+F644+F645</f>
        <v>291460.64</v>
      </c>
      <c r="G633" s="1314">
        <f t="shared" si="174"/>
        <v>840929.2</v>
      </c>
      <c r="H633" s="1317">
        <f t="shared" si="174"/>
        <v>814630.83000000007</v>
      </c>
      <c r="I633" s="1321">
        <f t="shared" si="174"/>
        <v>0</v>
      </c>
      <c r="J633" s="1326">
        <f t="shared" si="156"/>
        <v>0.96872701054975863</v>
      </c>
      <c r="K633" s="1321">
        <f>K634+K635+K636+K637+K638+K639+K640+K641+K642+K643+K644+K645</f>
        <v>635.33000000000004</v>
      </c>
      <c r="L633" s="1916">
        <f t="shared" si="174"/>
        <v>5447.03</v>
      </c>
      <c r="M633" s="1307"/>
    </row>
    <row r="634" spans="1:13" x14ac:dyDescent="0.2">
      <c r="A634" s="1302"/>
      <c r="B634" s="1302"/>
      <c r="C634" s="1303" t="s">
        <v>447</v>
      </c>
      <c r="D634" s="1313" t="s">
        <v>14</v>
      </c>
      <c r="E634" s="1318">
        <v>10314</v>
      </c>
      <c r="F634" s="1322">
        <f>G634-E634</f>
        <v>0</v>
      </c>
      <c r="G634" s="1316" t="s">
        <v>1427</v>
      </c>
      <c r="H634" s="1325">
        <v>10314</v>
      </c>
      <c r="I634" s="1308">
        <v>0</v>
      </c>
      <c r="J634" s="1658">
        <f t="shared" si="156"/>
        <v>1</v>
      </c>
      <c r="K634" s="1308">
        <v>554.33000000000004</v>
      </c>
      <c r="L634" s="1308">
        <v>0</v>
      </c>
      <c r="M634" s="1307"/>
    </row>
    <row r="635" spans="1:13" x14ac:dyDescent="0.2">
      <c r="A635" s="1302"/>
      <c r="B635" s="1302"/>
      <c r="C635" s="1303" t="s">
        <v>450</v>
      </c>
      <c r="D635" s="1313" t="s">
        <v>15</v>
      </c>
      <c r="E635" s="1318">
        <v>1470</v>
      </c>
      <c r="F635" s="1322">
        <f t="shared" ref="F635:F645" si="175">G635-E635</f>
        <v>0</v>
      </c>
      <c r="G635" s="1316" t="s">
        <v>1428</v>
      </c>
      <c r="H635" s="1325">
        <v>935.17</v>
      </c>
      <c r="I635" s="1308">
        <v>0</v>
      </c>
      <c r="J635" s="1658">
        <f t="shared" si="156"/>
        <v>0.63617006802721088</v>
      </c>
      <c r="K635" s="1308">
        <v>0</v>
      </c>
      <c r="L635" s="1308">
        <v>0</v>
      </c>
      <c r="M635" s="1307"/>
    </row>
    <row r="636" spans="1:13" x14ac:dyDescent="0.2">
      <c r="A636" s="1302"/>
      <c r="B636" s="1302"/>
      <c r="C636" s="1303" t="s">
        <v>442</v>
      </c>
      <c r="D636" s="1313" t="s">
        <v>31</v>
      </c>
      <c r="E636" s="1318">
        <v>60000</v>
      </c>
      <c r="F636" s="1322">
        <f t="shared" si="175"/>
        <v>0</v>
      </c>
      <c r="G636" s="1316" t="s">
        <v>940</v>
      </c>
      <c r="H636" s="1325">
        <v>59764.160000000003</v>
      </c>
      <c r="I636" s="1308">
        <v>0</v>
      </c>
      <c r="J636" s="1658">
        <f t="shared" si="156"/>
        <v>0.99606933333333336</v>
      </c>
      <c r="K636" s="1308">
        <v>0</v>
      </c>
      <c r="L636" s="1308">
        <v>0</v>
      </c>
      <c r="M636" s="1307"/>
    </row>
    <row r="637" spans="1:13" x14ac:dyDescent="0.2">
      <c r="A637" s="1302"/>
      <c r="B637" s="1302"/>
      <c r="C637" s="1303" t="s">
        <v>391</v>
      </c>
      <c r="D637" s="1313" t="s">
        <v>17</v>
      </c>
      <c r="E637" s="1318">
        <v>15000</v>
      </c>
      <c r="F637" s="1322">
        <f t="shared" si="175"/>
        <v>0</v>
      </c>
      <c r="G637" s="1316" t="s">
        <v>1345</v>
      </c>
      <c r="H637" s="1325">
        <v>13193.69</v>
      </c>
      <c r="I637" s="1308">
        <v>0</v>
      </c>
      <c r="J637" s="1658">
        <f t="shared" si="156"/>
        <v>0.87957933333333338</v>
      </c>
      <c r="K637" s="1308">
        <v>0</v>
      </c>
      <c r="L637" s="1308">
        <v>0</v>
      </c>
      <c r="M637" s="1307"/>
    </row>
    <row r="638" spans="1:13" x14ac:dyDescent="0.2">
      <c r="A638" s="1302"/>
      <c r="B638" s="1302"/>
      <c r="C638" s="1303" t="s">
        <v>902</v>
      </c>
      <c r="D638" s="1313" t="s">
        <v>41</v>
      </c>
      <c r="E638" s="1318">
        <v>17000</v>
      </c>
      <c r="F638" s="1322">
        <f t="shared" si="175"/>
        <v>0</v>
      </c>
      <c r="G638" s="1316" t="s">
        <v>887</v>
      </c>
      <c r="H638" s="1325">
        <v>14122.12</v>
      </c>
      <c r="I638" s="1308">
        <v>0</v>
      </c>
      <c r="J638" s="1658">
        <f t="shared" si="156"/>
        <v>0.83071294117647065</v>
      </c>
      <c r="K638" s="1308">
        <v>81</v>
      </c>
      <c r="L638" s="1308">
        <v>0</v>
      </c>
      <c r="M638" s="1307"/>
    </row>
    <row r="639" spans="1:13" x14ac:dyDescent="0.2">
      <c r="A639" s="1302"/>
      <c r="B639" s="1302"/>
      <c r="C639" s="1303" t="s">
        <v>912</v>
      </c>
      <c r="D639" s="1313" t="s">
        <v>78</v>
      </c>
      <c r="E639" s="1318">
        <v>50000</v>
      </c>
      <c r="F639" s="1322">
        <f t="shared" si="175"/>
        <v>93700</v>
      </c>
      <c r="G639" s="1316" t="s">
        <v>1429</v>
      </c>
      <c r="H639" s="1325">
        <v>143512.91</v>
      </c>
      <c r="I639" s="1308">
        <v>0</v>
      </c>
      <c r="J639" s="1658">
        <f t="shared" si="156"/>
        <v>0.99869805149617263</v>
      </c>
      <c r="K639" s="1308">
        <v>0</v>
      </c>
      <c r="L639" s="1308">
        <v>0</v>
      </c>
      <c r="M639" s="1307"/>
    </row>
    <row r="640" spans="1:13" x14ac:dyDescent="0.2">
      <c r="A640" s="1302"/>
      <c r="B640" s="1302"/>
      <c r="C640" s="1303" t="s">
        <v>992</v>
      </c>
      <c r="D640" s="1313" t="s">
        <v>42</v>
      </c>
      <c r="E640" s="1318">
        <v>200</v>
      </c>
      <c r="F640" s="1322">
        <f t="shared" si="175"/>
        <v>0</v>
      </c>
      <c r="G640" s="1316" t="s">
        <v>1347</v>
      </c>
      <c r="H640" s="1325">
        <v>0</v>
      </c>
      <c r="I640" s="1308">
        <v>0</v>
      </c>
      <c r="J640" s="1658">
        <f t="shared" si="156"/>
        <v>0</v>
      </c>
      <c r="K640" s="1308">
        <v>0</v>
      </c>
      <c r="L640" s="1308">
        <v>0</v>
      </c>
      <c r="M640" s="1307"/>
    </row>
    <row r="641" spans="1:13" x14ac:dyDescent="0.2">
      <c r="A641" s="1302"/>
      <c r="B641" s="1302"/>
      <c r="C641" s="1303" t="s">
        <v>404</v>
      </c>
      <c r="D641" s="1313" t="s">
        <v>18</v>
      </c>
      <c r="E641" s="1318">
        <v>16000</v>
      </c>
      <c r="F641" s="1322">
        <f t="shared" si="175"/>
        <v>0</v>
      </c>
      <c r="G641" s="1316" t="s">
        <v>1031</v>
      </c>
      <c r="H641" s="1325">
        <v>10683.71</v>
      </c>
      <c r="I641" s="1308">
        <v>0</v>
      </c>
      <c r="J641" s="1658">
        <f t="shared" si="156"/>
        <v>0.66773187499999997</v>
      </c>
      <c r="K641" s="1308">
        <v>0</v>
      </c>
      <c r="L641" s="1308">
        <v>0</v>
      </c>
      <c r="M641" s="1307"/>
    </row>
    <row r="642" spans="1:13" ht="22.5" x14ac:dyDescent="0.2">
      <c r="A642" s="1302"/>
      <c r="B642" s="1302"/>
      <c r="C642" s="1303" t="s">
        <v>147</v>
      </c>
      <c r="D642" s="1313" t="s">
        <v>45</v>
      </c>
      <c r="E642" s="1318">
        <v>379484.56</v>
      </c>
      <c r="F642" s="1322">
        <f t="shared" si="175"/>
        <v>-334372.96999999997</v>
      </c>
      <c r="G642" s="1316" t="s">
        <v>1430</v>
      </c>
      <c r="H642" s="1325">
        <v>31752.03</v>
      </c>
      <c r="I642" s="1308">
        <v>0</v>
      </c>
      <c r="J642" s="1658">
        <f t="shared" si="156"/>
        <v>0.70385526202911497</v>
      </c>
      <c r="K642" s="1308">
        <v>0</v>
      </c>
      <c r="L642" s="1308">
        <v>5447.03</v>
      </c>
      <c r="M642" s="1307"/>
    </row>
    <row r="643" spans="1:13" ht="22.5" x14ac:dyDescent="0.2">
      <c r="A643" s="1302"/>
      <c r="B643" s="1302"/>
      <c r="C643" s="1303" t="s">
        <v>280</v>
      </c>
      <c r="D643" s="1313" t="s">
        <v>45</v>
      </c>
      <c r="E643" s="1318">
        <v>0</v>
      </c>
      <c r="F643" s="1322">
        <f t="shared" si="175"/>
        <v>255000</v>
      </c>
      <c r="G643" s="1316" t="s">
        <v>1431</v>
      </c>
      <c r="H643" s="1325">
        <v>255000</v>
      </c>
      <c r="I643" s="1308">
        <v>0</v>
      </c>
      <c r="J643" s="1658">
        <f t="shared" si="156"/>
        <v>1</v>
      </c>
      <c r="K643" s="1308">
        <v>0</v>
      </c>
      <c r="L643" s="1308">
        <v>0</v>
      </c>
      <c r="M643" s="1307"/>
    </row>
    <row r="644" spans="1:13" ht="22.5" x14ac:dyDescent="0.2">
      <c r="A644" s="1302"/>
      <c r="B644" s="1302"/>
      <c r="C644" s="1303" t="s">
        <v>271</v>
      </c>
      <c r="D644" s="1313" t="s">
        <v>45</v>
      </c>
      <c r="E644" s="1318">
        <v>0</v>
      </c>
      <c r="F644" s="1322">
        <f t="shared" si="175"/>
        <v>262133.61</v>
      </c>
      <c r="G644" s="1316" t="s">
        <v>1432</v>
      </c>
      <c r="H644" s="1325">
        <v>260353.04</v>
      </c>
      <c r="I644" s="1308">
        <v>0</v>
      </c>
      <c r="J644" s="1658">
        <f t="shared" si="156"/>
        <v>0.99320739526686419</v>
      </c>
      <c r="K644" s="1308">
        <v>0</v>
      </c>
      <c r="L644" s="1308">
        <v>0</v>
      </c>
      <c r="M644" s="1307"/>
    </row>
    <row r="645" spans="1:13" ht="22.5" x14ac:dyDescent="0.2">
      <c r="A645" s="1302"/>
      <c r="B645" s="1302"/>
      <c r="C645" s="1303" t="s">
        <v>179</v>
      </c>
      <c r="D645" s="1313" t="s">
        <v>75</v>
      </c>
      <c r="E645" s="1318">
        <v>0</v>
      </c>
      <c r="F645" s="1322">
        <f t="shared" si="175"/>
        <v>15000</v>
      </c>
      <c r="G645" s="1316" t="s">
        <v>1345</v>
      </c>
      <c r="H645" s="1325">
        <v>15000</v>
      </c>
      <c r="I645" s="1308">
        <v>0</v>
      </c>
      <c r="J645" s="1658">
        <f t="shared" si="156"/>
        <v>1</v>
      </c>
      <c r="K645" s="1308">
        <v>0</v>
      </c>
      <c r="L645" s="1308">
        <v>0</v>
      </c>
      <c r="M645" s="1307"/>
    </row>
    <row r="646" spans="1:13" ht="15" x14ac:dyDescent="0.2">
      <c r="A646" s="1299"/>
      <c r="B646" s="1305" t="s">
        <v>494</v>
      </c>
      <c r="C646" s="1300"/>
      <c r="D646" s="1312" t="s">
        <v>11</v>
      </c>
      <c r="E646" s="1317">
        <f>E647+E648+E649+E650+E651+E652+E653</f>
        <v>336592.64000000001</v>
      </c>
      <c r="F646" s="1321">
        <f t="shared" ref="F646:L646" si="176">F647+F648+F649+F650+F651+F652+F653</f>
        <v>35340</v>
      </c>
      <c r="G646" s="1314">
        <f t="shared" si="176"/>
        <v>371932.64</v>
      </c>
      <c r="H646" s="1317">
        <f t="shared" si="176"/>
        <v>342397.97000000003</v>
      </c>
      <c r="I646" s="1321">
        <f t="shared" si="176"/>
        <v>0</v>
      </c>
      <c r="J646" s="1326">
        <f t="shared" si="156"/>
        <v>0.92059134686323851</v>
      </c>
      <c r="K646" s="1321">
        <f t="shared" si="176"/>
        <v>474.96</v>
      </c>
      <c r="L646" s="1916">
        <f t="shared" si="176"/>
        <v>50806.47</v>
      </c>
      <c r="M646" s="1307"/>
    </row>
    <row r="647" spans="1:13" ht="78.75" x14ac:dyDescent="0.2">
      <c r="A647" s="1302"/>
      <c r="B647" s="1302"/>
      <c r="C647" s="1303" t="s">
        <v>834</v>
      </c>
      <c r="D647" s="1313" t="s">
        <v>1069</v>
      </c>
      <c r="E647" s="1318">
        <v>170000</v>
      </c>
      <c r="F647" s="1322">
        <f>G647-E647</f>
        <v>0</v>
      </c>
      <c r="G647" s="1316" t="s">
        <v>1433</v>
      </c>
      <c r="H647" s="1325">
        <v>165390</v>
      </c>
      <c r="I647" s="1308">
        <v>0</v>
      </c>
      <c r="J647" s="1658">
        <f t="shared" si="156"/>
        <v>0.97288235294117642</v>
      </c>
      <c r="K647" s="1308">
        <v>0</v>
      </c>
      <c r="L647" s="1308">
        <v>0</v>
      </c>
      <c r="M647" s="1307"/>
    </row>
    <row r="648" spans="1:13" x14ac:dyDescent="0.2">
      <c r="A648" s="1302"/>
      <c r="B648" s="1302"/>
      <c r="C648" s="1303" t="s">
        <v>447</v>
      </c>
      <c r="D648" s="1313" t="s">
        <v>14</v>
      </c>
      <c r="E648" s="1318">
        <v>3000</v>
      </c>
      <c r="F648" s="1322">
        <f t="shared" ref="F648:F653" si="177">G648-E648</f>
        <v>-1800</v>
      </c>
      <c r="G648" s="1316" t="s">
        <v>1163</v>
      </c>
      <c r="H648" s="1325">
        <v>0</v>
      </c>
      <c r="I648" s="1308">
        <v>0</v>
      </c>
      <c r="J648" s="1658">
        <f t="shared" si="156"/>
        <v>0</v>
      </c>
      <c r="K648" s="1308">
        <v>0</v>
      </c>
      <c r="L648" s="1308">
        <v>0</v>
      </c>
      <c r="M648" s="1307"/>
    </row>
    <row r="649" spans="1:13" x14ac:dyDescent="0.2">
      <c r="A649" s="1302"/>
      <c r="B649" s="1302"/>
      <c r="C649" s="1303" t="s">
        <v>450</v>
      </c>
      <c r="D649" s="1313" t="s">
        <v>15</v>
      </c>
      <c r="E649" s="1318">
        <v>0</v>
      </c>
      <c r="F649" s="1322">
        <f t="shared" si="177"/>
        <v>200</v>
      </c>
      <c r="G649" s="1316" t="s">
        <v>1347</v>
      </c>
      <c r="H649" s="1325">
        <v>0</v>
      </c>
      <c r="I649" s="1308">
        <v>0</v>
      </c>
      <c r="J649" s="1658">
        <f t="shared" si="156"/>
        <v>0</v>
      </c>
      <c r="K649" s="1308">
        <v>0</v>
      </c>
      <c r="L649" s="1308">
        <v>0</v>
      </c>
      <c r="M649" s="1307"/>
    </row>
    <row r="650" spans="1:13" x14ac:dyDescent="0.2">
      <c r="A650" s="1302"/>
      <c r="B650" s="1302"/>
      <c r="C650" s="1303" t="s">
        <v>442</v>
      </c>
      <c r="D650" s="1313" t="s">
        <v>31</v>
      </c>
      <c r="E650" s="1318">
        <v>32000</v>
      </c>
      <c r="F650" s="1322">
        <f t="shared" si="177"/>
        <v>-200</v>
      </c>
      <c r="G650" s="1316" t="s">
        <v>1434</v>
      </c>
      <c r="H650" s="1325">
        <v>19885</v>
      </c>
      <c r="I650" s="1308">
        <v>0</v>
      </c>
      <c r="J650" s="1658">
        <f t="shared" si="156"/>
        <v>0.62531446540880509</v>
      </c>
      <c r="K650" s="1308">
        <v>0</v>
      </c>
      <c r="L650" s="1308">
        <v>2000</v>
      </c>
      <c r="M650" s="1307"/>
    </row>
    <row r="651" spans="1:13" x14ac:dyDescent="0.2">
      <c r="A651" s="1302"/>
      <c r="B651" s="1302"/>
      <c r="C651" s="1303" t="s">
        <v>391</v>
      </c>
      <c r="D651" s="1313" t="s">
        <v>17</v>
      </c>
      <c r="E651" s="1318">
        <v>76092.639999999999</v>
      </c>
      <c r="F651" s="1322">
        <f t="shared" si="177"/>
        <v>13000</v>
      </c>
      <c r="G651" s="1316" t="s">
        <v>1435</v>
      </c>
      <c r="H651" s="1325">
        <v>79576.56</v>
      </c>
      <c r="I651" s="1308">
        <v>0</v>
      </c>
      <c r="J651" s="1658">
        <f t="shared" si="156"/>
        <v>0.89318893232931473</v>
      </c>
      <c r="K651" s="1308">
        <v>474.96</v>
      </c>
      <c r="L651" s="1308">
        <v>41514.17</v>
      </c>
      <c r="M651" s="1307"/>
    </row>
    <row r="652" spans="1:13" x14ac:dyDescent="0.2">
      <c r="A652" s="1302"/>
      <c r="B652" s="1302"/>
      <c r="C652" s="1303" t="s">
        <v>404</v>
      </c>
      <c r="D652" s="1313" t="s">
        <v>18</v>
      </c>
      <c r="E652" s="1318">
        <v>47000</v>
      </c>
      <c r="F652" s="1322">
        <f t="shared" si="177"/>
        <v>24140</v>
      </c>
      <c r="G652" s="1316" t="s">
        <v>1436</v>
      </c>
      <c r="H652" s="1325">
        <v>69653.570000000007</v>
      </c>
      <c r="I652" s="1308">
        <v>0</v>
      </c>
      <c r="J652" s="1658">
        <f t="shared" ref="J652:J654" si="178">H652/G652</f>
        <v>0.97910556648861413</v>
      </c>
      <c r="K652" s="1308">
        <v>0</v>
      </c>
      <c r="L652" s="1308">
        <v>7292.3</v>
      </c>
      <c r="M652" s="1307"/>
    </row>
    <row r="653" spans="1:13" x14ac:dyDescent="0.2">
      <c r="A653" s="1302"/>
      <c r="B653" s="1302"/>
      <c r="C653" s="1303" t="s">
        <v>897</v>
      </c>
      <c r="D653" s="1313" t="s">
        <v>19</v>
      </c>
      <c r="E653" s="1318">
        <v>8500</v>
      </c>
      <c r="F653" s="1322">
        <f t="shared" si="177"/>
        <v>0</v>
      </c>
      <c r="G653" s="1316" t="s">
        <v>1437</v>
      </c>
      <c r="H653" s="1325">
        <v>7892.84</v>
      </c>
      <c r="I653" s="1308">
        <v>0</v>
      </c>
      <c r="J653" s="1658">
        <f t="shared" si="178"/>
        <v>0.92856941176470587</v>
      </c>
      <c r="K653" s="1308">
        <v>0</v>
      </c>
      <c r="L653" s="1308">
        <v>0</v>
      </c>
      <c r="M653" s="1307"/>
    </row>
    <row r="654" spans="1:13" ht="17.100000000000001" customHeight="1" x14ac:dyDescent="0.2">
      <c r="A654" s="2015" t="s">
        <v>507</v>
      </c>
      <c r="B654" s="2015"/>
      <c r="C654" s="2015"/>
      <c r="D654" s="2016"/>
      <c r="E654" s="1319">
        <f>E632+E595+E544+E493+E474+E453+E392+E367+E209+E201+E198+E161+E147+E74+E67+E50+E44+E29+E22+E9</f>
        <v>85291395.609999999</v>
      </c>
      <c r="F654" s="1323">
        <f t="shared" ref="F654:L654" si="179">F632+F595+F544+F493+F474+F453+F392+F367+F209+F201+F198+F161+F147+F74+F67+F50+F44+F29+F22+F9</f>
        <v>9436228.540000001</v>
      </c>
      <c r="G654" s="1952">
        <f t="shared" si="179"/>
        <v>94727624.149999976</v>
      </c>
      <c r="H654" s="1319">
        <f t="shared" si="179"/>
        <v>92018793.080000013</v>
      </c>
      <c r="I654" s="1323">
        <f t="shared" si="179"/>
        <v>1937881.72</v>
      </c>
      <c r="J654" s="1659">
        <f t="shared" si="178"/>
        <v>0.97140400074100286</v>
      </c>
      <c r="K654" s="1676">
        <f t="shared" si="179"/>
        <v>3200426.7100000004</v>
      </c>
      <c r="L654" s="1323">
        <f t="shared" si="179"/>
        <v>340410.51</v>
      </c>
      <c r="M654" s="1307"/>
    </row>
    <row r="655" spans="1:13" x14ac:dyDescent="0.2">
      <c r="C655" s="1677"/>
      <c r="D655" s="1678" t="s">
        <v>108</v>
      </c>
      <c r="E655" s="1729"/>
      <c r="F655" s="1729"/>
      <c r="G655" s="1729"/>
      <c r="H655" s="1729"/>
      <c r="I655" s="1729"/>
      <c r="J655" s="1729"/>
      <c r="K655" s="1729"/>
      <c r="L655" s="1729"/>
      <c r="M655" s="1307"/>
    </row>
    <row r="656" spans="1:13" ht="15.75" customHeight="1" x14ac:dyDescent="0.2">
      <c r="B656" s="1688" t="s">
        <v>120</v>
      </c>
      <c r="C656" s="2003" t="s">
        <v>1542</v>
      </c>
      <c r="D656" s="2004"/>
      <c r="E656" s="1726">
        <f>E654-E670</f>
        <v>69940998.280000001</v>
      </c>
      <c r="F656" s="1725">
        <f>F654-F670</f>
        <v>6918534.7600000016</v>
      </c>
      <c r="G656" s="1724">
        <f>G654-G670</f>
        <v>76859533.039999977</v>
      </c>
      <c r="H656" s="1726">
        <f>H654-H670</f>
        <v>74440338.210000008</v>
      </c>
      <c r="I656" s="1725">
        <f>I654-I670</f>
        <v>0</v>
      </c>
      <c r="J656" s="1738">
        <f>H656/G656</f>
        <v>0.96852446620068655</v>
      </c>
      <c r="K656" s="1725">
        <f>K654-K670</f>
        <v>2883739.9700000007</v>
      </c>
      <c r="L656" s="1725">
        <f>L654-L670</f>
        <v>292405.58</v>
      </c>
      <c r="M656" s="1307"/>
    </row>
    <row r="657" spans="1:13" ht="15" customHeight="1" x14ac:dyDescent="0.2">
      <c r="B657" s="1687" t="s">
        <v>1543</v>
      </c>
      <c r="C657" s="2005" t="s">
        <v>1544</v>
      </c>
      <c r="D657" s="2006"/>
      <c r="E657" s="1732">
        <f>E659+E660</f>
        <v>39316160.949999996</v>
      </c>
      <c r="F657" s="1734">
        <f t="shared" ref="F657:L657" si="180">F659+F660</f>
        <v>4333648.1900000004</v>
      </c>
      <c r="G657" s="1733">
        <f t="shared" si="180"/>
        <v>43649809.140000001</v>
      </c>
      <c r="H657" s="1732">
        <f t="shared" si="180"/>
        <v>41712244.400000006</v>
      </c>
      <c r="I657" s="1734">
        <f t="shared" si="180"/>
        <v>0</v>
      </c>
      <c r="J657" s="1739">
        <f>H657/G657</f>
        <v>0.95561115207203873</v>
      </c>
      <c r="K657" s="1734">
        <f t="shared" si="180"/>
        <v>2748794.9400000004</v>
      </c>
      <c r="L657" s="1733">
        <f t="shared" si="180"/>
        <v>292405.58</v>
      </c>
      <c r="M657" s="1307"/>
    </row>
    <row r="658" spans="1:13" ht="15" customHeight="1" x14ac:dyDescent="0.2">
      <c r="B658" s="1735"/>
      <c r="C658" s="2007" t="s">
        <v>508</v>
      </c>
      <c r="D658" s="2008"/>
      <c r="E658" s="1727"/>
      <c r="F658" s="1727"/>
      <c r="G658" s="1727"/>
      <c r="H658" s="1727"/>
      <c r="I658" s="1727"/>
      <c r="J658" s="1740"/>
      <c r="K658" s="1727"/>
      <c r="L658" s="1721"/>
      <c r="M658" s="1307"/>
    </row>
    <row r="659" spans="1:13" ht="15" customHeight="1" x14ac:dyDescent="0.2">
      <c r="B659" s="1737"/>
      <c r="C659" s="2009" t="s">
        <v>1568</v>
      </c>
      <c r="D659" s="2010"/>
      <c r="E659" s="1728">
        <f>E650+E649+E648+E636+E635+E634+E629+E626+E625+E606+E605+E604+E599+E598+E591+E590+E589+E578+E577+E576+E568+E557+E556+E555+E554+E553+E534+E533+E532+E531+E527+E526+E525+E516+E515+E514+E513+E501+E500+E499+E498+E497+E480+E479+E478+E477+E444+E443+E442+E429+E427+E426+E425+E424+E399+E398+E397+E396+E379+E378+E377+E371+E357+E354+E351+E337+E336+E335+E325+E324+E323+E322+E313+E312+E311+E310+E299+E298+E297+E296+E295+E277+E276+E275+E274+E273+E254+E253+E252+E251+E250+E237+E236+E235+E234+E217+E216+E215+E214+E213+E190+E189+E188+E170+E169+E168+E156+E155+E154+E151+E150+E149+E145+E131+E130+E129+E128+E127+E121+E120+E99+E97+E96+E95+E94+E80+E79+E78+E77+E72+E69+E25+E24+E18+E17+E16+E15</f>
        <v>24342878.179999996</v>
      </c>
      <c r="F659" s="1731">
        <f t="shared" ref="F659:L659" si="181">F650+F649+F648+F636+F635+F634+F629+F626+F625+F606+F605+F604+F599+F598+F591+F590+F589+F578+F577+F576+F568+F557+F556+F555+F554+F553+F534+F533+F532+F531+F527+F526+F525+F516+F515+F514+F513+F501+F500+F499+F498+F497+F480+F479+F478+F477+F444+F443+F442+F429+F427+F426+F425+F424+F399+F398+F397+F396+F379+F378+F377+F371+F357+F354+F351+F337+F336+F335+F325+F324+F323+F322+F313+F312+F311+F310+F299+F298+F297+F296+F295+F277+F276+F275+F274+F273+F254+F253+F252+F251+F250+F237+F236+F235+F234+F217+F216+F215+F214+F213+F190+F189+F188+F170+F169+F168+F156+F155+F154+F151+F150+F149+F145+F131+F130+F129+F128+F127+F121+F120+F99+F97+F96+F95+F94+F80+F79+F78+F77+F72+F69+F25+F24+F18+F17+F16+F15</f>
        <v>793246.13000000024</v>
      </c>
      <c r="G659" s="1730">
        <f t="shared" si="181"/>
        <v>25136124.309999999</v>
      </c>
      <c r="H659" s="1728">
        <f t="shared" si="181"/>
        <v>24751315.399999999</v>
      </c>
      <c r="I659" s="1731">
        <f t="shared" si="181"/>
        <v>0</v>
      </c>
      <c r="J659" s="1741">
        <f>H659/G659</f>
        <v>0.98469100067877569</v>
      </c>
      <c r="K659" s="1731">
        <f t="shared" si="181"/>
        <v>2228807.5100000002</v>
      </c>
      <c r="L659" s="1731">
        <f t="shared" si="181"/>
        <v>13890</v>
      </c>
      <c r="M659" s="1307"/>
    </row>
    <row r="660" spans="1:13" ht="23.25" customHeight="1" x14ac:dyDescent="0.2">
      <c r="B660" s="1736"/>
      <c r="C660" s="2009" t="s">
        <v>1569</v>
      </c>
      <c r="D660" s="2010"/>
      <c r="E660" s="1728">
        <f>E653+E652+E651+E641+E640+E639+E638+E637+E631+E630+E627+E616+E610+E611+E609+E608+E607+E601+E600+E594+E593+E592+E587+E584+E583+E580+E579+E571+E570+E569+E566+E565+E563+E562+E561+E560+E559+E558+E548+E547+E546+E543+E541+E539+E538+E537+E536+E535+E523+E522+E521+E520+E519+E518+E517+E511+E509+E508+E507+E506+E505+E504+E503+E502+E495+E486+E485+E484+E483+E482+E481+E452+E451+E445+E440+E439+E438+E437+E436+E435+E434+E433+E432+E431+E430+E428+E420+E418+E413+E412+E410+E409+E406+E405+E404+E403+E402+E401+E400+E394+E390+E389+E386+E385+E384+E383+E382+E381+E380+E373+E372+E366+E363+E358+E341+E340+E332+E331+E330+E329+E328+E327+E326+E319+E318+E317+E316+E315+E314+E305+E304+E303+E302+E301+E300+E292+E291+E289+E287+E286+E285+E284+E283+E282+E281+E280+E279+E278+E268+E267+E266+E265+E264+E263+E262+E261+E260+E259+E258+E257+E256+E255+E245+E244+E243+E242+E241+E240+E239+E238+E230+E229+E228+E227+E226+E225+E224+E223+E222+E221+E220+E219+E218+E208+E206+E205+E203+E196+E195+E194+E191+E185+E184+E183+E182+E177+E176+E175+E174+E173+E172+E171+E163+E160+E159+E158+E157+E146+E142+E141+E140+E139+E138+E137+E136+E135+E134+E133+E132+E124+E123+E122+E118+E117+E113+E112+E111+E110+E109+E108+E107+E106+E105+E104+E103+E102+E101+E100+E98+E90+E89+E88+E87+E86+E83+E82+E81+E73+E70+E64+E63+E62+E61+E60+E59+E58+E57+E56+E55+E54+E48+E47+E46+E42+E41+E40+E39+E35+E33+E28+E27+E26+E21+E20+E19+E13</f>
        <v>14973282.77</v>
      </c>
      <c r="F660" s="1731">
        <f t="shared" ref="F660:K660" si="182">F653+F652+F651+F641+F640+F639+F638+F637+F631+F630+F627+F616+F610+F611+F609+F608+F607+F601+F600+F594+F593+F592+F587+F584+F583+F580+F579+F571+F570+F569+F566+F565+F563+F562+F561+F560+F559+F558+F548+F547+F546+F543+F541+F539+F538+F537+F536+F535+F523+F522+F521+F520+F519+F518+F517+F511+F509+F508+F507+F506+F505+F504+F503+F502+F495+F486+F485+F484+F483+F482+F481+F452+F451+F445+F440+F439+F438+F437+F436+F435+F434+F433+F432+F431+F430+F428+F420+F418+F413+F412+F410+F409+F406+F405+F404+F403+F402+F401+F400+F394+F390+F389+F386+F385+F384+F383+F382+F381+F380+F373+F372+F366+F363+F358+F341+F340+F332+F331+F330+F329+F328+F327+F326+F319+F318+F317+F316+F315+F314+F305+F304+F303+F302+F301+F300+F292+F291+F289+F287+F286+F285+F284+F283+F282+F281+F280+F279+F278+F268+F267+F266+F265+F264+F263+F262+F261+F260+F259+F258+F257+F256+F255+F245+F244+F243+F242+F241+F240+F239+F238+F230+F229+F228+F227+F226+F225+F224+F223+F222+F221+F220+F219+F218+F208+F206+F205+F203+F196+F195+F194+F191+F185+F184+F183+F182+F177+F176+F175+F174+F173+F172+F171+F163+F160+F159+F158+F157+F146+F142+F141+F140+F139+F138+F137+F136+F135+F134+F133+F132+F124+F123+F122+F118+F117+F113+F112+F111+F110+F109+F108+F107+F106+F105+F104+F103+F102+F101+F100+F98+F90+F89+F88+F87+F86+F83+F82+F81+F73+F70+F64+F63+F62+F61+F60+F59+F58+F57+F56+F55+F54+F48+F47+F46+F42+F41+F40+F39+F35+F33+F28+F27+F26+F21+F20+F19+F13</f>
        <v>3540402.06</v>
      </c>
      <c r="G660" s="1730">
        <f t="shared" si="182"/>
        <v>18513684.830000002</v>
      </c>
      <c r="H660" s="1728">
        <f t="shared" si="182"/>
        <v>16960929.000000004</v>
      </c>
      <c r="I660" s="1731">
        <f t="shared" si="182"/>
        <v>0</v>
      </c>
      <c r="J660" s="1741">
        <f>H660/G660</f>
        <v>0.91612929331691562</v>
      </c>
      <c r="K660" s="1731">
        <f t="shared" si="182"/>
        <v>519987.43000000011</v>
      </c>
      <c r="L660" s="1731">
        <f>L653+L652+L651+L641+L640+L639+L638+L637+L631+L630+L627+L616+L610+L611+L609+L608+L607+L601+L600+L594+L593+L592+L587+L584+L583+L580+L579+L571+L570+L569+L566+L565+L563+L562+L561+L560+L559+L558+L548+L547+L546+L543+L541+L539+L538+L537+L536+L535+L523+L522+L521+L520+L519+L518+L517+L511+L509+L508+L507+L506+L505+L504+L503+L502+L495+L486+L485+L484+L483+L482+L481+L452+L451+L445+L440+L439+L438+L437+L436+L435+L434+L433+L432+L431+L430+L428+L420+L418+L413+L412+L410+L409+L406+L405+L404+L403+L402+L401+L400+L394+L390+L389+L386+L385+L384+L383+L382+L381+L380+L373+L372+L366+L363+L358+L341+L340+L332+L331+L330+L329+L328+L327+L326+L319+L318+L317+L316+L315+L314+L305+L304+L303+L302+L301+L300+L292+L291+L289+L287+L286+L285+L284+L283+L282+L281+L280+L279+L278+L268+L267+L266+L265+L264+L263+L262+L261+L260+L259+L258+L257+L256+L255+L245+L244+L243+L242+L241+L240+L239+L238+L230+L229+L228+L227+L226+L225+L224+L223+L222+L221+L220+L219+L218+L208+L206+L205+L203+L196+L195+L194+L191+L185+L184+L183+L182+L177+L176+L175+L174+L173+L172+L171+L163+L160+L159+L158+L157+L146+L142+L141+L140+L139+L138+L137+L136+L135+L134+L133+L132+L124+L123+L122+L118+L117+L113+L112+L111+L110+L109+L108+L107+L106+L105+L104+L103+L102+L101+L100+L98+L90+L89+L88+L87+L86+L83+L82+L81+L73+L70+L64+L63+L62+L61+L60+L59+L58+L57+L56+L55+L54+L48+L47+L46+L42+L41+L40+L39+L35+L33+L28+L27+L26+L21+L20+L19+L13</f>
        <v>278515.58</v>
      </c>
      <c r="M660" s="1307"/>
    </row>
    <row r="661" spans="1:13" ht="15" customHeight="1" x14ac:dyDescent="0.2">
      <c r="B661" s="1683" t="s">
        <v>1545</v>
      </c>
      <c r="C661" s="1997" t="s">
        <v>1546</v>
      </c>
      <c r="D661" s="1998"/>
      <c r="E661" s="1714">
        <f>E647+E618+E615+E603+E597+E575+E552+E455+E449+E388+E376+E375+E346+E345+E308+E271+E270+E248+E247+E211+E187+E166+E52+E32+E31+E11+E623+E339</f>
        <v>6269742.2000000002</v>
      </c>
      <c r="F661" s="1718">
        <f t="shared" ref="F661:L661" si="183">F647+F618+F615+F603+F597+F575+F552+F455+F449+F388+F376+F375+F346+F345+F308+F271+F270+F248+F247+F211+F187+F166+F52+F32+F31+F11+F623+F339</f>
        <v>372157.49</v>
      </c>
      <c r="G661" s="1727">
        <f t="shared" si="183"/>
        <v>6641899.6899999995</v>
      </c>
      <c r="H661" s="1714">
        <f t="shared" si="183"/>
        <v>6565200.4699999997</v>
      </c>
      <c r="I661" s="1718">
        <f t="shared" si="183"/>
        <v>0</v>
      </c>
      <c r="J661" s="1740">
        <f>H661/G661</f>
        <v>0.98845221644712922</v>
      </c>
      <c r="K661" s="1718">
        <f t="shared" si="183"/>
        <v>0</v>
      </c>
      <c r="L661" s="1718">
        <f t="shared" si="183"/>
        <v>0</v>
      </c>
      <c r="M661" s="1307"/>
    </row>
    <row r="662" spans="1:13" ht="15" customHeight="1" x14ac:dyDescent="0.2">
      <c r="B662" s="1683" t="s">
        <v>1547</v>
      </c>
      <c r="C662" s="1997" t="s">
        <v>1548</v>
      </c>
      <c r="D662" s="1998"/>
      <c r="E662" s="1714">
        <f>E529+E512+E496+E492+E491+E489+E488+E476+E447+E423+E421+E417+E415+E334+E321+E309+E294+E272+E249+E233+E212+E193+E167+E153+E144+E126+E93+E85+E76+E530</f>
        <v>22812471.800000001</v>
      </c>
      <c r="F662" s="1718">
        <f t="shared" ref="F662:L662" si="184">F529+F512+F496+F492+F491+F489+F488+F476+F447+F423+F421+F417+F415+F334+F321+F309+F294+F272+F249+F233+F212+F193+F167+F153+F144+F126+F93+F85+F76+F530</f>
        <v>1739672.6199999999</v>
      </c>
      <c r="G662" s="1727">
        <f t="shared" si="184"/>
        <v>24552144.420000002</v>
      </c>
      <c r="H662" s="1714">
        <f t="shared" si="184"/>
        <v>24461091.669999994</v>
      </c>
      <c r="I662" s="1718">
        <f t="shared" si="184"/>
        <v>0</v>
      </c>
      <c r="J662" s="1740">
        <f t="shared" ref="J662:J664" si="185">H662/G662</f>
        <v>0.99629145428430133</v>
      </c>
      <c r="K662" s="1718">
        <f t="shared" si="184"/>
        <v>55613.83</v>
      </c>
      <c r="L662" s="1718">
        <f t="shared" si="184"/>
        <v>0</v>
      </c>
      <c r="M662" s="1307"/>
    </row>
    <row r="663" spans="1:13" ht="15" customHeight="1" x14ac:dyDescent="0.2">
      <c r="B663" s="1683" t="s">
        <v>1549</v>
      </c>
      <c r="C663" s="1997" t="s">
        <v>1550</v>
      </c>
      <c r="D663" s="1998"/>
      <c r="E663" s="1714">
        <f>E200</f>
        <v>451400</v>
      </c>
      <c r="F663" s="1718">
        <f t="shared" ref="F663:L663" si="186">F200</f>
        <v>-111000</v>
      </c>
      <c r="G663" s="1727" t="str">
        <f t="shared" si="186"/>
        <v>340 400,00</v>
      </c>
      <c r="H663" s="1714">
        <f t="shared" si="186"/>
        <v>310195.5</v>
      </c>
      <c r="I663" s="1718">
        <f t="shared" si="186"/>
        <v>0</v>
      </c>
      <c r="J663" s="1740">
        <f t="shared" si="185"/>
        <v>0.91126762632197411</v>
      </c>
      <c r="K663" s="1718">
        <f t="shared" si="186"/>
        <v>21893.200000000001</v>
      </c>
      <c r="L663" s="1718">
        <f t="shared" si="186"/>
        <v>0</v>
      </c>
      <c r="M663" s="1307"/>
    </row>
    <row r="664" spans="1:13" ht="37.5" customHeight="1" x14ac:dyDescent="0.2">
      <c r="B664" s="1754" t="s">
        <v>1551</v>
      </c>
      <c r="C664" s="1999" t="s">
        <v>1552</v>
      </c>
      <c r="D664" s="2000"/>
      <c r="E664" s="1755">
        <f>E473+E472+E471+E470+E469+E468+E467+E466+E465+E464+E463+E462+E461+E460+E459+E458+E457+E456+E365+E364+E362+E361+E360+E359+E356+E355+E353+E352+E350+E349+E348+E347+E344+E343</f>
        <v>1091223.33</v>
      </c>
      <c r="F664" s="1756">
        <f t="shared" ref="F664:L664" si="187">F473+F472+F471+F470+F469+F468+F467+F466+F465+F464+F463+F462+F461+F460+F459+F458+F457+F456+F365+F364+F362+F361+F360+F359+F356+F355+F353+F352+F350+F349+F348+F347+F344+F343</f>
        <v>584056.46</v>
      </c>
      <c r="G664" s="1757">
        <f t="shared" si="187"/>
        <v>1675279.7899999998</v>
      </c>
      <c r="H664" s="1755">
        <f t="shared" si="187"/>
        <v>1391606.17</v>
      </c>
      <c r="I664" s="1756">
        <f t="shared" si="187"/>
        <v>0</v>
      </c>
      <c r="J664" s="1758">
        <f t="shared" si="185"/>
        <v>0.83067089945614403</v>
      </c>
      <c r="K664" s="1756">
        <f t="shared" si="187"/>
        <v>57437.999999999993</v>
      </c>
      <c r="L664" s="1756">
        <f t="shared" si="187"/>
        <v>0</v>
      </c>
      <c r="M664" s="1307"/>
    </row>
    <row r="665" spans="1:13" ht="15" customHeight="1" x14ac:dyDescent="0.2">
      <c r="B665" s="1759"/>
      <c r="C665" s="2001" t="s">
        <v>108</v>
      </c>
      <c r="D665" s="2002"/>
      <c r="E665" s="1757"/>
      <c r="F665" s="1757"/>
      <c r="G665" s="1757"/>
      <c r="H665" s="1757"/>
      <c r="I665" s="1757"/>
      <c r="J665" s="1758"/>
      <c r="K665" s="1757"/>
      <c r="L665" s="1757"/>
      <c r="M665" s="1307"/>
    </row>
    <row r="666" spans="1:13" ht="19.5" customHeight="1" x14ac:dyDescent="0.2">
      <c r="B666" s="1759"/>
      <c r="C666" s="1988" t="s">
        <v>1568</v>
      </c>
      <c r="D666" s="1981"/>
      <c r="E666" s="1744">
        <f>E463+E462+E461+E460+E459+E458+E349+E350+E352+E353+E355+E356+E465</f>
        <v>473424.36000000004</v>
      </c>
      <c r="F666" s="1745">
        <f t="shared" ref="F666:L666" si="188">F463+F462+F461+F460+F459+F458+F349+F350+F352+F353+F355+F356+F465</f>
        <v>129803.01000000004</v>
      </c>
      <c r="G666" s="1746">
        <f t="shared" si="188"/>
        <v>603227.37000000011</v>
      </c>
      <c r="H666" s="1744">
        <f t="shared" si="188"/>
        <v>510746.92</v>
      </c>
      <c r="I666" s="1745">
        <f t="shared" si="188"/>
        <v>0</v>
      </c>
      <c r="J666" s="1747">
        <f>H666/G666</f>
        <v>0.84669056047639202</v>
      </c>
      <c r="K666" s="1745">
        <f t="shared" si="188"/>
        <v>13090</v>
      </c>
      <c r="L666" s="1745">
        <f t="shared" si="188"/>
        <v>0</v>
      </c>
      <c r="M666" s="1307"/>
    </row>
    <row r="667" spans="1:13" s="1340" customFormat="1" ht="19.5" customHeight="1" x14ac:dyDescent="0.2">
      <c r="B667" s="1759"/>
      <c r="C667" s="1983" t="s">
        <v>1569</v>
      </c>
      <c r="D667" s="1984"/>
      <c r="E667" s="1748">
        <f>E473+E472+E471+E470+E469+E468+E467+E466+E464+E365+E364+E362+E361+E360+E359</f>
        <v>248517.15000000002</v>
      </c>
      <c r="F667" s="1749">
        <f t="shared" ref="F667:L667" si="189">F473+F472+F471+F470+F469+F468+F467+F466+F464+F365+F364+F362+F361+F360+F359</f>
        <v>418286.53</v>
      </c>
      <c r="G667" s="1750">
        <f t="shared" si="189"/>
        <v>666803.68000000005</v>
      </c>
      <c r="H667" s="1748">
        <f t="shared" si="189"/>
        <v>491026.64999999991</v>
      </c>
      <c r="I667" s="1749">
        <f t="shared" si="189"/>
        <v>0</v>
      </c>
      <c r="J667" s="1747">
        <f t="shared" ref="J667:J668" si="190">H667/G667</f>
        <v>0.73638863240826724</v>
      </c>
      <c r="K667" s="1749">
        <f t="shared" si="189"/>
        <v>44348</v>
      </c>
      <c r="L667" s="1749">
        <f t="shared" si="189"/>
        <v>0</v>
      </c>
      <c r="M667" s="1307"/>
    </row>
    <row r="668" spans="1:13" s="1340" customFormat="1" ht="19.5" customHeight="1" x14ac:dyDescent="0.2">
      <c r="B668" s="1759"/>
      <c r="C668" s="1981" t="s">
        <v>1573</v>
      </c>
      <c r="D668" s="1982"/>
      <c r="E668" s="1751">
        <f>E344+E343</f>
        <v>169432.22</v>
      </c>
      <c r="F668" s="1752">
        <f t="shared" ref="F668:L668" si="191">F344+F343</f>
        <v>13285.780000000002</v>
      </c>
      <c r="G668" s="1753">
        <f t="shared" si="191"/>
        <v>182718</v>
      </c>
      <c r="H668" s="1751">
        <f t="shared" si="191"/>
        <v>170993.44</v>
      </c>
      <c r="I668" s="1752">
        <f t="shared" si="191"/>
        <v>0</v>
      </c>
      <c r="J668" s="1747">
        <f t="shared" si="190"/>
        <v>0.93583248503157868</v>
      </c>
      <c r="K668" s="1752">
        <f t="shared" si="191"/>
        <v>0</v>
      </c>
      <c r="L668" s="1752">
        <f t="shared" si="191"/>
        <v>0</v>
      </c>
      <c r="M668" s="1307"/>
    </row>
    <row r="669" spans="1:13" s="1340" customFormat="1" ht="15" customHeight="1" x14ac:dyDescent="0.2">
      <c r="A669" s="1817"/>
      <c r="B669" s="1760"/>
      <c r="C669" s="1985" t="s">
        <v>1574</v>
      </c>
      <c r="D669" s="1983"/>
      <c r="E669" s="1748">
        <f>E457+E456+E348+E347</f>
        <v>199849.60000000001</v>
      </c>
      <c r="F669" s="1749">
        <f t="shared" ref="F669:L669" si="192">F457+F456+F348+F347</f>
        <v>22681.139999999985</v>
      </c>
      <c r="G669" s="1750">
        <f t="shared" si="192"/>
        <v>222530.74</v>
      </c>
      <c r="H669" s="1748">
        <f t="shared" si="192"/>
        <v>218839.16</v>
      </c>
      <c r="I669" s="1749">
        <f t="shared" si="192"/>
        <v>0</v>
      </c>
      <c r="J669" s="1818">
        <f>H669/G669</f>
        <v>0.98341092111588724</v>
      </c>
      <c r="K669" s="1749">
        <f t="shared" si="192"/>
        <v>0</v>
      </c>
      <c r="L669" s="1749">
        <f t="shared" si="192"/>
        <v>0</v>
      </c>
      <c r="M669" s="1307"/>
    </row>
    <row r="670" spans="1:13" ht="27.75" customHeight="1" x14ac:dyDescent="0.2">
      <c r="B670" s="1812" t="s">
        <v>122</v>
      </c>
      <c r="C670" s="1989" t="s">
        <v>1553</v>
      </c>
      <c r="D670" s="1990"/>
      <c r="E670" s="1813">
        <f>E672+E673+E674+E675</f>
        <v>15350397.329999998</v>
      </c>
      <c r="F670" s="1814">
        <f t="shared" ref="F670:L670" si="193">F672+F673+F674+F675</f>
        <v>2517693.7799999998</v>
      </c>
      <c r="G670" s="1815">
        <f t="shared" si="193"/>
        <v>17868091.109999999</v>
      </c>
      <c r="H670" s="1813">
        <f t="shared" si="193"/>
        <v>17578454.870000001</v>
      </c>
      <c r="I670" s="1814">
        <f t="shared" si="193"/>
        <v>1937881.72</v>
      </c>
      <c r="J670" s="1816">
        <f>H670/G670</f>
        <v>0.98379030875671425</v>
      </c>
      <c r="K670" s="1814">
        <f t="shared" si="193"/>
        <v>316686.74</v>
      </c>
      <c r="L670" s="1814">
        <f t="shared" si="193"/>
        <v>48004.929999999993</v>
      </c>
      <c r="M670" s="1307"/>
    </row>
    <row r="671" spans="1:13" ht="16.5" customHeight="1" x14ac:dyDescent="0.2">
      <c r="B671" s="1684"/>
      <c r="C671" s="1986" t="s">
        <v>108</v>
      </c>
      <c r="D671" s="1987"/>
      <c r="E671" s="1712"/>
      <c r="F671" s="1719"/>
      <c r="G671" s="1711"/>
      <c r="H671" s="1712"/>
      <c r="I671" s="1719"/>
      <c r="J671" s="1742"/>
      <c r="K671" s="1719"/>
      <c r="L671" s="1719"/>
      <c r="M671" s="1307"/>
    </row>
    <row r="672" spans="1:13" ht="13.5" customHeight="1" x14ac:dyDescent="0.2">
      <c r="B672" s="1686" t="s">
        <v>1543</v>
      </c>
      <c r="C672" s="1991" t="s">
        <v>1554</v>
      </c>
      <c r="D672" s="1992"/>
      <c r="E672" s="1714">
        <f>E613+E581+E573+E550+E369+E180+E37</f>
        <v>193022.59</v>
      </c>
      <c r="F672" s="1718">
        <f>F613+F581+F573+F550+F369+F180+F37</f>
        <v>531496.26</v>
      </c>
      <c r="G672" s="1716">
        <f>G613+G581+G573+G550+G369+G180+G37</f>
        <v>724518.85</v>
      </c>
      <c r="H672" s="1714">
        <f>H613+H581+H573+H550+H369+H180+H37</f>
        <v>682848.07</v>
      </c>
      <c r="I672" s="1718">
        <f>I613+I581+I573+I550+I369+I180+I37</f>
        <v>0</v>
      </c>
      <c r="J672" s="1740">
        <f>H672/G672</f>
        <v>0.94248489186996309</v>
      </c>
      <c r="K672" s="1718">
        <f>K613+K581+K573+K550+K369+K180+K37</f>
        <v>0</v>
      </c>
      <c r="L672" s="1718">
        <f>L613+L581+L573+L550+L369+L180+L37</f>
        <v>0</v>
      </c>
      <c r="M672" s="1307"/>
    </row>
    <row r="673" spans="2:13" ht="31.5" customHeight="1" x14ac:dyDescent="0.2">
      <c r="B673" s="1761" t="s">
        <v>1545</v>
      </c>
      <c r="C673" s="1993" t="s">
        <v>1552</v>
      </c>
      <c r="D673" s="1994"/>
      <c r="E673" s="1755">
        <f>E644+E643+E621+E620</f>
        <v>8131891.9399999995</v>
      </c>
      <c r="F673" s="1756">
        <f>F644+F643+F621+F620</f>
        <v>414008.60999999975</v>
      </c>
      <c r="G673" s="1762">
        <f>G644+G643+G621+G620</f>
        <v>8545900.5500000007</v>
      </c>
      <c r="H673" s="1755">
        <f>H644+H643+H621+H620</f>
        <v>8544119.9800000004</v>
      </c>
      <c r="I673" s="1756">
        <f>I644+I643+I621+I620</f>
        <v>0</v>
      </c>
      <c r="J673" s="1758">
        <f t="shared" ref="J673:J675" si="194">H673/G673</f>
        <v>0.99979164629993267</v>
      </c>
      <c r="K673" s="1756">
        <f>K644+K643+K621+K620</f>
        <v>0</v>
      </c>
      <c r="L673" s="1756">
        <f>L644+L643+L621+L620</f>
        <v>0</v>
      </c>
      <c r="M673" s="1307"/>
    </row>
    <row r="674" spans="2:13" ht="15" customHeight="1" x14ac:dyDescent="0.2">
      <c r="B674" s="1685" t="s">
        <v>1547</v>
      </c>
      <c r="C674" s="1995" t="s">
        <v>1571</v>
      </c>
      <c r="D674" s="1996"/>
      <c r="E674" s="1713">
        <f>E642+E619+E612+E585+E549+E407+E231+E178+E114+E65+E43</f>
        <v>6799482.7999999998</v>
      </c>
      <c r="F674" s="1717">
        <f>F642+F619+F612+F585+F549+F407+F231+F178+F114+F65+F43</f>
        <v>1397538.9100000001</v>
      </c>
      <c r="G674" s="1722">
        <f>G642+G619+G612+G585+G549+G407+G231+G178+G114+G65+G43</f>
        <v>8197021.71</v>
      </c>
      <c r="H674" s="1713">
        <f>H642+H619+H612+H585+H549+H407+H231+H178+H114+H65+H43</f>
        <v>7991501.0700000003</v>
      </c>
      <c r="I674" s="1717">
        <f>I642+I619+I612+I585+I549+I407+I231+I178+I114+I65+I43</f>
        <v>1937881.72</v>
      </c>
      <c r="J674" s="1740">
        <f t="shared" si="194"/>
        <v>0.97492740079616069</v>
      </c>
      <c r="K674" s="1717">
        <f>K642+K619+K612+K585+K549+K407+K231+K178+K114+K65+K43</f>
        <v>1686.74</v>
      </c>
      <c r="L674" s="1717">
        <f>L642+L619+L612+L585+L549+L407+L231+L178+L114+L65+L43</f>
        <v>48004.929999999993</v>
      </c>
      <c r="M674" s="1307"/>
    </row>
    <row r="675" spans="2:13" ht="18.75" customHeight="1" x14ac:dyDescent="0.2">
      <c r="B675" s="1945" t="s">
        <v>1549</v>
      </c>
      <c r="C675" s="1979" t="s">
        <v>1572</v>
      </c>
      <c r="D675" s="1980"/>
      <c r="E675" s="1715">
        <f>E645+E391+E306+E197+E179+E115+E91+E66+E49</f>
        <v>226000</v>
      </c>
      <c r="F675" s="1720">
        <f>F645+F391+F306+F197+F179+F115+F91+F66+F49</f>
        <v>174650</v>
      </c>
      <c r="G675" s="1723">
        <f>G645+G391+G306+G197+G179+G115+G91+G66+G49</f>
        <v>400650</v>
      </c>
      <c r="H675" s="1715">
        <f>H645+H391+H306+H197+H179+H115+H91+H66+H49</f>
        <v>359985.75</v>
      </c>
      <c r="I675" s="1720">
        <f>I645+I391+I306+I197+I179+I115+I91+I66+I49</f>
        <v>0</v>
      </c>
      <c r="J675" s="1743">
        <f t="shared" si="194"/>
        <v>0.89850430550355675</v>
      </c>
      <c r="K675" s="1720">
        <f>K645+K391+K306+K197+K179+K115+K91+K66+K49</f>
        <v>315000</v>
      </c>
      <c r="L675" s="1720">
        <f>L645+L391+L306+L197+L179+L115+L91+L66+L49</f>
        <v>0</v>
      </c>
      <c r="M675" s="1307"/>
    </row>
    <row r="676" spans="2:13" x14ac:dyDescent="0.2">
      <c r="E676" s="1309"/>
      <c r="F676" s="1309"/>
      <c r="G676" s="1309"/>
      <c r="H676" s="1309"/>
      <c r="I676" s="1309"/>
      <c r="J676" s="1309"/>
      <c r="K676" s="1309"/>
      <c r="L676" s="1309"/>
      <c r="M676" s="1307"/>
    </row>
    <row r="677" spans="2:13" x14ac:dyDescent="0.2">
      <c r="E677" s="1309"/>
      <c r="F677" s="1309"/>
      <c r="G677" s="1309"/>
      <c r="H677" s="1309"/>
      <c r="I677" s="1309"/>
      <c r="J677" s="1309"/>
      <c r="K677" s="1309"/>
      <c r="L677" s="1309"/>
      <c r="M677" s="1307"/>
    </row>
    <row r="678" spans="2:13" x14ac:dyDescent="0.2">
      <c r="E678" s="1309"/>
      <c r="F678" s="1309"/>
      <c r="G678" s="1309"/>
      <c r="H678" s="1309"/>
      <c r="I678" s="1309"/>
      <c r="J678" s="1309"/>
      <c r="K678" s="1309"/>
      <c r="L678" s="1309"/>
      <c r="M678" s="1307"/>
    </row>
    <row r="679" spans="2:13" x14ac:dyDescent="0.2">
      <c r="E679" s="1309"/>
      <c r="F679" s="1309"/>
      <c r="G679" s="1309"/>
      <c r="H679" s="1309"/>
      <c r="I679" s="1309"/>
      <c r="J679" s="1309"/>
      <c r="K679" s="1309"/>
      <c r="L679" s="1309"/>
      <c r="M679" s="1307"/>
    </row>
    <row r="680" spans="2:13" x14ac:dyDescent="0.2">
      <c r="E680" s="1309"/>
      <c r="F680" s="1309"/>
      <c r="G680" s="1309"/>
      <c r="H680" s="1309"/>
      <c r="I680" s="1309"/>
      <c r="J680" s="1309"/>
      <c r="K680" s="1309"/>
      <c r="L680" s="1309"/>
      <c r="M680" s="1307"/>
    </row>
    <row r="681" spans="2:13" x14ac:dyDescent="0.2">
      <c r="E681" s="1309"/>
      <c r="F681" s="1309"/>
      <c r="G681" s="1309"/>
      <c r="H681" s="1309"/>
      <c r="I681" s="1309"/>
      <c r="J681" s="1309"/>
      <c r="K681" s="1309"/>
      <c r="L681" s="1309"/>
      <c r="M681" s="1307"/>
    </row>
    <row r="682" spans="2:13" x14ac:dyDescent="0.2">
      <c r="E682" s="1309"/>
      <c r="F682" s="1309"/>
      <c r="G682" s="1309"/>
      <c r="H682" s="1309"/>
      <c r="I682" s="1309"/>
      <c r="J682" s="1309"/>
      <c r="K682" s="1309"/>
      <c r="L682" s="1309"/>
      <c r="M682" s="1307"/>
    </row>
    <row r="683" spans="2:13" x14ac:dyDescent="0.2">
      <c r="E683" s="1309"/>
      <c r="F683" s="1309"/>
      <c r="G683" s="1309"/>
      <c r="H683" s="1309"/>
      <c r="I683" s="1309"/>
      <c r="J683" s="1309"/>
      <c r="K683" s="1309"/>
      <c r="L683" s="1309"/>
      <c r="M683" s="1307"/>
    </row>
    <row r="684" spans="2:13" x14ac:dyDescent="0.2">
      <c r="E684" s="1309"/>
      <c r="F684" s="1309"/>
      <c r="G684" s="1309"/>
      <c r="H684" s="1309"/>
      <c r="I684" s="1309"/>
      <c r="J684" s="1309"/>
      <c r="K684" s="1309"/>
      <c r="L684" s="1309"/>
      <c r="M684" s="1307"/>
    </row>
    <row r="685" spans="2:13" x14ac:dyDescent="0.2">
      <c r="E685" s="1309"/>
      <c r="F685" s="1309"/>
      <c r="G685" s="1309"/>
      <c r="H685" s="1309"/>
      <c r="I685" s="1309"/>
      <c r="J685" s="1309"/>
      <c r="K685" s="1309"/>
      <c r="L685" s="1309"/>
      <c r="M685" s="1307"/>
    </row>
    <row r="686" spans="2:13" x14ac:dyDescent="0.2">
      <c r="E686" s="1309"/>
      <c r="F686" s="1309"/>
      <c r="G686" s="1309"/>
      <c r="H686" s="1309"/>
      <c r="I686" s="1309"/>
      <c r="J686" s="1309"/>
      <c r="K686" s="1309"/>
      <c r="L686" s="1309"/>
      <c r="M686" s="1307"/>
    </row>
    <row r="687" spans="2:13" x14ac:dyDescent="0.2">
      <c r="E687" s="1309"/>
      <c r="F687" s="1309"/>
      <c r="G687" s="1309"/>
      <c r="H687" s="1309"/>
      <c r="I687" s="1309"/>
      <c r="J687" s="1309"/>
      <c r="K687" s="1309"/>
      <c r="L687" s="1309"/>
      <c r="M687" s="1307"/>
    </row>
    <row r="688" spans="2:13" x14ac:dyDescent="0.2">
      <c r="E688" s="1307"/>
      <c r="F688" s="1307"/>
      <c r="G688" s="1307"/>
      <c r="H688" s="1307"/>
      <c r="I688" s="1307"/>
      <c r="J688" s="1307"/>
      <c r="K688" s="1307"/>
      <c r="L688" s="1307"/>
      <c r="M688" s="1307"/>
    </row>
    <row r="689" spans="5:13" x14ac:dyDescent="0.2">
      <c r="E689" s="1307"/>
      <c r="F689" s="1307"/>
      <c r="G689" s="1307"/>
      <c r="H689" s="1307"/>
      <c r="I689" s="1307"/>
      <c r="J689" s="1307"/>
      <c r="K689" s="1307"/>
      <c r="L689" s="1307"/>
      <c r="M689" s="1307"/>
    </row>
    <row r="690" spans="5:13" x14ac:dyDescent="0.2">
      <c r="E690" s="1307"/>
      <c r="F690" s="1307"/>
      <c r="G690" s="1307"/>
      <c r="H690" s="1307"/>
      <c r="I690" s="1307"/>
      <c r="J690" s="1307"/>
      <c r="K690" s="1307"/>
      <c r="L690" s="1307"/>
      <c r="M690" s="1307"/>
    </row>
    <row r="691" spans="5:13" x14ac:dyDescent="0.2">
      <c r="E691" s="1307"/>
      <c r="F691" s="1307"/>
      <c r="G691" s="1307"/>
      <c r="H691" s="1307"/>
      <c r="I691" s="1307"/>
      <c r="J691" s="1307"/>
      <c r="K691" s="1307"/>
      <c r="L691" s="1307"/>
      <c r="M691" s="1307"/>
    </row>
    <row r="692" spans="5:13" x14ac:dyDescent="0.2">
      <c r="E692" s="1307"/>
      <c r="F692" s="1307"/>
      <c r="G692" s="1307"/>
      <c r="H692" s="1307"/>
      <c r="I692" s="1307"/>
      <c r="J692" s="1307"/>
      <c r="K692" s="1307"/>
      <c r="L692" s="1307"/>
      <c r="M692" s="1307"/>
    </row>
    <row r="693" spans="5:13" x14ac:dyDescent="0.2">
      <c r="E693" s="1307"/>
      <c r="F693" s="1307"/>
      <c r="G693" s="1307"/>
      <c r="H693" s="1307"/>
      <c r="I693" s="1307"/>
      <c r="J693" s="1307"/>
      <c r="K693" s="1307"/>
      <c r="L693" s="1307"/>
      <c r="M693" s="1307"/>
    </row>
    <row r="694" spans="5:13" x14ac:dyDescent="0.2">
      <c r="E694" s="1307"/>
      <c r="F694" s="1307"/>
      <c r="G694" s="1307"/>
      <c r="H694" s="1307"/>
      <c r="I694" s="1307"/>
      <c r="J694" s="1307"/>
      <c r="K694" s="1307"/>
      <c r="L694" s="1307"/>
      <c r="M694" s="1307"/>
    </row>
    <row r="695" spans="5:13" x14ac:dyDescent="0.2">
      <c r="E695" s="1307"/>
      <c r="F695" s="1307"/>
      <c r="G695" s="1307"/>
      <c r="H695" s="1307"/>
      <c r="I695" s="1307"/>
      <c r="J695" s="1307"/>
      <c r="K695" s="1307"/>
      <c r="L695" s="1307"/>
      <c r="M695" s="1307"/>
    </row>
    <row r="696" spans="5:13" x14ac:dyDescent="0.2">
      <c r="E696" s="1307"/>
      <c r="F696" s="1307"/>
      <c r="G696" s="1307"/>
      <c r="H696" s="1307"/>
      <c r="I696" s="1307"/>
      <c r="J696" s="1307"/>
      <c r="K696" s="1307"/>
      <c r="L696" s="1307"/>
      <c r="M696" s="1307"/>
    </row>
    <row r="697" spans="5:13" x14ac:dyDescent="0.2">
      <c r="E697" s="1307"/>
      <c r="F697" s="1307"/>
      <c r="G697" s="1307"/>
      <c r="H697" s="1307"/>
      <c r="I697" s="1307"/>
      <c r="J697" s="1307"/>
      <c r="K697" s="1307"/>
      <c r="L697" s="1307"/>
      <c r="M697" s="1307"/>
    </row>
    <row r="698" spans="5:13" x14ac:dyDescent="0.2">
      <c r="E698" s="1307"/>
      <c r="F698" s="1307"/>
      <c r="G698" s="1307"/>
      <c r="H698" s="1307"/>
      <c r="I698" s="1307"/>
      <c r="J698" s="1307"/>
      <c r="K698" s="1307"/>
      <c r="L698" s="1307"/>
      <c r="M698" s="1307"/>
    </row>
    <row r="699" spans="5:13" x14ac:dyDescent="0.2">
      <c r="E699" s="1307"/>
      <c r="F699" s="1307"/>
      <c r="G699" s="1307"/>
      <c r="H699" s="1307"/>
      <c r="I699" s="1307"/>
      <c r="J699" s="1307"/>
      <c r="K699" s="1307"/>
      <c r="L699" s="1307"/>
      <c r="M699" s="1307"/>
    </row>
    <row r="700" spans="5:13" x14ac:dyDescent="0.2">
      <c r="E700" s="1307"/>
      <c r="F700" s="1307"/>
      <c r="G700" s="1307"/>
      <c r="H700" s="1307"/>
      <c r="I700" s="1307"/>
      <c r="J700" s="1307"/>
      <c r="K700" s="1307"/>
      <c r="L700" s="1307"/>
      <c r="M700" s="1307"/>
    </row>
    <row r="701" spans="5:13" x14ac:dyDescent="0.2">
      <c r="E701" s="1307"/>
      <c r="F701" s="1307"/>
      <c r="G701" s="1307"/>
      <c r="H701" s="1307"/>
      <c r="I701" s="1307"/>
      <c r="J701" s="1307"/>
      <c r="K701" s="1307"/>
      <c r="L701" s="1307"/>
      <c r="M701" s="1307"/>
    </row>
    <row r="702" spans="5:13" x14ac:dyDescent="0.2">
      <c r="E702" s="1307"/>
      <c r="F702" s="1307"/>
      <c r="G702" s="1307"/>
      <c r="H702" s="1307"/>
      <c r="I702" s="1307"/>
      <c r="J702" s="1307"/>
      <c r="K702" s="1307"/>
      <c r="L702" s="1307"/>
      <c r="M702" s="1307"/>
    </row>
    <row r="703" spans="5:13" x14ac:dyDescent="0.2">
      <c r="E703" s="1307"/>
      <c r="F703" s="1307"/>
      <c r="G703" s="1307"/>
      <c r="H703" s="1307"/>
      <c r="I703" s="1307"/>
      <c r="J703" s="1307"/>
      <c r="K703" s="1307"/>
      <c r="L703" s="1307"/>
      <c r="M703" s="1307"/>
    </row>
    <row r="704" spans="5:13" x14ac:dyDescent="0.2">
      <c r="E704" s="1307"/>
      <c r="F704" s="1307"/>
      <c r="G704" s="1307"/>
      <c r="H704" s="1307"/>
      <c r="I704" s="1307"/>
      <c r="J704" s="1307"/>
      <c r="K704" s="1307"/>
      <c r="L704" s="1307"/>
      <c r="M704" s="1307"/>
    </row>
    <row r="705" spans="5:13" x14ac:dyDescent="0.2">
      <c r="E705" s="1307"/>
      <c r="F705" s="1307"/>
      <c r="G705" s="1307"/>
      <c r="H705" s="1307"/>
      <c r="I705" s="1307"/>
      <c r="J705" s="1307"/>
      <c r="K705" s="1307"/>
      <c r="L705" s="1307"/>
      <c r="M705" s="1307"/>
    </row>
    <row r="706" spans="5:13" x14ac:dyDescent="0.2">
      <c r="E706" s="1307"/>
      <c r="F706" s="1307"/>
      <c r="G706" s="1307"/>
      <c r="H706" s="1307"/>
      <c r="I706" s="1307"/>
      <c r="J706" s="1307"/>
      <c r="K706" s="1307"/>
      <c r="L706" s="1307"/>
      <c r="M706" s="1307"/>
    </row>
    <row r="707" spans="5:13" x14ac:dyDescent="0.2">
      <c r="E707" s="1307"/>
      <c r="F707" s="1307"/>
      <c r="G707" s="1307"/>
      <c r="H707" s="1307"/>
      <c r="I707" s="1307"/>
      <c r="J707" s="1307"/>
      <c r="K707" s="1307"/>
      <c r="L707" s="1307"/>
      <c r="M707" s="1307"/>
    </row>
    <row r="708" spans="5:13" x14ac:dyDescent="0.2">
      <c r="E708" s="1307"/>
      <c r="F708" s="1307"/>
      <c r="G708" s="1307"/>
      <c r="H708" s="1307"/>
      <c r="I708" s="1307"/>
      <c r="J708" s="1307"/>
      <c r="K708" s="1307"/>
      <c r="L708" s="1307"/>
      <c r="M708" s="1307"/>
    </row>
    <row r="709" spans="5:13" x14ac:dyDescent="0.2">
      <c r="E709" s="1307"/>
      <c r="F709" s="1307"/>
      <c r="G709" s="1307"/>
      <c r="H709" s="1307"/>
      <c r="I709" s="1307"/>
      <c r="J709" s="1307"/>
      <c r="K709" s="1307"/>
      <c r="L709" s="1307"/>
      <c r="M709" s="1307"/>
    </row>
    <row r="710" spans="5:13" x14ac:dyDescent="0.2">
      <c r="E710" s="1307"/>
      <c r="F710" s="1307"/>
      <c r="G710" s="1307"/>
      <c r="H710" s="1307"/>
      <c r="I710" s="1307"/>
      <c r="J710" s="1307"/>
      <c r="K710" s="1307"/>
      <c r="L710" s="1307"/>
      <c r="M710" s="1307"/>
    </row>
    <row r="711" spans="5:13" x14ac:dyDescent="0.2">
      <c r="E711" s="1307"/>
      <c r="F711" s="1307"/>
      <c r="G711" s="1307"/>
      <c r="H711" s="1307"/>
      <c r="I711" s="1307"/>
      <c r="J711" s="1307"/>
      <c r="K711" s="1307"/>
      <c r="L711" s="1307"/>
      <c r="M711" s="1307"/>
    </row>
    <row r="712" spans="5:13" x14ac:dyDescent="0.2">
      <c r="E712" s="1307"/>
      <c r="F712" s="1307"/>
      <c r="G712" s="1307"/>
      <c r="H712" s="1307"/>
      <c r="I712" s="1307"/>
      <c r="J712" s="1307"/>
      <c r="K712" s="1307"/>
      <c r="L712" s="1307"/>
      <c r="M712" s="1307"/>
    </row>
  </sheetData>
  <mergeCells count="34">
    <mergeCell ref="A654:D654"/>
    <mergeCell ref="G7:G8"/>
    <mergeCell ref="H7:H8"/>
    <mergeCell ref="K7:K8"/>
    <mergeCell ref="L7:L8"/>
    <mergeCell ref="A4:K4"/>
    <mergeCell ref="A5:K5"/>
    <mergeCell ref="J7:J8"/>
    <mergeCell ref="A7:A8"/>
    <mergeCell ref="B7:B8"/>
    <mergeCell ref="C7:C8"/>
    <mergeCell ref="D7:D8"/>
    <mergeCell ref="E7:E8"/>
    <mergeCell ref="F7:F8"/>
    <mergeCell ref="C656:D656"/>
    <mergeCell ref="C657:D657"/>
    <mergeCell ref="C658:D658"/>
    <mergeCell ref="C659:D659"/>
    <mergeCell ref="C660:D660"/>
    <mergeCell ref="C661:D661"/>
    <mergeCell ref="C662:D662"/>
    <mergeCell ref="C663:D663"/>
    <mergeCell ref="C664:D664"/>
    <mergeCell ref="C665:D665"/>
    <mergeCell ref="C666:D666"/>
    <mergeCell ref="C670:D670"/>
    <mergeCell ref="C672:D672"/>
    <mergeCell ref="C673:D673"/>
    <mergeCell ref="C674:D674"/>
    <mergeCell ref="C675:D675"/>
    <mergeCell ref="C668:D668"/>
    <mergeCell ref="C667:D667"/>
    <mergeCell ref="C669:D669"/>
    <mergeCell ref="C671:D671"/>
  </mergeCells>
  <pageMargins left="0" right="0" top="0.59055118110236227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M13" sqref="M13"/>
    </sheetView>
  </sheetViews>
  <sheetFormatPr defaultRowHeight="12.75" x14ac:dyDescent="0.2"/>
  <cols>
    <col min="1" max="1" width="4.140625" style="137" customWidth="1"/>
    <col min="2" max="2" width="6" style="137" customWidth="1"/>
    <col min="3" max="3" width="57.85546875" style="137" customWidth="1"/>
    <col min="4" max="4" width="14.85546875" style="137" customWidth="1"/>
    <col min="5" max="5" width="13.7109375" style="137" customWidth="1"/>
    <col min="6" max="6" width="14.28515625" style="137" customWidth="1"/>
    <col min="7" max="7" width="13.7109375" style="137" customWidth="1"/>
    <col min="8" max="8" width="9.85546875" style="137" customWidth="1"/>
    <col min="9" max="16384" width="9.140625" style="137"/>
  </cols>
  <sheetData>
    <row r="1" spans="1:8" x14ac:dyDescent="0.2">
      <c r="D1" s="138"/>
      <c r="E1" s="138"/>
      <c r="F1" s="1963" t="s">
        <v>1602</v>
      </c>
    </row>
    <row r="2" spans="1:8" x14ac:dyDescent="0.2">
      <c r="D2" s="2031"/>
      <c r="E2" s="2031"/>
      <c r="F2" s="2031"/>
    </row>
    <row r="3" spans="1:8" x14ac:dyDescent="0.2">
      <c r="D3" s="2031"/>
      <c r="E3" s="2031"/>
      <c r="F3" s="2031"/>
    </row>
    <row r="4" spans="1:8" ht="19.5" customHeight="1" x14ac:dyDescent="0.2">
      <c r="A4" s="2034" t="s">
        <v>599</v>
      </c>
      <c r="B4" s="2034"/>
      <c r="C4" s="2034"/>
      <c r="D4" s="2034"/>
      <c r="E4" s="2034"/>
      <c r="F4" s="2034"/>
      <c r="G4" s="2034"/>
      <c r="H4" s="2034"/>
    </row>
    <row r="5" spans="1:8" ht="21" customHeight="1" x14ac:dyDescent="0.25">
      <c r="A5" s="2035" t="s">
        <v>623</v>
      </c>
      <c r="B5" s="2035"/>
      <c r="C5" s="2035"/>
      <c r="D5" s="2035"/>
      <c r="E5" s="2035"/>
      <c r="F5" s="2035"/>
      <c r="G5" s="2035"/>
      <c r="H5" s="2035"/>
    </row>
    <row r="6" spans="1:8" ht="21" customHeight="1" x14ac:dyDescent="0.25">
      <c r="A6" s="2036" t="s">
        <v>622</v>
      </c>
      <c r="B6" s="2036"/>
      <c r="C6" s="2036"/>
      <c r="D6" s="2036"/>
      <c r="E6" s="2036"/>
      <c r="F6" s="2036"/>
      <c r="G6" s="2036"/>
      <c r="H6" s="2036"/>
    </row>
    <row r="7" spans="1:8" ht="13.5" thickBot="1" x14ac:dyDescent="0.25"/>
    <row r="8" spans="1:8" ht="15" customHeight="1" thickBot="1" x14ac:dyDescent="0.25">
      <c r="A8" s="2039" t="s">
        <v>118</v>
      </c>
      <c r="B8" s="2040" t="s">
        <v>2</v>
      </c>
      <c r="C8" s="2041" t="s">
        <v>119</v>
      </c>
      <c r="D8" s="2032" t="s">
        <v>613</v>
      </c>
      <c r="E8" s="2033"/>
      <c r="F8" s="2032" t="s">
        <v>616</v>
      </c>
      <c r="G8" s="2033"/>
      <c r="H8" s="2025" t="s">
        <v>91</v>
      </c>
    </row>
    <row r="9" spans="1:8" ht="15.75" customHeight="1" thickBot="1" x14ac:dyDescent="0.25">
      <c r="A9" s="2039"/>
      <c r="B9" s="2040"/>
      <c r="C9" s="2041"/>
      <c r="D9" s="2023" t="s">
        <v>614</v>
      </c>
      <c r="E9" s="2042" t="s">
        <v>615</v>
      </c>
      <c r="F9" s="2023" t="s">
        <v>614</v>
      </c>
      <c r="G9" s="2037" t="s">
        <v>615</v>
      </c>
      <c r="H9" s="2026"/>
    </row>
    <row r="10" spans="1:8" ht="21" customHeight="1" x14ac:dyDescent="0.2">
      <c r="A10" s="2039"/>
      <c r="B10" s="2040"/>
      <c r="C10" s="2041"/>
      <c r="D10" s="2024"/>
      <c r="E10" s="2043"/>
      <c r="F10" s="2024"/>
      <c r="G10" s="2038"/>
      <c r="H10" s="2027"/>
    </row>
    <row r="11" spans="1:8" ht="24" customHeight="1" x14ac:dyDescent="0.2">
      <c r="A11" s="1960" t="s">
        <v>120</v>
      </c>
      <c r="B11" s="1197">
        <v>992</v>
      </c>
      <c r="C11" s="1195" t="s">
        <v>121</v>
      </c>
      <c r="D11" s="1198"/>
      <c r="E11" s="1212">
        <v>419800</v>
      </c>
      <c r="F11" s="1198"/>
      <c r="G11" s="1210">
        <v>419800</v>
      </c>
      <c r="H11" s="1220">
        <f>G11/E11</f>
        <v>1</v>
      </c>
    </row>
    <row r="12" spans="1:8" ht="24" customHeight="1" x14ac:dyDescent="0.2">
      <c r="A12" s="1960" t="s">
        <v>122</v>
      </c>
      <c r="B12" s="1197">
        <v>992</v>
      </c>
      <c r="C12" s="1195" t="s">
        <v>121</v>
      </c>
      <c r="D12" s="1198"/>
      <c r="E12" s="1212">
        <v>125000</v>
      </c>
      <c r="F12" s="1198"/>
      <c r="G12" s="1210">
        <v>125000</v>
      </c>
      <c r="H12" s="1220">
        <f t="shared" ref="H12:H15" si="0">G12/E12</f>
        <v>1</v>
      </c>
    </row>
    <row r="13" spans="1:8" ht="24" customHeight="1" x14ac:dyDescent="0.2">
      <c r="A13" s="1960" t="s">
        <v>123</v>
      </c>
      <c r="B13" s="1197">
        <v>992</v>
      </c>
      <c r="C13" s="1195" t="s">
        <v>121</v>
      </c>
      <c r="D13" s="1198"/>
      <c r="E13" s="1212">
        <v>732000</v>
      </c>
      <c r="F13" s="1198"/>
      <c r="G13" s="1210">
        <v>732000</v>
      </c>
      <c r="H13" s="1220">
        <f t="shared" si="0"/>
        <v>1</v>
      </c>
    </row>
    <row r="14" spans="1:8" ht="24" customHeight="1" x14ac:dyDescent="0.2">
      <c r="A14" s="1961" t="s">
        <v>124</v>
      </c>
      <c r="B14" s="1199">
        <v>992</v>
      </c>
      <c r="C14" s="1195" t="s">
        <v>121</v>
      </c>
      <c r="D14" s="1201"/>
      <c r="E14" s="1213">
        <v>400000</v>
      </c>
      <c r="F14" s="1201"/>
      <c r="G14" s="1211">
        <v>400000</v>
      </c>
      <c r="H14" s="1220">
        <f t="shared" si="0"/>
        <v>1</v>
      </c>
    </row>
    <row r="15" spans="1:8" ht="24" customHeight="1" x14ac:dyDescent="0.2">
      <c r="A15" s="1961" t="s">
        <v>125</v>
      </c>
      <c r="B15" s="1199">
        <v>992</v>
      </c>
      <c r="C15" s="1195" t="s">
        <v>121</v>
      </c>
      <c r="D15" s="1201"/>
      <c r="E15" s="1213">
        <v>137000</v>
      </c>
      <c r="F15" s="1201"/>
      <c r="G15" s="1211">
        <v>137000</v>
      </c>
      <c r="H15" s="1220">
        <f t="shared" si="0"/>
        <v>1</v>
      </c>
    </row>
    <row r="16" spans="1:8" ht="33.75" customHeight="1" x14ac:dyDescent="0.2">
      <c r="A16" s="1961" t="s">
        <v>126</v>
      </c>
      <c r="B16" s="1199">
        <v>952</v>
      </c>
      <c r="C16" s="1196" t="s">
        <v>618</v>
      </c>
      <c r="D16" s="1201">
        <f>D18+D19</f>
        <v>14173478</v>
      </c>
      <c r="E16" s="1213"/>
      <c r="F16" s="1201">
        <v>14173478</v>
      </c>
      <c r="G16" s="1217"/>
      <c r="H16" s="1221">
        <f>F16/D16</f>
        <v>1</v>
      </c>
    </row>
    <row r="17" spans="1:8" ht="21.75" customHeight="1" x14ac:dyDescent="0.2">
      <c r="A17" s="1962"/>
      <c r="B17" s="1203"/>
      <c r="C17" s="1226" t="s">
        <v>620</v>
      </c>
      <c r="D17" s="1204"/>
      <c r="E17" s="1214"/>
      <c r="F17" s="1204"/>
      <c r="G17" s="1218"/>
      <c r="H17" s="1222"/>
    </row>
    <row r="18" spans="1:8" ht="14.25" x14ac:dyDescent="0.2">
      <c r="A18" s="1962"/>
      <c r="B18" s="1227"/>
      <c r="C18" s="1228" t="s">
        <v>619</v>
      </c>
      <c r="D18" s="1229">
        <v>6824451.8899999997</v>
      </c>
      <c r="E18" s="1230"/>
      <c r="F18" s="1229">
        <v>6824451.8899999997</v>
      </c>
      <c r="G18" s="1231"/>
      <c r="H18" s="1232">
        <f>F18/D18</f>
        <v>1</v>
      </c>
    </row>
    <row r="19" spans="1:8" ht="14.25" x14ac:dyDescent="0.2">
      <c r="A19" s="1962"/>
      <c r="B19" s="1227"/>
      <c r="C19" s="1228" t="s">
        <v>621</v>
      </c>
      <c r="D19" s="1233">
        <f>1204315.05+6144711.06</f>
        <v>7349026.1099999994</v>
      </c>
      <c r="E19" s="1234"/>
      <c r="F19" s="1233">
        <f>1204315.05+6144711.06</f>
        <v>7349026.1099999994</v>
      </c>
      <c r="G19" s="1231"/>
      <c r="H19" s="1235">
        <f>F19/D19</f>
        <v>1</v>
      </c>
    </row>
    <row r="20" spans="1:8" ht="33.75" customHeight="1" x14ac:dyDescent="0.2">
      <c r="A20" s="1961" t="s">
        <v>541</v>
      </c>
      <c r="B20" s="1199">
        <v>950</v>
      </c>
      <c r="C20" s="1196" t="s">
        <v>617</v>
      </c>
      <c r="D20" s="1200">
        <v>3037283.26</v>
      </c>
      <c r="E20" s="1202"/>
      <c r="F20" s="1201">
        <v>3413455.8</v>
      </c>
      <c r="G20" s="1219"/>
      <c r="H20" s="1223">
        <f>F20/D20</f>
        <v>1.1238516489239136</v>
      </c>
    </row>
    <row r="21" spans="1:8" ht="32.25" customHeight="1" x14ac:dyDescent="0.2">
      <c r="A21" s="1205"/>
      <c r="B21" s="1206"/>
      <c r="C21" s="1207" t="s">
        <v>127</v>
      </c>
      <c r="D21" s="1215">
        <f>D16+D20</f>
        <v>17210761.259999998</v>
      </c>
      <c r="E21" s="1216">
        <f>E11+E12+E13+E14+E15</f>
        <v>1813800</v>
      </c>
      <c r="F21" s="1208">
        <f>F16+F20</f>
        <v>17586933.800000001</v>
      </c>
      <c r="G21" s="1209">
        <f>SUM(G11:G16)</f>
        <v>1813800</v>
      </c>
      <c r="H21" s="1224" t="s">
        <v>597</v>
      </c>
    </row>
    <row r="22" spans="1:8" ht="30.75" customHeight="1" thickBot="1" x14ac:dyDescent="0.25">
      <c r="A22" s="139"/>
      <c r="B22" s="140"/>
      <c r="C22" s="141" t="s">
        <v>128</v>
      </c>
      <c r="D22" s="2028">
        <f>D21-E21</f>
        <v>15396961.259999998</v>
      </c>
      <c r="E22" s="2029"/>
      <c r="F22" s="2030">
        <f>F21-G21</f>
        <v>15773133.800000001</v>
      </c>
      <c r="G22" s="2029"/>
      <c r="H22" s="1225" t="s">
        <v>597</v>
      </c>
    </row>
  </sheetData>
  <sheetProtection selectLockedCells="1" selectUnlockedCells="1"/>
  <mergeCells count="17">
    <mergeCell ref="E9:E10"/>
    <mergeCell ref="D9:D10"/>
    <mergeCell ref="H8:H10"/>
    <mergeCell ref="D22:E22"/>
    <mergeCell ref="F22:G22"/>
    <mergeCell ref="D2:F2"/>
    <mergeCell ref="D3:F3"/>
    <mergeCell ref="F8:G8"/>
    <mergeCell ref="F9:F10"/>
    <mergeCell ref="A4:H4"/>
    <mergeCell ref="A5:H5"/>
    <mergeCell ref="A6:H6"/>
    <mergeCell ref="G9:G10"/>
    <mergeCell ref="A8:A10"/>
    <mergeCell ref="B8:B10"/>
    <mergeCell ref="C8:C10"/>
    <mergeCell ref="D8:E8"/>
  </mergeCells>
  <pageMargins left="0.78740157480314965" right="0.39370078740157483" top="0.59055118110236227" bottom="0.59055118110236227" header="0.51181102362204722" footer="0.51181102362204722"/>
  <pageSetup paperSize="9" scale="98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zoomScaleNormal="100" workbookViewId="0">
      <selection activeCell="G1" sqref="G1:J1"/>
    </sheetView>
  </sheetViews>
  <sheetFormatPr defaultRowHeight="12.75" x14ac:dyDescent="0.2"/>
  <cols>
    <col min="1" max="1" width="4" style="142" customWidth="1"/>
    <col min="2" max="2" width="60.7109375" style="142" customWidth="1"/>
    <col min="3" max="3" width="6.140625" style="142" customWidth="1"/>
    <col min="4" max="4" width="8" style="142" customWidth="1"/>
    <col min="5" max="5" width="8.7109375" style="142" customWidth="1"/>
    <col min="6" max="6" width="13.42578125" style="142" customWidth="1"/>
    <col min="7" max="7" width="13.85546875" style="142" customWidth="1"/>
    <col min="8" max="8" width="14.5703125" style="142" customWidth="1"/>
    <col min="9" max="9" width="11.7109375" style="142" customWidth="1"/>
    <col min="10" max="10" width="24" style="142" hidden="1" customWidth="1"/>
    <col min="11" max="11" width="11.7109375" style="142" bestFit="1" customWidth="1"/>
    <col min="12" max="16384" width="9.140625" style="142"/>
  </cols>
  <sheetData>
    <row r="1" spans="1:11" ht="15" customHeight="1" x14ac:dyDescent="0.2">
      <c r="G1" s="2058" t="s">
        <v>625</v>
      </c>
      <c r="H1" s="2058"/>
      <c r="I1" s="2058"/>
      <c r="J1" s="2058"/>
    </row>
    <row r="2" spans="1:11" x14ac:dyDescent="0.2">
      <c r="J2" s="143"/>
    </row>
    <row r="3" spans="1:11" s="144" customFormat="1" ht="15.75" x14ac:dyDescent="0.25">
      <c r="B3" s="2046" t="s">
        <v>624</v>
      </c>
      <c r="C3" s="2046"/>
      <c r="D3" s="2046"/>
      <c r="E3" s="2046"/>
      <c r="F3" s="2046"/>
      <c r="G3" s="2046"/>
      <c r="H3" s="2046"/>
      <c r="I3" s="2046"/>
      <c r="J3" s="2046"/>
    </row>
    <row r="4" spans="1:11" s="144" customFormat="1" ht="25.5" x14ac:dyDescent="0.25">
      <c r="A4" s="2054" t="s">
        <v>118</v>
      </c>
      <c r="B4" s="2054" t="s">
        <v>129</v>
      </c>
      <c r="C4" s="2055" t="s">
        <v>130</v>
      </c>
      <c r="D4" s="2055" t="s">
        <v>1</v>
      </c>
      <c r="E4" s="2055" t="s">
        <v>131</v>
      </c>
      <c r="F4" s="2054" t="s">
        <v>627</v>
      </c>
      <c r="G4" s="2056" t="s">
        <v>626</v>
      </c>
      <c r="H4" s="1252" t="s">
        <v>112</v>
      </c>
      <c r="I4" s="2057" t="s">
        <v>91</v>
      </c>
      <c r="J4" s="2054" t="s">
        <v>132</v>
      </c>
    </row>
    <row r="5" spans="1:11" ht="51" x14ac:dyDescent="0.2">
      <c r="A5" s="2054"/>
      <c r="B5" s="2054"/>
      <c r="C5" s="2055"/>
      <c r="D5" s="2055"/>
      <c r="E5" s="2055"/>
      <c r="F5" s="2054"/>
      <c r="G5" s="2054"/>
      <c r="H5" s="1251" t="s">
        <v>628</v>
      </c>
      <c r="I5" s="2057"/>
      <c r="J5" s="2054"/>
    </row>
    <row r="6" spans="1:11" x14ac:dyDescent="0.2">
      <c r="A6" s="1266">
        <v>1</v>
      </c>
      <c r="B6" s="1266">
        <v>2</v>
      </c>
      <c r="C6" s="2047">
        <v>3</v>
      </c>
      <c r="D6" s="2047"/>
      <c r="E6" s="2047"/>
      <c r="F6" s="1266" t="s">
        <v>144</v>
      </c>
      <c r="G6" s="1266" t="s">
        <v>151</v>
      </c>
      <c r="H6" s="1266" t="s">
        <v>133</v>
      </c>
      <c r="I6" s="1267" t="s">
        <v>134</v>
      </c>
      <c r="J6" s="1266" t="s">
        <v>135</v>
      </c>
    </row>
    <row r="7" spans="1:11" ht="42.75" customHeight="1" x14ac:dyDescent="0.2">
      <c r="A7" s="172" t="s">
        <v>1590</v>
      </c>
      <c r="B7" s="1262" t="s">
        <v>1591</v>
      </c>
      <c r="C7" s="1263" t="s">
        <v>137</v>
      </c>
      <c r="D7" s="1263" t="s">
        <v>138</v>
      </c>
      <c r="E7" s="1263" t="s">
        <v>139</v>
      </c>
      <c r="F7" s="1264">
        <v>54000</v>
      </c>
      <c r="G7" s="1236">
        <v>52080.21</v>
      </c>
      <c r="H7" s="1236">
        <v>0</v>
      </c>
      <c r="I7" s="1265">
        <f>G7/F7</f>
        <v>0.96444833333333335</v>
      </c>
      <c r="J7" s="150" t="s">
        <v>140</v>
      </c>
      <c r="K7" s="222"/>
    </row>
    <row r="8" spans="1:11" ht="42.75" customHeight="1" x14ac:dyDescent="0.2">
      <c r="A8" s="145" t="s">
        <v>141</v>
      </c>
      <c r="B8" s="146" t="s">
        <v>1592</v>
      </c>
      <c r="C8" s="147" t="s">
        <v>137</v>
      </c>
      <c r="D8" s="147" t="s">
        <v>138</v>
      </c>
      <c r="E8" s="147" t="s">
        <v>139</v>
      </c>
      <c r="F8" s="148">
        <v>163143</v>
      </c>
      <c r="G8" s="149">
        <v>162698.5</v>
      </c>
      <c r="H8" s="149">
        <v>0</v>
      </c>
      <c r="I8" s="1265">
        <f t="shared" ref="I8:I9" si="0">G8/F8</f>
        <v>0.99727539643135166</v>
      </c>
      <c r="J8" s="150" t="s">
        <v>142</v>
      </c>
    </row>
    <row r="9" spans="1:11" ht="39.75" customHeight="1" x14ac:dyDescent="0.2">
      <c r="A9" s="152" t="s">
        <v>143</v>
      </c>
      <c r="B9" s="153" t="s">
        <v>1593</v>
      </c>
      <c r="C9" s="154" t="s">
        <v>137</v>
      </c>
      <c r="D9" s="154" t="s">
        <v>138</v>
      </c>
      <c r="E9" s="154" t="s">
        <v>139</v>
      </c>
      <c r="F9" s="149">
        <v>44333</v>
      </c>
      <c r="G9" s="149">
        <v>41333.5</v>
      </c>
      <c r="H9" s="149">
        <v>0</v>
      </c>
      <c r="I9" s="1265">
        <f t="shared" si="0"/>
        <v>0.93234159655335758</v>
      </c>
      <c r="J9" s="1272" t="s">
        <v>142</v>
      </c>
    </row>
    <row r="10" spans="1:11" x14ac:dyDescent="0.2">
      <c r="A10" s="2065" t="s">
        <v>288</v>
      </c>
      <c r="B10" s="2060"/>
      <c r="C10" s="2066"/>
      <c r="D10" s="1278" t="s">
        <v>138</v>
      </c>
      <c r="E10" s="1278" t="s">
        <v>139</v>
      </c>
      <c r="F10" s="1279">
        <f>F7+F8+F9</f>
        <v>261476</v>
      </c>
      <c r="G10" s="1279">
        <f t="shared" ref="G10:H10" si="1">G7+G8+G9</f>
        <v>256112.21</v>
      </c>
      <c r="H10" s="1279">
        <f t="shared" si="1"/>
        <v>0</v>
      </c>
      <c r="I10" s="1280">
        <f>G10/F10</f>
        <v>0.97948649206810567</v>
      </c>
      <c r="J10" s="1281" t="s">
        <v>597</v>
      </c>
    </row>
    <row r="11" spans="1:11" ht="45" x14ac:dyDescent="0.2">
      <c r="A11" s="1273" t="s">
        <v>144</v>
      </c>
      <c r="B11" s="1274" t="s">
        <v>145</v>
      </c>
      <c r="C11" s="1275" t="s">
        <v>137</v>
      </c>
      <c r="D11" s="1275" t="s">
        <v>146</v>
      </c>
      <c r="E11" s="1275" t="s">
        <v>147</v>
      </c>
      <c r="F11" s="1236">
        <f>F12</f>
        <v>604000</v>
      </c>
      <c r="G11" s="1236">
        <v>599678.34</v>
      </c>
      <c r="H11" s="1236">
        <v>0</v>
      </c>
      <c r="I11" s="1253">
        <f>G11/F11</f>
        <v>0.9928449337748344</v>
      </c>
      <c r="J11" s="1272" t="s">
        <v>148</v>
      </c>
    </row>
    <row r="12" spans="1:11" x14ac:dyDescent="0.2">
      <c r="A12" s="155"/>
      <c r="B12" s="157" t="s">
        <v>149</v>
      </c>
      <c r="C12" s="158"/>
      <c r="D12" s="158"/>
      <c r="E12" s="158"/>
      <c r="F12" s="159">
        <v>604000</v>
      </c>
      <c r="G12" s="159">
        <v>599678.34</v>
      </c>
      <c r="H12" s="1238"/>
      <c r="I12" s="1254">
        <f>G12/F12</f>
        <v>0.9928449337748344</v>
      </c>
      <c r="J12" s="160"/>
    </row>
    <row r="13" spans="1:11" x14ac:dyDescent="0.2">
      <c r="A13" s="161"/>
      <c r="B13" s="162" t="s">
        <v>150</v>
      </c>
      <c r="C13" s="163"/>
      <c r="D13" s="163"/>
      <c r="E13" s="163"/>
      <c r="F13" s="164">
        <v>0</v>
      </c>
      <c r="G13" s="164">
        <v>0</v>
      </c>
      <c r="H13" s="164"/>
      <c r="I13" s="1255">
        <v>0</v>
      </c>
      <c r="J13" s="166"/>
    </row>
    <row r="14" spans="1:11" ht="39.75" customHeight="1" x14ac:dyDescent="0.2">
      <c r="A14" s="167" t="s">
        <v>151</v>
      </c>
      <c r="B14" s="168" t="s">
        <v>152</v>
      </c>
      <c r="C14" s="169" t="s">
        <v>137</v>
      </c>
      <c r="D14" s="169" t="s">
        <v>146</v>
      </c>
      <c r="E14" s="169" t="s">
        <v>147</v>
      </c>
      <c r="F14" s="170">
        <v>9500</v>
      </c>
      <c r="G14" s="170">
        <v>9460.5499999999993</v>
      </c>
      <c r="H14" s="170">
        <v>0</v>
      </c>
      <c r="I14" s="1256">
        <f>G14/F14</f>
        <v>0.99584736842105259</v>
      </c>
      <c r="J14" s="1290" t="s">
        <v>153</v>
      </c>
    </row>
    <row r="15" spans="1:11" ht="43.5" customHeight="1" x14ac:dyDescent="0.2">
      <c r="A15" s="167" t="s">
        <v>133</v>
      </c>
      <c r="B15" s="1946" t="s">
        <v>154</v>
      </c>
      <c r="C15" s="169" t="s">
        <v>137</v>
      </c>
      <c r="D15" s="169" t="s">
        <v>146</v>
      </c>
      <c r="E15" s="169" t="s">
        <v>147</v>
      </c>
      <c r="F15" s="170">
        <v>35000</v>
      </c>
      <c r="G15" s="170">
        <f>18667.7+11075</f>
        <v>29742.7</v>
      </c>
      <c r="H15" s="170">
        <v>11075</v>
      </c>
      <c r="I15" s="1256">
        <f>G15/F15</f>
        <v>0.84979142857142864</v>
      </c>
      <c r="J15" s="1277" t="s">
        <v>153</v>
      </c>
    </row>
    <row r="16" spans="1:11" ht="43.5" customHeight="1" x14ac:dyDescent="0.2">
      <c r="A16" s="161" t="s">
        <v>134</v>
      </c>
      <c r="B16" s="1274" t="s">
        <v>155</v>
      </c>
      <c r="C16" s="1275" t="s">
        <v>137</v>
      </c>
      <c r="D16" s="1275" t="s">
        <v>146</v>
      </c>
      <c r="E16" s="1275" t="s">
        <v>147</v>
      </c>
      <c r="F16" s="1236">
        <v>1082500</v>
      </c>
      <c r="G16" s="175">
        <f>386942.24+695557.76</f>
        <v>1082500</v>
      </c>
      <c r="H16" s="175">
        <v>695557.76</v>
      </c>
      <c r="I16" s="1257">
        <f t="shared" ref="I16:I21" si="2">G16/F16</f>
        <v>1</v>
      </c>
      <c r="J16" s="1277" t="s">
        <v>153</v>
      </c>
    </row>
    <row r="17" spans="1:11" ht="45" x14ac:dyDescent="0.2">
      <c r="A17" s="161" t="s">
        <v>135</v>
      </c>
      <c r="B17" s="176" t="s">
        <v>156</v>
      </c>
      <c r="C17" s="177" t="s">
        <v>137</v>
      </c>
      <c r="D17" s="177" t="s">
        <v>146</v>
      </c>
      <c r="E17" s="177" t="s">
        <v>147</v>
      </c>
      <c r="F17" s="178">
        <v>150000</v>
      </c>
      <c r="G17" s="175">
        <v>148778.38</v>
      </c>
      <c r="H17" s="178">
        <v>0</v>
      </c>
      <c r="I17" s="1256">
        <f t="shared" si="2"/>
        <v>0.9918558666666667</v>
      </c>
      <c r="J17" s="151" t="s">
        <v>157</v>
      </c>
    </row>
    <row r="18" spans="1:11" ht="37.5" customHeight="1" x14ac:dyDescent="0.2">
      <c r="A18" s="161" t="s">
        <v>136</v>
      </c>
      <c r="B18" s="179" t="s">
        <v>158</v>
      </c>
      <c r="C18" s="173" t="s">
        <v>137</v>
      </c>
      <c r="D18" s="173" t="s">
        <v>146</v>
      </c>
      <c r="E18" s="173" t="s">
        <v>147</v>
      </c>
      <c r="F18" s="175">
        <v>254000</v>
      </c>
      <c r="G18" s="175">
        <v>253713.24</v>
      </c>
      <c r="H18" s="175">
        <v>0</v>
      </c>
      <c r="I18" s="1257">
        <f t="shared" si="2"/>
        <v>0.99887102362204716</v>
      </c>
      <c r="J18" s="151" t="s">
        <v>159</v>
      </c>
    </row>
    <row r="19" spans="1:11" ht="39" customHeight="1" x14ac:dyDescent="0.2">
      <c r="A19" s="161" t="s">
        <v>160</v>
      </c>
      <c r="B19" s="1274" t="s">
        <v>161</v>
      </c>
      <c r="C19" s="1275" t="s">
        <v>137</v>
      </c>
      <c r="D19" s="1275" t="s">
        <v>146</v>
      </c>
      <c r="E19" s="1275" t="s">
        <v>147</v>
      </c>
      <c r="F19" s="1236">
        <v>240000</v>
      </c>
      <c r="G19" s="175">
        <f>194518.41</f>
        <v>194518.41</v>
      </c>
      <c r="H19" s="175">
        <v>194518.41</v>
      </c>
      <c r="I19" s="1257">
        <f t="shared" si="2"/>
        <v>0.81049337499999996</v>
      </c>
      <c r="J19" s="1277" t="s">
        <v>153</v>
      </c>
    </row>
    <row r="20" spans="1:11" ht="39" customHeight="1" x14ac:dyDescent="0.2">
      <c r="A20" s="172" t="s">
        <v>162</v>
      </c>
      <c r="B20" s="153" t="s">
        <v>163</v>
      </c>
      <c r="C20" s="154" t="s">
        <v>137</v>
      </c>
      <c r="D20" s="154" t="s">
        <v>146</v>
      </c>
      <c r="E20" s="154" t="s">
        <v>147</v>
      </c>
      <c r="F20" s="149">
        <v>150000</v>
      </c>
      <c r="G20" s="175">
        <v>150000</v>
      </c>
      <c r="H20" s="178">
        <v>150000</v>
      </c>
      <c r="I20" s="1256">
        <f t="shared" si="2"/>
        <v>1</v>
      </c>
      <c r="J20" s="1277" t="s">
        <v>153</v>
      </c>
    </row>
    <row r="21" spans="1:11" ht="56.25" x14ac:dyDescent="0.2">
      <c r="A21" s="167" t="s">
        <v>164</v>
      </c>
      <c r="B21" s="176" t="s">
        <v>165</v>
      </c>
      <c r="C21" s="177" t="s">
        <v>137</v>
      </c>
      <c r="D21" s="177" t="s">
        <v>146</v>
      </c>
      <c r="E21" s="177" t="s">
        <v>147</v>
      </c>
      <c r="F21" s="178">
        <v>485000</v>
      </c>
      <c r="G21" s="175">
        <v>466791.09</v>
      </c>
      <c r="H21" s="178">
        <v>466791.09</v>
      </c>
      <c r="I21" s="1256">
        <f t="shared" si="2"/>
        <v>0.96245585567010317</v>
      </c>
      <c r="J21" s="1277" t="s">
        <v>166</v>
      </c>
    </row>
    <row r="22" spans="1:11" ht="56.25" x14ac:dyDescent="0.2">
      <c r="A22" s="172" t="s">
        <v>167</v>
      </c>
      <c r="B22" s="168" t="s">
        <v>168</v>
      </c>
      <c r="C22" s="169" t="s">
        <v>137</v>
      </c>
      <c r="D22" s="169" t="s">
        <v>146</v>
      </c>
      <c r="E22" s="169" t="s">
        <v>147</v>
      </c>
      <c r="F22" s="170">
        <v>25000</v>
      </c>
      <c r="G22" s="170">
        <v>24250.01</v>
      </c>
      <c r="H22" s="170">
        <v>0</v>
      </c>
      <c r="I22" s="1256">
        <f>G22/F22</f>
        <v>0.97000039999999998</v>
      </c>
      <c r="J22" s="1290" t="s">
        <v>153</v>
      </c>
    </row>
    <row r="23" spans="1:11" ht="45" x14ac:dyDescent="0.2">
      <c r="A23" s="167" t="s">
        <v>169</v>
      </c>
      <c r="B23" s="179" t="s">
        <v>170</v>
      </c>
      <c r="C23" s="173" t="s">
        <v>137</v>
      </c>
      <c r="D23" s="173" t="s">
        <v>146</v>
      </c>
      <c r="E23" s="173" t="s">
        <v>147</v>
      </c>
      <c r="F23" s="174">
        <v>56700</v>
      </c>
      <c r="G23" s="175">
        <v>56628.62</v>
      </c>
      <c r="H23" s="175">
        <v>0</v>
      </c>
      <c r="I23" s="1256">
        <f>G23/F23</f>
        <v>0.99874109347442686</v>
      </c>
      <c r="J23" s="151" t="s">
        <v>171</v>
      </c>
    </row>
    <row r="24" spans="1:11" ht="56.25" x14ac:dyDescent="0.2">
      <c r="A24" s="167" t="s">
        <v>172</v>
      </c>
      <c r="B24" s="179" t="s">
        <v>173</v>
      </c>
      <c r="C24" s="173" t="s">
        <v>137</v>
      </c>
      <c r="D24" s="173" t="s">
        <v>146</v>
      </c>
      <c r="E24" s="173" t="s">
        <v>147</v>
      </c>
      <c r="F24" s="175">
        <v>15000</v>
      </c>
      <c r="G24" s="175">
        <v>7995</v>
      </c>
      <c r="H24" s="175">
        <v>7995</v>
      </c>
      <c r="I24" s="1256">
        <f t="shared" ref="I24:I25" si="3">G24/F24</f>
        <v>0.53300000000000003</v>
      </c>
      <c r="J24" s="1277" t="s">
        <v>153</v>
      </c>
    </row>
    <row r="25" spans="1:11" ht="33" customHeight="1" x14ac:dyDescent="0.2">
      <c r="A25" s="172" t="s">
        <v>174</v>
      </c>
      <c r="B25" s="179" t="s">
        <v>175</v>
      </c>
      <c r="C25" s="173" t="s">
        <v>137</v>
      </c>
      <c r="D25" s="173" t="s">
        <v>146</v>
      </c>
      <c r="E25" s="173" t="s">
        <v>147</v>
      </c>
      <c r="F25" s="175">
        <v>270700</v>
      </c>
      <c r="G25" s="175">
        <v>270693.74</v>
      </c>
      <c r="H25" s="175">
        <v>0</v>
      </c>
      <c r="I25" s="1256">
        <f t="shared" si="3"/>
        <v>0.99997687476911712</v>
      </c>
      <c r="J25" s="151" t="s">
        <v>159</v>
      </c>
    </row>
    <row r="26" spans="1:11" x14ac:dyDescent="0.2">
      <c r="A26" s="2067" t="s">
        <v>288</v>
      </c>
      <c r="B26" s="2068"/>
      <c r="C26" s="2069"/>
      <c r="D26" s="1282" t="s">
        <v>146</v>
      </c>
      <c r="E26" s="1282" t="s">
        <v>147</v>
      </c>
      <c r="F26" s="1284">
        <f>F11+F14+F15+F16+F17+F18+F19+F20+F21+F22+F23+F24+F25</f>
        <v>3377400</v>
      </c>
      <c r="G26" s="1284">
        <f>G11+G14+G15+G16+G17+G18+G19+G20+G21+G22+G23+G24+G25</f>
        <v>3294750.08</v>
      </c>
      <c r="H26" s="1284">
        <f>H11+H14+H15+H16+H17+H18+H19+H20+H21+H22+H23+H24+H25</f>
        <v>1525937.26</v>
      </c>
      <c r="I26" s="1285">
        <f>G26/F26</f>
        <v>0.97552853674424111</v>
      </c>
      <c r="J26" s="1286" t="s">
        <v>597</v>
      </c>
    </row>
    <row r="27" spans="1:11" ht="40.5" customHeight="1" x14ac:dyDescent="0.2">
      <c r="A27" s="167" t="s">
        <v>176</v>
      </c>
      <c r="B27" s="181" t="s">
        <v>181</v>
      </c>
      <c r="C27" s="180" t="s">
        <v>182</v>
      </c>
      <c r="D27" s="180" t="s">
        <v>183</v>
      </c>
      <c r="E27" s="180" t="s">
        <v>147</v>
      </c>
      <c r="F27" s="182">
        <v>2753455.5</v>
      </c>
      <c r="G27" s="182">
        <v>2653274.15</v>
      </c>
      <c r="H27" s="1239">
        <v>0</v>
      </c>
      <c r="I27" s="1258">
        <f>G27/F27</f>
        <v>0.96361613616054442</v>
      </c>
      <c r="J27" s="1276" t="s">
        <v>184</v>
      </c>
    </row>
    <row r="28" spans="1:11" ht="22.5" x14ac:dyDescent="0.2">
      <c r="A28" s="172" t="s">
        <v>180</v>
      </c>
      <c r="B28" s="183" t="s">
        <v>1594</v>
      </c>
      <c r="C28" s="184" t="s">
        <v>182</v>
      </c>
      <c r="D28" s="184" t="s">
        <v>183</v>
      </c>
      <c r="E28" s="184" t="s">
        <v>179</v>
      </c>
      <c r="F28" s="174">
        <v>85000</v>
      </c>
      <c r="G28" s="174">
        <f>82280+2+1754.7</f>
        <v>84036.7</v>
      </c>
      <c r="H28" s="175">
        <v>0</v>
      </c>
      <c r="I28" s="1258">
        <f t="shared" ref="I28:I29" si="4">G28/F28</f>
        <v>0.98866705882352934</v>
      </c>
      <c r="J28" s="151" t="s">
        <v>186</v>
      </c>
    </row>
    <row r="29" spans="1:11" ht="32.25" customHeight="1" x14ac:dyDescent="0.2">
      <c r="A29" s="167" t="s">
        <v>185</v>
      </c>
      <c r="B29" s="183" t="s">
        <v>188</v>
      </c>
      <c r="C29" s="184" t="s">
        <v>182</v>
      </c>
      <c r="D29" s="184" t="s">
        <v>183</v>
      </c>
      <c r="E29" s="184" t="s">
        <v>179</v>
      </c>
      <c r="F29" s="174">
        <v>68650</v>
      </c>
      <c r="G29" s="174">
        <f>67930.8</f>
        <v>67930.8</v>
      </c>
      <c r="H29" s="175">
        <v>0</v>
      </c>
      <c r="I29" s="1258">
        <f t="shared" si="4"/>
        <v>0.98952367079388204</v>
      </c>
      <c r="J29" s="151" t="s">
        <v>189</v>
      </c>
      <c r="K29" s="222"/>
    </row>
    <row r="30" spans="1:11" x14ac:dyDescent="0.2">
      <c r="A30" s="2059" t="s">
        <v>288</v>
      </c>
      <c r="B30" s="2060"/>
      <c r="C30" s="2060"/>
      <c r="D30" s="1919" t="s">
        <v>183</v>
      </c>
      <c r="E30" s="1287" t="s">
        <v>179</v>
      </c>
      <c r="F30" s="1288">
        <f>F28+F29</f>
        <v>153650</v>
      </c>
      <c r="G30" s="1288">
        <f t="shared" ref="G30:H30" si="5">G28+G29</f>
        <v>151967.5</v>
      </c>
      <c r="H30" s="1288">
        <f t="shared" si="5"/>
        <v>0</v>
      </c>
      <c r="I30" s="1285">
        <f>G30/F30</f>
        <v>0.98904978848031244</v>
      </c>
      <c r="J30" s="1286" t="s">
        <v>597</v>
      </c>
      <c r="K30" s="222"/>
    </row>
    <row r="31" spans="1:11" ht="33" customHeight="1" x14ac:dyDescent="0.2">
      <c r="A31" s="167" t="s">
        <v>187</v>
      </c>
      <c r="B31" s="198" t="s">
        <v>191</v>
      </c>
      <c r="C31" s="199" t="s">
        <v>192</v>
      </c>
      <c r="D31" s="199" t="s">
        <v>193</v>
      </c>
      <c r="E31" s="199" t="s">
        <v>179</v>
      </c>
      <c r="F31" s="200">
        <v>30000</v>
      </c>
      <c r="G31" s="200">
        <v>29716.799999999999</v>
      </c>
      <c r="H31" s="1241">
        <v>0</v>
      </c>
      <c r="I31" s="1258">
        <f>G31/F31</f>
        <v>0.99056</v>
      </c>
      <c r="J31" s="1277" t="s">
        <v>194</v>
      </c>
    </row>
    <row r="32" spans="1:11" ht="27.75" customHeight="1" x14ac:dyDescent="0.2">
      <c r="A32" s="167" t="s">
        <v>190</v>
      </c>
      <c r="B32" s="198" t="s">
        <v>198</v>
      </c>
      <c r="C32" s="199" t="s">
        <v>192</v>
      </c>
      <c r="D32" s="199" t="s">
        <v>196</v>
      </c>
      <c r="E32" s="199" t="s">
        <v>147</v>
      </c>
      <c r="F32" s="200">
        <v>39445.79</v>
      </c>
      <c r="G32" s="197">
        <v>39445.79</v>
      </c>
      <c r="H32" s="1297">
        <v>39445.79</v>
      </c>
      <c r="I32" s="1258">
        <f t="shared" ref="I32:I35" si="6">G32/F32</f>
        <v>1</v>
      </c>
      <c r="J32" s="1277" t="s">
        <v>153</v>
      </c>
    </row>
    <row r="33" spans="1:10" ht="35.25" customHeight="1" x14ac:dyDescent="0.2">
      <c r="A33" s="167" t="s">
        <v>195</v>
      </c>
      <c r="B33" s="1947" t="s">
        <v>203</v>
      </c>
      <c r="C33" s="1948" t="s">
        <v>200</v>
      </c>
      <c r="D33" s="1948" t="s">
        <v>204</v>
      </c>
      <c r="E33" s="1948" t="s">
        <v>147</v>
      </c>
      <c r="F33" s="1949">
        <v>30000</v>
      </c>
      <c r="G33" s="1949">
        <v>29944.62</v>
      </c>
      <c r="H33" s="170">
        <v>0</v>
      </c>
      <c r="I33" s="1259">
        <f t="shared" si="6"/>
        <v>0.99815399999999999</v>
      </c>
      <c r="J33" s="151" t="s">
        <v>205</v>
      </c>
    </row>
    <row r="34" spans="1:10" ht="56.25" x14ac:dyDescent="0.2">
      <c r="A34" s="167" t="s">
        <v>197</v>
      </c>
      <c r="B34" s="183" t="s">
        <v>629</v>
      </c>
      <c r="C34" s="184" t="s">
        <v>200</v>
      </c>
      <c r="D34" s="184" t="s">
        <v>204</v>
      </c>
      <c r="E34" s="184" t="s">
        <v>147</v>
      </c>
      <c r="F34" s="174">
        <v>22900</v>
      </c>
      <c r="G34" s="174">
        <v>22797.35</v>
      </c>
      <c r="H34" s="175">
        <v>0</v>
      </c>
      <c r="I34" s="1258">
        <f t="shared" si="6"/>
        <v>0.99551746724890822</v>
      </c>
      <c r="J34" s="1277" t="s">
        <v>153</v>
      </c>
    </row>
    <row r="35" spans="1:10" x14ac:dyDescent="0.2">
      <c r="A35" s="2061" t="s">
        <v>288</v>
      </c>
      <c r="B35" s="2062"/>
      <c r="C35" s="2063"/>
      <c r="D35" s="1282" t="s">
        <v>204</v>
      </c>
      <c r="E35" s="1282" t="s">
        <v>147</v>
      </c>
      <c r="F35" s="1283">
        <f>F33+F34</f>
        <v>52900</v>
      </c>
      <c r="G35" s="1283">
        <f t="shared" ref="G35:H35" si="7">G33+G34</f>
        <v>52741.97</v>
      </c>
      <c r="H35" s="1283">
        <f t="shared" si="7"/>
        <v>0</v>
      </c>
      <c r="I35" s="1285">
        <f t="shared" si="6"/>
        <v>0.99701266540642719</v>
      </c>
      <c r="J35" s="1286" t="s">
        <v>597</v>
      </c>
    </row>
    <row r="36" spans="1:10" ht="39" customHeight="1" x14ac:dyDescent="0.2">
      <c r="A36" s="167" t="s">
        <v>199</v>
      </c>
      <c r="B36" s="1292" t="s">
        <v>209</v>
      </c>
      <c r="C36" s="1293" t="s">
        <v>204</v>
      </c>
      <c r="D36" s="1293" t="s">
        <v>204</v>
      </c>
      <c r="E36" s="1293" t="s">
        <v>210</v>
      </c>
      <c r="F36" s="1243">
        <v>9000</v>
      </c>
      <c r="G36" s="1243">
        <v>9000</v>
      </c>
      <c r="H36" s="1294">
        <v>0</v>
      </c>
      <c r="I36" s="1259">
        <f>G36/F36</f>
        <v>1</v>
      </c>
      <c r="J36" s="171" t="s">
        <v>211</v>
      </c>
    </row>
    <row r="37" spans="1:10" ht="26.25" customHeight="1" x14ac:dyDescent="0.2">
      <c r="A37" s="167" t="s">
        <v>201</v>
      </c>
      <c r="B37" s="181" t="s">
        <v>213</v>
      </c>
      <c r="C37" s="180" t="s">
        <v>147</v>
      </c>
      <c r="D37" s="180" t="s">
        <v>214</v>
      </c>
      <c r="E37" s="180" t="s">
        <v>179</v>
      </c>
      <c r="F37" s="182">
        <v>70000</v>
      </c>
      <c r="G37" s="182">
        <v>65098</v>
      </c>
      <c r="H37" s="1239">
        <v>0</v>
      </c>
      <c r="I37" s="1259">
        <f t="shared" ref="I37:I39" si="8">G37/F37</f>
        <v>0.92997142857142856</v>
      </c>
      <c r="J37" s="151" t="s">
        <v>215</v>
      </c>
    </row>
    <row r="38" spans="1:10" ht="38.25" customHeight="1" x14ac:dyDescent="0.2">
      <c r="A38" s="167" t="s">
        <v>202</v>
      </c>
      <c r="B38" s="1292" t="s">
        <v>217</v>
      </c>
      <c r="C38" s="1293" t="s">
        <v>218</v>
      </c>
      <c r="D38" s="1293" t="s">
        <v>219</v>
      </c>
      <c r="E38" s="1293" t="s">
        <v>147</v>
      </c>
      <c r="F38" s="1243">
        <v>50000</v>
      </c>
      <c r="G38" s="1243">
        <f>50000</f>
        <v>50000</v>
      </c>
      <c r="H38" s="1294">
        <v>50000</v>
      </c>
      <c r="I38" s="1259">
        <f t="shared" si="8"/>
        <v>1</v>
      </c>
      <c r="J38" s="1290" t="s">
        <v>220</v>
      </c>
    </row>
    <row r="39" spans="1:10" ht="40.5" customHeight="1" x14ac:dyDescent="0.2">
      <c r="A39" s="167" t="s">
        <v>206</v>
      </c>
      <c r="B39" s="198" t="s">
        <v>222</v>
      </c>
      <c r="C39" s="199" t="s">
        <v>218</v>
      </c>
      <c r="D39" s="199" t="s">
        <v>219</v>
      </c>
      <c r="E39" s="199" t="s">
        <v>147</v>
      </c>
      <c r="F39" s="200">
        <v>75000</v>
      </c>
      <c r="G39" s="200">
        <v>74919.5</v>
      </c>
      <c r="H39" s="1241">
        <v>0</v>
      </c>
      <c r="I39" s="1259">
        <f t="shared" si="8"/>
        <v>0.99892666666666663</v>
      </c>
      <c r="J39" s="188" t="s">
        <v>223</v>
      </c>
    </row>
    <row r="40" spans="1:10" x14ac:dyDescent="0.2">
      <c r="A40" s="2064" t="s">
        <v>288</v>
      </c>
      <c r="B40" s="2064"/>
      <c r="C40" s="2064"/>
      <c r="D40" s="1289" t="s">
        <v>219</v>
      </c>
      <c r="E40" s="1289" t="s">
        <v>147</v>
      </c>
      <c r="F40" s="1279">
        <f>F39+F38</f>
        <v>125000</v>
      </c>
      <c r="G40" s="1279">
        <f t="shared" ref="G40:H40" si="9">G39+G38</f>
        <v>124919.5</v>
      </c>
      <c r="H40" s="1279">
        <f t="shared" si="9"/>
        <v>50000</v>
      </c>
      <c r="I40" s="1280">
        <f>G40/F40</f>
        <v>0.99935600000000002</v>
      </c>
      <c r="J40" s="1281" t="s">
        <v>597</v>
      </c>
    </row>
    <row r="41" spans="1:10" ht="67.5" x14ac:dyDescent="0.2">
      <c r="A41" s="167" t="s">
        <v>207</v>
      </c>
      <c r="B41" s="181" t="s">
        <v>225</v>
      </c>
      <c r="C41" s="180" t="s">
        <v>218</v>
      </c>
      <c r="D41" s="180" t="s">
        <v>226</v>
      </c>
      <c r="E41" s="180" t="s">
        <v>179</v>
      </c>
      <c r="F41" s="182">
        <v>12000</v>
      </c>
      <c r="G41" s="182">
        <v>11703.45</v>
      </c>
      <c r="H41" s="1239">
        <v>0</v>
      </c>
      <c r="I41" s="1258">
        <f>G41/F41</f>
        <v>0.97528750000000008</v>
      </c>
      <c r="J41" s="151" t="s">
        <v>227</v>
      </c>
    </row>
    <row r="42" spans="1:10" ht="45" x14ac:dyDescent="0.2">
      <c r="A42" s="167" t="s">
        <v>208</v>
      </c>
      <c r="B42" s="194" t="s">
        <v>229</v>
      </c>
      <c r="C42" s="1293" t="s">
        <v>230</v>
      </c>
      <c r="D42" s="1293" t="s">
        <v>231</v>
      </c>
      <c r="E42" s="1293" t="s">
        <v>232</v>
      </c>
      <c r="F42" s="1243">
        <v>25000</v>
      </c>
      <c r="G42" s="1294">
        <v>0</v>
      </c>
      <c r="H42" s="1241">
        <v>0</v>
      </c>
      <c r="I42" s="1950">
        <f t="shared" ref="I42:I51" si="10">G42/F42</f>
        <v>0</v>
      </c>
      <c r="J42" s="190" t="s">
        <v>233</v>
      </c>
    </row>
    <row r="43" spans="1:10" ht="56.25" x14ac:dyDescent="0.2">
      <c r="A43" s="167" t="s">
        <v>212</v>
      </c>
      <c r="B43" s="193" t="s">
        <v>236</v>
      </c>
      <c r="C43" s="195" t="s">
        <v>230</v>
      </c>
      <c r="D43" s="195" t="s">
        <v>237</v>
      </c>
      <c r="E43" s="195" t="s">
        <v>179</v>
      </c>
      <c r="F43" s="196">
        <v>120000</v>
      </c>
      <c r="G43" s="1295">
        <v>86500</v>
      </c>
      <c r="H43" s="1295">
        <v>0</v>
      </c>
      <c r="I43" s="1258">
        <f t="shared" si="10"/>
        <v>0.72083333333333333</v>
      </c>
      <c r="J43" s="1291" t="s">
        <v>238</v>
      </c>
    </row>
    <row r="44" spans="1:10" ht="45" x14ac:dyDescent="0.2">
      <c r="A44" s="167" t="s">
        <v>216</v>
      </c>
      <c r="B44" s="193" t="s">
        <v>240</v>
      </c>
      <c r="C44" s="199" t="s">
        <v>241</v>
      </c>
      <c r="D44" s="199" t="s">
        <v>242</v>
      </c>
      <c r="E44" s="199" t="s">
        <v>147</v>
      </c>
      <c r="F44" s="200">
        <v>1130850</v>
      </c>
      <c r="G44" s="200">
        <v>1126358.42</v>
      </c>
      <c r="H44" s="1241">
        <v>0</v>
      </c>
      <c r="I44" s="1258">
        <f t="shared" si="10"/>
        <v>0.99602813812618818</v>
      </c>
      <c r="J44" s="188" t="s">
        <v>243</v>
      </c>
    </row>
    <row r="45" spans="1:10" ht="25.5" x14ac:dyDescent="0.2">
      <c r="A45" s="167" t="s">
        <v>221</v>
      </c>
      <c r="B45" s="193" t="s">
        <v>245</v>
      </c>
      <c r="C45" s="180" t="s">
        <v>246</v>
      </c>
      <c r="D45" s="180" t="s">
        <v>247</v>
      </c>
      <c r="E45" s="180" t="s">
        <v>210</v>
      </c>
      <c r="F45" s="182">
        <v>69000</v>
      </c>
      <c r="G45" s="182">
        <v>66304.12</v>
      </c>
      <c r="H45" s="1239">
        <v>0</v>
      </c>
      <c r="I45" s="1258">
        <f t="shared" si="10"/>
        <v>0.96092927536231876</v>
      </c>
      <c r="J45" s="151" t="s">
        <v>186</v>
      </c>
    </row>
    <row r="46" spans="1:10" ht="45" x14ac:dyDescent="0.2">
      <c r="A46" s="167" t="s">
        <v>224</v>
      </c>
      <c r="B46" s="198" t="s">
        <v>249</v>
      </c>
      <c r="C46" s="1293" t="s">
        <v>246</v>
      </c>
      <c r="D46" s="1293" t="s">
        <v>247</v>
      </c>
      <c r="E46" s="1293" t="s">
        <v>147</v>
      </c>
      <c r="F46" s="1243">
        <v>195000</v>
      </c>
      <c r="G46" s="1243">
        <f>21548.33+173451.67</f>
        <v>195000</v>
      </c>
      <c r="H46" s="1294">
        <v>173451.67</v>
      </c>
      <c r="I46" s="1258">
        <f t="shared" si="10"/>
        <v>1</v>
      </c>
      <c r="J46" s="171" t="s">
        <v>250</v>
      </c>
    </row>
    <row r="47" spans="1:10" ht="25.5" x14ac:dyDescent="0.2">
      <c r="A47" s="161" t="s">
        <v>228</v>
      </c>
      <c r="B47" s="193" t="s">
        <v>252</v>
      </c>
      <c r="C47" s="180" t="s">
        <v>246</v>
      </c>
      <c r="D47" s="180" t="s">
        <v>253</v>
      </c>
      <c r="E47" s="180" t="s">
        <v>210</v>
      </c>
      <c r="F47" s="182">
        <v>69000</v>
      </c>
      <c r="G47" s="182">
        <v>68771</v>
      </c>
      <c r="H47" s="1239">
        <v>0</v>
      </c>
      <c r="I47" s="1258">
        <f t="shared" si="10"/>
        <v>0.9966811594202899</v>
      </c>
      <c r="J47" s="151" t="s">
        <v>186</v>
      </c>
    </row>
    <row r="48" spans="1:10" ht="34.5" customHeight="1" x14ac:dyDescent="0.2">
      <c r="A48" s="167" t="s">
        <v>234</v>
      </c>
      <c r="B48" s="194" t="s">
        <v>255</v>
      </c>
      <c r="C48" s="1293" t="s">
        <v>246</v>
      </c>
      <c r="D48" s="1293" t="s">
        <v>256</v>
      </c>
      <c r="E48" s="1293" t="s">
        <v>147</v>
      </c>
      <c r="F48" s="1243">
        <v>150000</v>
      </c>
      <c r="G48" s="1243">
        <v>150000</v>
      </c>
      <c r="H48" s="1294">
        <v>149047</v>
      </c>
      <c r="I48" s="1258">
        <f t="shared" si="10"/>
        <v>1</v>
      </c>
      <c r="J48" s="1290" t="s">
        <v>257</v>
      </c>
    </row>
    <row r="49" spans="1:10" ht="56.25" x14ac:dyDescent="0.2">
      <c r="A49" s="167" t="s">
        <v>235</v>
      </c>
      <c r="B49" s="181" t="s">
        <v>259</v>
      </c>
      <c r="C49" s="180" t="s">
        <v>246</v>
      </c>
      <c r="D49" s="180" t="s">
        <v>260</v>
      </c>
      <c r="E49" s="180" t="s">
        <v>139</v>
      </c>
      <c r="F49" s="182">
        <v>244042.85</v>
      </c>
      <c r="G49" s="182">
        <v>244042.85</v>
      </c>
      <c r="H49" s="1239">
        <v>0</v>
      </c>
      <c r="I49" s="1258">
        <f t="shared" si="10"/>
        <v>1</v>
      </c>
      <c r="J49" s="151" t="s">
        <v>261</v>
      </c>
    </row>
    <row r="50" spans="1:10" ht="56.25" x14ac:dyDescent="0.2">
      <c r="A50" s="167" t="s">
        <v>239</v>
      </c>
      <c r="B50" s="1296" t="s">
        <v>262</v>
      </c>
      <c r="C50" s="180" t="s">
        <v>263</v>
      </c>
      <c r="D50" s="180" t="s">
        <v>264</v>
      </c>
      <c r="E50" s="180" t="s">
        <v>147</v>
      </c>
      <c r="F50" s="182">
        <v>18858.830000000002</v>
      </c>
      <c r="G50" s="182">
        <v>17215.900000000001</v>
      </c>
      <c r="H50" s="1239">
        <v>0</v>
      </c>
      <c r="I50" s="1258">
        <f t="shared" si="10"/>
        <v>0.91288271859919201</v>
      </c>
      <c r="J50" s="1277" t="s">
        <v>153</v>
      </c>
    </row>
    <row r="51" spans="1:10" ht="35.25" customHeight="1" x14ac:dyDescent="0.2">
      <c r="A51" s="167" t="s">
        <v>244</v>
      </c>
      <c r="B51" s="198" t="s">
        <v>265</v>
      </c>
      <c r="C51" s="199" t="s">
        <v>263</v>
      </c>
      <c r="D51" s="199" t="s">
        <v>264</v>
      </c>
      <c r="E51" s="199" t="s">
        <v>232</v>
      </c>
      <c r="F51" s="200">
        <v>47000</v>
      </c>
      <c r="G51" s="200">
        <v>38617.89</v>
      </c>
      <c r="H51" s="201">
        <v>0</v>
      </c>
      <c r="I51" s="1950">
        <f t="shared" si="10"/>
        <v>0.8216572340425532</v>
      </c>
      <c r="J51" s="190" t="s">
        <v>266</v>
      </c>
    </row>
    <row r="52" spans="1:10" ht="45" customHeight="1" x14ac:dyDescent="0.2">
      <c r="A52" s="1244" t="s">
        <v>248</v>
      </c>
      <c r="B52" s="202" t="s">
        <v>267</v>
      </c>
      <c r="C52" s="203" t="s">
        <v>263</v>
      </c>
      <c r="D52" s="203" t="s">
        <v>268</v>
      </c>
      <c r="E52" s="203"/>
      <c r="F52" s="204">
        <f>F54+F55+F53</f>
        <v>8337766.9399999995</v>
      </c>
      <c r="G52" s="204">
        <f>G54+G55+G53</f>
        <v>8334810.1699999999</v>
      </c>
      <c r="H52" s="1237"/>
      <c r="I52" s="1253">
        <f>G52/F52</f>
        <v>0.99964537627145533</v>
      </c>
      <c r="J52" s="205" t="s">
        <v>269</v>
      </c>
    </row>
    <row r="53" spans="1:10" x14ac:dyDescent="0.2">
      <c r="A53" s="206"/>
      <c r="B53" s="202"/>
      <c r="C53" s="203"/>
      <c r="D53" s="203"/>
      <c r="E53" s="207" t="s">
        <v>147</v>
      </c>
      <c r="F53" s="208">
        <v>309000</v>
      </c>
      <c r="G53" s="208">
        <v>306043.23</v>
      </c>
      <c r="H53" s="209"/>
      <c r="I53" s="1254">
        <f>G53/F53</f>
        <v>0.99043116504854367</v>
      </c>
      <c r="J53" s="210"/>
    </row>
    <row r="54" spans="1:10" x14ac:dyDescent="0.2">
      <c r="A54" s="206"/>
      <c r="B54" s="211"/>
      <c r="C54" s="203"/>
      <c r="D54" s="203"/>
      <c r="E54" s="207" t="s">
        <v>270</v>
      </c>
      <c r="F54" s="212">
        <v>6824451.8899999997</v>
      </c>
      <c r="G54" s="212">
        <v>6824451.8899999997</v>
      </c>
      <c r="H54" s="1240"/>
      <c r="I54" s="1254">
        <f t="shared" ref="I54:I55" si="11">G54/F54</f>
        <v>1</v>
      </c>
      <c r="J54" s="210"/>
    </row>
    <row r="55" spans="1:10" x14ac:dyDescent="0.2">
      <c r="A55" s="161"/>
      <c r="B55" s="191"/>
      <c r="C55" s="192"/>
      <c r="D55" s="192"/>
      <c r="E55" s="213" t="s">
        <v>271</v>
      </c>
      <c r="F55" s="215">
        <v>1204315.05</v>
      </c>
      <c r="G55" s="215">
        <v>1204315.05</v>
      </c>
      <c r="H55" s="164"/>
      <c r="I55" s="1918">
        <f t="shared" si="11"/>
        <v>1</v>
      </c>
      <c r="J55" s="190"/>
    </row>
    <row r="56" spans="1:10" ht="42.75" customHeight="1" x14ac:dyDescent="0.2">
      <c r="A56" s="161" t="s">
        <v>251</v>
      </c>
      <c r="B56" s="191" t="s">
        <v>272</v>
      </c>
      <c r="C56" s="192" t="s">
        <v>273</v>
      </c>
      <c r="D56" s="192" t="s">
        <v>274</v>
      </c>
      <c r="E56" s="192" t="s">
        <v>147</v>
      </c>
      <c r="F56" s="189">
        <v>8931.59</v>
      </c>
      <c r="G56" s="189">
        <f>3325+5447.03</f>
        <v>8772.0299999999988</v>
      </c>
      <c r="H56" s="175"/>
      <c r="I56" s="1257">
        <f>G56/F56</f>
        <v>0.98213531969111867</v>
      </c>
      <c r="J56" s="1291" t="s">
        <v>275</v>
      </c>
    </row>
    <row r="57" spans="1:10" ht="36.75" customHeight="1" x14ac:dyDescent="0.2">
      <c r="A57" s="155" t="s">
        <v>254</v>
      </c>
      <c r="B57" s="185" t="s">
        <v>276</v>
      </c>
      <c r="C57" s="186" t="s">
        <v>273</v>
      </c>
      <c r="D57" s="186" t="s">
        <v>274</v>
      </c>
      <c r="E57" s="186"/>
      <c r="F57" s="187">
        <f>F58+F59+F60+F61</f>
        <v>553313.61</v>
      </c>
      <c r="G57" s="216">
        <f>G58+G59+G60+G61</f>
        <v>538333.04</v>
      </c>
      <c r="H57" s="1236"/>
      <c r="I57" s="1253">
        <f>G57/F57</f>
        <v>0.97292571567144359</v>
      </c>
      <c r="J57" s="217" t="s">
        <v>277</v>
      </c>
    </row>
    <row r="58" spans="1:10" x14ac:dyDescent="0.2">
      <c r="A58" s="155"/>
      <c r="B58" s="185"/>
      <c r="C58" s="2048" t="s">
        <v>278</v>
      </c>
      <c r="D58" s="2049"/>
      <c r="E58" s="218" t="s">
        <v>147</v>
      </c>
      <c r="F58" s="156">
        <v>36180</v>
      </c>
      <c r="G58" s="156">
        <v>22980</v>
      </c>
      <c r="H58" s="1238"/>
      <c r="I58" s="1254">
        <f>G58/F58</f>
        <v>0.63515754560530679</v>
      </c>
      <c r="J58" s="160"/>
    </row>
    <row r="59" spans="1:10" x14ac:dyDescent="0.2">
      <c r="A59" s="155"/>
      <c r="B59" s="185"/>
      <c r="C59" s="2050" t="s">
        <v>279</v>
      </c>
      <c r="D59" s="2051"/>
      <c r="E59" s="218" t="s">
        <v>280</v>
      </c>
      <c r="F59" s="156">
        <v>255000</v>
      </c>
      <c r="G59" s="156">
        <v>255000</v>
      </c>
      <c r="H59" s="1238"/>
      <c r="I59" s="1254">
        <f t="shared" ref="I59:I61" si="12">G59/F59</f>
        <v>1</v>
      </c>
      <c r="J59" s="160"/>
    </row>
    <row r="60" spans="1:10" x14ac:dyDescent="0.2">
      <c r="A60" s="155"/>
      <c r="B60" s="185"/>
      <c r="C60" s="2050" t="s">
        <v>281</v>
      </c>
      <c r="D60" s="2051"/>
      <c r="E60" s="218" t="s">
        <v>271</v>
      </c>
      <c r="F60" s="156">
        <v>45000</v>
      </c>
      <c r="G60" s="156">
        <v>45000</v>
      </c>
      <c r="H60" s="1238"/>
      <c r="I60" s="1254">
        <f t="shared" si="12"/>
        <v>1</v>
      </c>
      <c r="J60" s="160"/>
    </row>
    <row r="61" spans="1:10" x14ac:dyDescent="0.2">
      <c r="A61" s="161"/>
      <c r="B61" s="183"/>
      <c r="C61" s="2052" t="s">
        <v>282</v>
      </c>
      <c r="D61" s="2053"/>
      <c r="E61" s="219" t="s">
        <v>271</v>
      </c>
      <c r="F61" s="165">
        <v>217133.61</v>
      </c>
      <c r="G61" s="165">
        <v>215353.04</v>
      </c>
      <c r="H61" s="164"/>
      <c r="I61" s="1255">
        <f t="shared" si="12"/>
        <v>0.99179965736304032</v>
      </c>
      <c r="J61" s="166"/>
    </row>
    <row r="62" spans="1:10" ht="56.25" hidden="1" x14ac:dyDescent="0.2">
      <c r="A62" s="1244" t="s">
        <v>258</v>
      </c>
      <c r="B62" s="1268" t="s">
        <v>283</v>
      </c>
      <c r="C62" s="1246" t="s">
        <v>273</v>
      </c>
      <c r="D62" s="1246" t="s">
        <v>274</v>
      </c>
      <c r="E62" s="1246" t="s">
        <v>147</v>
      </c>
      <c r="F62" s="1247">
        <v>0</v>
      </c>
      <c r="G62" s="1247">
        <v>0</v>
      </c>
      <c r="H62" s="1248"/>
      <c r="I62" s="1260">
        <v>0</v>
      </c>
      <c r="J62" s="1249" t="s">
        <v>153</v>
      </c>
    </row>
    <row r="63" spans="1:10" hidden="1" x14ac:dyDescent="0.2">
      <c r="A63" s="1269"/>
      <c r="B63" s="1270" t="s">
        <v>284</v>
      </c>
      <c r="C63" s="1271"/>
      <c r="D63" s="1271"/>
      <c r="E63" s="1271"/>
      <c r="F63" s="208">
        <v>0</v>
      </c>
      <c r="G63" s="208">
        <v>0</v>
      </c>
      <c r="H63" s="1240"/>
      <c r="I63" s="1254">
        <v>0</v>
      </c>
      <c r="J63" s="210"/>
    </row>
    <row r="64" spans="1:10" hidden="1" x14ac:dyDescent="0.2">
      <c r="A64" s="220"/>
      <c r="B64" s="221" t="s">
        <v>285</v>
      </c>
      <c r="C64" s="195"/>
      <c r="D64" s="195"/>
      <c r="E64" s="195"/>
      <c r="F64" s="214">
        <v>0</v>
      </c>
      <c r="G64" s="214">
        <v>0</v>
      </c>
      <c r="H64" s="1242"/>
      <c r="I64" s="1255">
        <v>0</v>
      </c>
      <c r="J64" s="190"/>
    </row>
    <row r="65" spans="1:11" ht="34.5" thickBot="1" x14ac:dyDescent="0.25">
      <c r="A65" s="1244" t="s">
        <v>258</v>
      </c>
      <c r="B65" s="1245" t="s">
        <v>286</v>
      </c>
      <c r="C65" s="1246" t="s">
        <v>273</v>
      </c>
      <c r="D65" s="1246" t="s">
        <v>274</v>
      </c>
      <c r="E65" s="1246" t="s">
        <v>179</v>
      </c>
      <c r="F65" s="1247">
        <v>15000</v>
      </c>
      <c r="G65" s="1247">
        <v>15000</v>
      </c>
      <c r="H65" s="1248"/>
      <c r="I65" s="1260">
        <f>G65/F65</f>
        <v>1</v>
      </c>
      <c r="J65" s="1249" t="s">
        <v>287</v>
      </c>
    </row>
    <row r="66" spans="1:11" ht="13.5" thickBot="1" x14ac:dyDescent="0.25">
      <c r="A66" s="2044" t="s">
        <v>288</v>
      </c>
      <c r="B66" s="2045"/>
      <c r="C66" s="2045"/>
      <c r="D66" s="2045"/>
      <c r="E66" s="2045"/>
      <c r="F66" s="1250">
        <f>F7+F8+F9+F11+F14+F15+F16+F17+F18+F19+F20+F21+F22+F23+F24+F25+F27+F28+F29+F31+F32+F33+F34+F36+F37+F38+F39+F41+F42+F43+F44+F45+F46+F47+F48+F49+F50+F51+F52+F56+F57+F62+F65</f>
        <v>17868091.109999996</v>
      </c>
      <c r="G66" s="1250">
        <f>G7+G8+G9+G11+G14+G15+G16+G17+G18+G19+G20+G21+G22+G23+G24+G25+G27+G28+G29+G31+G32+G33+G34+G36+G37+G38+G39+G41+G42+G43+G44+G45+G46+G47+G48+G49+G50+G51+G52+G56+G57+G62+G65</f>
        <v>17578454.870000001</v>
      </c>
      <c r="H66" s="1250">
        <f>H7+H8+H9+H11+H14+H15+H16+H17+H18+H19+H20+H21+H22+H23+H24+H25+H27+H28+H29+H31+H32+H33+H34+H36+H37+H38+H39+H41+H42+H43+H44+H45+H46+H47+H48+H49+H50+H51+H52+H56+H57+H62+H65</f>
        <v>1937881.72</v>
      </c>
      <c r="I66" s="1261">
        <f>G66/F66</f>
        <v>0.98379030875671447</v>
      </c>
      <c r="J66" s="1250"/>
      <c r="K66" s="222"/>
    </row>
    <row r="68" spans="1:11" x14ac:dyDescent="0.2">
      <c r="B68" s="223"/>
      <c r="F68" s="222"/>
      <c r="G68" s="222"/>
      <c r="H68" s="222"/>
      <c r="I68" s="222"/>
      <c r="J68" s="222"/>
    </row>
    <row r="69" spans="1:11" x14ac:dyDescent="0.2">
      <c r="B69" s="223"/>
      <c r="F69" s="222"/>
      <c r="G69" s="222"/>
      <c r="H69" s="222"/>
      <c r="I69" s="222"/>
      <c r="J69" s="222"/>
    </row>
    <row r="70" spans="1:11" x14ac:dyDescent="0.2">
      <c r="B70" s="223"/>
      <c r="F70" s="222"/>
      <c r="G70" s="222"/>
      <c r="H70" s="222"/>
      <c r="I70" s="222"/>
      <c r="J70" s="222"/>
    </row>
    <row r="71" spans="1:11" x14ac:dyDescent="0.2">
      <c r="B71" s="223"/>
      <c r="F71" s="222"/>
      <c r="G71" s="222"/>
      <c r="H71" s="222"/>
      <c r="I71" s="222"/>
      <c r="J71" s="222"/>
    </row>
    <row r="72" spans="1:11" x14ac:dyDescent="0.2">
      <c r="B72" s="224"/>
      <c r="F72" s="222"/>
      <c r="G72" s="222"/>
      <c r="H72" s="222"/>
      <c r="I72" s="222"/>
      <c r="J72" s="222"/>
    </row>
    <row r="73" spans="1:11" x14ac:dyDescent="0.2">
      <c r="B73" s="224"/>
      <c r="F73" s="222"/>
      <c r="G73" s="222"/>
      <c r="H73" s="222"/>
      <c r="I73" s="222"/>
      <c r="J73" s="222"/>
    </row>
    <row r="74" spans="1:11" x14ac:dyDescent="0.2">
      <c r="F74" s="222"/>
      <c r="G74" s="222"/>
      <c r="H74" s="222"/>
      <c r="I74" s="222"/>
      <c r="J74" s="222"/>
    </row>
    <row r="75" spans="1:11" x14ac:dyDescent="0.2">
      <c r="J75" s="222"/>
    </row>
    <row r="76" spans="1:11" x14ac:dyDescent="0.2">
      <c r="J76" s="222"/>
    </row>
  </sheetData>
  <sheetProtection selectLockedCells="1" selectUnlockedCells="1"/>
  <mergeCells count="22">
    <mergeCell ref="G1:J1"/>
    <mergeCell ref="A30:C30"/>
    <mergeCell ref="A35:C35"/>
    <mergeCell ref="A40:C40"/>
    <mergeCell ref="A10:C10"/>
    <mergeCell ref="A26:C26"/>
    <mergeCell ref="A66:E66"/>
    <mergeCell ref="B3:J3"/>
    <mergeCell ref="C6:E6"/>
    <mergeCell ref="C58:D58"/>
    <mergeCell ref="C59:D59"/>
    <mergeCell ref="C60:D60"/>
    <mergeCell ref="C61:D61"/>
    <mergeCell ref="A4:A5"/>
    <mergeCell ref="B4:B5"/>
    <mergeCell ref="C4:C5"/>
    <mergeCell ref="D4:D5"/>
    <mergeCell ref="E4:E5"/>
    <mergeCell ref="F4:F5"/>
    <mergeCell ref="G4:G5"/>
    <mergeCell ref="I4:I5"/>
    <mergeCell ref="J4:J5"/>
  </mergeCells>
  <pageMargins left="0.19685039370078741" right="0.19685039370078741" top="0.59055118110236227" bottom="0.35433070866141736" header="0.39370078740157483" footer="0.19685039370078741"/>
  <pageSetup paperSize="9" fitToHeight="0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42"/>
  <sheetViews>
    <sheetView topLeftCell="A121" zoomScaleNormal="100" workbookViewId="0">
      <selection activeCell="N59" sqref="N59"/>
    </sheetView>
  </sheetViews>
  <sheetFormatPr defaultRowHeight="11.25" x14ac:dyDescent="0.2"/>
  <cols>
    <col min="1" max="1" width="5.7109375" style="4" customWidth="1"/>
    <col min="2" max="2" width="8.5703125" style="4" customWidth="1"/>
    <col min="3" max="3" width="6.42578125" style="4" customWidth="1"/>
    <col min="4" max="4" width="28.140625" style="4" customWidth="1"/>
    <col min="5" max="5" width="12.85546875" style="4" customWidth="1"/>
    <col min="6" max="6" width="13.42578125" style="4" customWidth="1"/>
    <col min="7" max="7" width="10.28515625" style="4" customWidth="1"/>
    <col min="8" max="8" width="13.140625" style="4" customWidth="1"/>
    <col min="9" max="9" width="13.28515625" style="4" customWidth="1"/>
    <col min="10" max="10" width="10.7109375" style="4" customWidth="1"/>
    <col min="11" max="11" width="9.140625" style="4"/>
    <col min="12" max="12" width="10.5703125" style="4" customWidth="1"/>
    <col min="13" max="16384" width="9.140625" style="4"/>
  </cols>
  <sheetData>
    <row r="1" spans="1:12" ht="12.75" x14ac:dyDescent="0.2">
      <c r="A1" s="1"/>
      <c r="B1" s="1"/>
      <c r="C1" s="1"/>
      <c r="D1" s="1"/>
      <c r="E1" s="2"/>
      <c r="F1" s="2"/>
      <c r="G1" s="2"/>
      <c r="H1" s="1146" t="s">
        <v>601</v>
      </c>
      <c r="I1" s="3"/>
      <c r="J1" s="3"/>
    </row>
    <row r="2" spans="1:12" ht="12.75" x14ac:dyDescent="0.2">
      <c r="A2" s="1"/>
      <c r="B2" s="1"/>
      <c r="C2" s="1"/>
      <c r="D2" s="1"/>
      <c r="E2" s="5"/>
      <c r="F2" s="5"/>
      <c r="G2" s="5"/>
      <c r="H2" s="2080"/>
      <c r="I2" s="2080"/>
      <c r="J2" s="3"/>
    </row>
    <row r="3" spans="1:12" ht="37.5" customHeight="1" x14ac:dyDescent="0.2">
      <c r="A3" s="2090" t="s">
        <v>595</v>
      </c>
      <c r="B3" s="2090"/>
      <c r="C3" s="2090"/>
      <c r="D3" s="2090"/>
      <c r="E3" s="2090"/>
      <c r="F3" s="2090"/>
      <c r="G3" s="2090"/>
      <c r="H3" s="2090"/>
      <c r="I3" s="2090"/>
      <c r="J3" s="2090"/>
      <c r="K3" s="2090"/>
      <c r="L3" s="2090"/>
    </row>
    <row r="4" spans="1:12" ht="21.75" customHeight="1" thickBot="1" x14ac:dyDescent="0.25">
      <c r="A4" s="2081" t="s">
        <v>97</v>
      </c>
      <c r="B4" s="2081"/>
      <c r="C4" s="2081"/>
      <c r="D4" s="2081"/>
      <c r="E4" s="2081"/>
      <c r="F4" s="2081"/>
      <c r="G4" s="2081"/>
      <c r="H4" s="2081"/>
      <c r="I4" s="1"/>
      <c r="J4" s="1"/>
    </row>
    <row r="5" spans="1:12" ht="12.75" x14ac:dyDescent="0.2">
      <c r="A5" s="2082" t="s">
        <v>0</v>
      </c>
      <c r="B5" s="2082" t="s">
        <v>1</v>
      </c>
      <c r="C5" s="2082" t="s">
        <v>2</v>
      </c>
      <c r="D5" s="2084" t="s">
        <v>3</v>
      </c>
      <c r="E5" s="2086" t="s">
        <v>4</v>
      </c>
      <c r="F5" s="2087"/>
      <c r="G5" s="2088"/>
      <c r="H5" s="2086" t="s">
        <v>5</v>
      </c>
      <c r="I5" s="2087"/>
      <c r="J5" s="2089"/>
      <c r="K5" s="2117" t="s">
        <v>596</v>
      </c>
      <c r="L5" s="2091" t="s">
        <v>92</v>
      </c>
    </row>
    <row r="6" spans="1:12" ht="39" thickBot="1" x14ac:dyDescent="0.25">
      <c r="A6" s="2083"/>
      <c r="B6" s="2083"/>
      <c r="C6" s="2083"/>
      <c r="D6" s="2085"/>
      <c r="E6" s="840" t="s">
        <v>6</v>
      </c>
      <c r="F6" s="6" t="s">
        <v>105</v>
      </c>
      <c r="G6" s="835" t="s">
        <v>91</v>
      </c>
      <c r="H6" s="840" t="s">
        <v>7</v>
      </c>
      <c r="I6" s="6" t="s">
        <v>105</v>
      </c>
      <c r="J6" s="974" t="s">
        <v>91</v>
      </c>
      <c r="K6" s="2118"/>
      <c r="L6" s="2092"/>
    </row>
    <row r="7" spans="1:12" ht="16.5" thickBot="1" x14ac:dyDescent="0.25">
      <c r="A7" s="7" t="s">
        <v>8</v>
      </c>
      <c r="B7" s="8"/>
      <c r="C7" s="8"/>
      <c r="D7" s="948" t="s">
        <v>9</v>
      </c>
      <c r="E7" s="975">
        <f t="shared" ref="E7:I7" si="0">E8</f>
        <v>887241</v>
      </c>
      <c r="F7" s="960">
        <f t="shared" si="0"/>
        <v>887241</v>
      </c>
      <c r="G7" s="1024">
        <f>F7/E7</f>
        <v>1</v>
      </c>
      <c r="H7" s="975">
        <f t="shared" si="0"/>
        <v>887241</v>
      </c>
      <c r="I7" s="960">
        <f t="shared" si="0"/>
        <v>887241</v>
      </c>
      <c r="J7" s="976">
        <f>I7/H7</f>
        <v>1</v>
      </c>
      <c r="K7" s="111">
        <f>K8</f>
        <v>0</v>
      </c>
      <c r="L7" s="111"/>
    </row>
    <row r="8" spans="1:12" ht="15.75" x14ac:dyDescent="0.2">
      <c r="A8" s="10"/>
      <c r="B8" s="11" t="s">
        <v>10</v>
      </c>
      <c r="C8" s="12"/>
      <c r="D8" s="893" t="s">
        <v>11</v>
      </c>
      <c r="E8" s="977">
        <f>E9</f>
        <v>887241</v>
      </c>
      <c r="F8" s="958">
        <f>F9</f>
        <v>887241</v>
      </c>
      <c r="G8" s="1025">
        <f>F8/E8</f>
        <v>1</v>
      </c>
      <c r="H8" s="977">
        <f>H10+H11+H12+H14+H15+H16+H13</f>
        <v>887241</v>
      </c>
      <c r="I8" s="958">
        <f t="shared" ref="I8" si="1">I10+I11+I12+I14+I15+I16+I13</f>
        <v>887241</v>
      </c>
      <c r="J8" s="978">
        <f>I8/H8</f>
        <v>1</v>
      </c>
      <c r="K8" s="958">
        <f>K9</f>
        <v>0</v>
      </c>
      <c r="L8" s="14"/>
    </row>
    <row r="9" spans="1:12" ht="60" x14ac:dyDescent="0.2">
      <c r="A9" s="15"/>
      <c r="B9" s="10"/>
      <c r="C9" s="16">
        <v>2010</v>
      </c>
      <c r="D9" s="52" t="s">
        <v>12</v>
      </c>
      <c r="E9" s="979">
        <v>887241</v>
      </c>
      <c r="F9" s="812">
        <v>887241</v>
      </c>
      <c r="G9" s="1026">
        <f>F9/E9</f>
        <v>1</v>
      </c>
      <c r="H9" s="979"/>
      <c r="I9" s="17"/>
      <c r="J9" s="980"/>
      <c r="K9" s="959"/>
      <c r="L9" s="110"/>
    </row>
    <row r="10" spans="1:12" ht="24" x14ac:dyDescent="0.2">
      <c r="A10" s="15"/>
      <c r="B10" s="15"/>
      <c r="C10" s="16">
        <v>4010</v>
      </c>
      <c r="D10" s="52" t="s">
        <v>13</v>
      </c>
      <c r="E10" s="981"/>
      <c r="F10" s="18"/>
      <c r="G10" s="1027"/>
      <c r="H10" s="1044">
        <v>6919.5</v>
      </c>
      <c r="I10" s="19">
        <v>6919.5</v>
      </c>
      <c r="J10" s="982">
        <f>I10/H10</f>
        <v>1</v>
      </c>
      <c r="K10" s="959"/>
      <c r="L10" s="110"/>
    </row>
    <row r="11" spans="1:12" ht="15.75" x14ac:dyDescent="0.2">
      <c r="A11" s="15"/>
      <c r="B11" s="15"/>
      <c r="C11" s="16">
        <v>4110</v>
      </c>
      <c r="D11" s="52" t="s">
        <v>14</v>
      </c>
      <c r="E11" s="981"/>
      <c r="F11" s="18"/>
      <c r="G11" s="1027"/>
      <c r="H11" s="1044">
        <v>1562.84</v>
      </c>
      <c r="I11" s="19">
        <v>1562.84</v>
      </c>
      <c r="J11" s="982">
        <f t="shared" ref="J11:J16" si="2">I11/H11</f>
        <v>1</v>
      </c>
      <c r="K11" s="959"/>
      <c r="L11" s="110"/>
    </row>
    <row r="12" spans="1:12" ht="15.75" x14ac:dyDescent="0.2">
      <c r="A12" s="15"/>
      <c r="B12" s="15"/>
      <c r="C12" s="16">
        <v>4120</v>
      </c>
      <c r="D12" s="52" t="s">
        <v>15</v>
      </c>
      <c r="E12" s="981"/>
      <c r="F12" s="18"/>
      <c r="G12" s="1027"/>
      <c r="H12" s="1044">
        <v>219.56</v>
      </c>
      <c r="I12" s="19">
        <v>219.56</v>
      </c>
      <c r="J12" s="982">
        <f t="shared" si="2"/>
        <v>1</v>
      </c>
      <c r="K12" s="959"/>
      <c r="L12" s="110"/>
    </row>
    <row r="13" spans="1:12" ht="15.75" x14ac:dyDescent="0.2">
      <c r="A13" s="15"/>
      <c r="B13" s="21"/>
      <c r="C13" s="16">
        <v>4170</v>
      </c>
      <c r="D13" s="52" t="s">
        <v>16</v>
      </c>
      <c r="E13" s="981"/>
      <c r="F13" s="18"/>
      <c r="G13" s="1027"/>
      <c r="H13" s="1044">
        <v>2200</v>
      </c>
      <c r="I13" s="19">
        <v>2200</v>
      </c>
      <c r="J13" s="982">
        <f t="shared" si="2"/>
        <v>1</v>
      </c>
      <c r="K13" s="959"/>
      <c r="L13" s="110"/>
    </row>
    <row r="14" spans="1:12" ht="15.75" x14ac:dyDescent="0.2">
      <c r="A14" s="15"/>
      <c r="B14" s="21"/>
      <c r="C14" s="16">
        <v>4210</v>
      </c>
      <c r="D14" s="52" t="s">
        <v>17</v>
      </c>
      <c r="E14" s="981"/>
      <c r="F14" s="18"/>
      <c r="G14" s="1027"/>
      <c r="H14" s="1044">
        <v>3223.53</v>
      </c>
      <c r="I14" s="19">
        <v>3223.53</v>
      </c>
      <c r="J14" s="982">
        <f t="shared" si="2"/>
        <v>1</v>
      </c>
      <c r="K14" s="959"/>
      <c r="L14" s="110"/>
    </row>
    <row r="15" spans="1:12" ht="15.75" x14ac:dyDescent="0.2">
      <c r="A15" s="15"/>
      <c r="B15" s="21"/>
      <c r="C15" s="16">
        <v>4300</v>
      </c>
      <c r="D15" s="52" t="s">
        <v>18</v>
      </c>
      <c r="E15" s="981"/>
      <c r="F15" s="18"/>
      <c r="G15" s="1027"/>
      <c r="H15" s="1044">
        <v>3271.45</v>
      </c>
      <c r="I15" s="19">
        <v>3271.45</v>
      </c>
      <c r="J15" s="982">
        <f t="shared" si="2"/>
        <v>1</v>
      </c>
      <c r="K15" s="959"/>
      <c r="L15" s="110"/>
    </row>
    <row r="16" spans="1:12" ht="15.75" x14ac:dyDescent="0.2">
      <c r="A16" s="15"/>
      <c r="B16" s="21"/>
      <c r="C16" s="16">
        <v>4430</v>
      </c>
      <c r="D16" s="52" t="s">
        <v>19</v>
      </c>
      <c r="E16" s="979"/>
      <c r="F16" s="812"/>
      <c r="G16" s="1026"/>
      <c r="H16" s="1045">
        <v>869844.12</v>
      </c>
      <c r="I16" s="983">
        <v>869844.12</v>
      </c>
      <c r="J16" s="982">
        <f t="shared" si="2"/>
        <v>1</v>
      </c>
      <c r="K16" s="959"/>
      <c r="L16" s="110"/>
    </row>
    <row r="17" spans="1:13" ht="15.75" x14ac:dyDescent="0.2">
      <c r="A17" s="22">
        <v>750</v>
      </c>
      <c r="B17" s="8"/>
      <c r="C17" s="8"/>
      <c r="D17" s="948" t="s">
        <v>20</v>
      </c>
      <c r="E17" s="975">
        <f t="shared" ref="E17:I17" si="3">E18</f>
        <v>176332</v>
      </c>
      <c r="F17" s="960">
        <f t="shared" si="3"/>
        <v>170530.94</v>
      </c>
      <c r="G17" s="1024">
        <f>F17/E17</f>
        <v>0.96710149037043758</v>
      </c>
      <c r="H17" s="975">
        <f t="shared" si="3"/>
        <v>176332</v>
      </c>
      <c r="I17" s="960">
        <f t="shared" si="3"/>
        <v>170530.93999999997</v>
      </c>
      <c r="J17" s="984">
        <f>I17/H17</f>
        <v>0.96710149037043747</v>
      </c>
      <c r="K17" s="960">
        <f>K18</f>
        <v>5801.06</v>
      </c>
      <c r="L17" s="9"/>
    </row>
    <row r="18" spans="1:13" ht="15.75" x14ac:dyDescent="0.2">
      <c r="A18" s="10"/>
      <c r="B18" s="23">
        <v>75011</v>
      </c>
      <c r="C18" s="12"/>
      <c r="D18" s="893" t="s">
        <v>21</v>
      </c>
      <c r="E18" s="977">
        <f>E19</f>
        <v>176332</v>
      </c>
      <c r="F18" s="958">
        <f>F19</f>
        <v>170530.94</v>
      </c>
      <c r="G18" s="1025">
        <f>F18/E18</f>
        <v>0.96710149037043758</v>
      </c>
      <c r="H18" s="977">
        <f>H21+H22+H23+H24+H26+H25+H20+H27</f>
        <v>176332</v>
      </c>
      <c r="I18" s="958">
        <f>I21+I22+I23+I24+I26+I25+I20+I27</f>
        <v>170530.93999999997</v>
      </c>
      <c r="J18" s="978">
        <f>I18/H18</f>
        <v>0.96710149037043747</v>
      </c>
      <c r="K18" s="958">
        <f>K19</f>
        <v>5801.06</v>
      </c>
      <c r="L18" s="14"/>
    </row>
    <row r="19" spans="1:13" ht="60" x14ac:dyDescent="0.2">
      <c r="A19" s="15"/>
      <c r="B19" s="10"/>
      <c r="C19" s="16">
        <v>2010</v>
      </c>
      <c r="D19" s="52" t="s">
        <v>12</v>
      </c>
      <c r="E19" s="979">
        <v>176332</v>
      </c>
      <c r="F19" s="812">
        <f>176332-5801.06</f>
        <v>170530.94</v>
      </c>
      <c r="G19" s="1026">
        <f>F19/E19</f>
        <v>0.96710149037043758</v>
      </c>
      <c r="H19" s="979"/>
      <c r="I19" s="17"/>
      <c r="J19" s="980"/>
      <c r="K19" s="961">
        <v>5801.06</v>
      </c>
      <c r="L19" s="117" t="s">
        <v>104</v>
      </c>
      <c r="M19" s="1339"/>
    </row>
    <row r="20" spans="1:13" ht="24" x14ac:dyDescent="0.2">
      <c r="A20" s="15"/>
      <c r="B20" s="15"/>
      <c r="C20" s="16">
        <v>3020</v>
      </c>
      <c r="D20" s="52" t="s">
        <v>22</v>
      </c>
      <c r="E20" s="981"/>
      <c r="F20" s="18"/>
      <c r="G20" s="1027"/>
      <c r="H20" s="1046">
        <v>0</v>
      </c>
      <c r="I20" s="20"/>
      <c r="J20" s="982">
        <v>0</v>
      </c>
      <c r="K20" s="959"/>
      <c r="L20" s="110"/>
    </row>
    <row r="21" spans="1:13" ht="24" x14ac:dyDescent="0.2">
      <c r="A21" s="15"/>
      <c r="B21" s="15"/>
      <c r="C21" s="16">
        <v>4010</v>
      </c>
      <c r="D21" s="52" t="s">
        <v>13</v>
      </c>
      <c r="E21" s="981"/>
      <c r="F21" s="18"/>
      <c r="G21" s="1027"/>
      <c r="H21" s="979">
        <v>125711.64</v>
      </c>
      <c r="I21" s="20">
        <v>121870.89</v>
      </c>
      <c r="J21" s="982">
        <f>I21/H21</f>
        <v>0.96944793656339223</v>
      </c>
      <c r="K21" s="959"/>
      <c r="L21" s="110"/>
      <c r="M21" s="1339"/>
    </row>
    <row r="22" spans="1:13" ht="15.75" x14ac:dyDescent="0.2">
      <c r="A22" s="15"/>
      <c r="B22" s="15"/>
      <c r="C22" s="16">
        <v>4040</v>
      </c>
      <c r="D22" s="52" t="s">
        <v>23</v>
      </c>
      <c r="E22" s="981"/>
      <c r="F22" s="18"/>
      <c r="G22" s="1027"/>
      <c r="H22" s="979">
        <v>7663.58</v>
      </c>
      <c r="I22" s="20">
        <v>7663.58</v>
      </c>
      <c r="J22" s="982">
        <f t="shared" ref="J22:J27" si="4">I22/H22</f>
        <v>1</v>
      </c>
      <c r="K22" s="959"/>
      <c r="L22" s="110"/>
      <c r="M22" s="1339"/>
    </row>
    <row r="23" spans="1:13" ht="15.75" x14ac:dyDescent="0.2">
      <c r="A23" s="15"/>
      <c r="B23" s="15"/>
      <c r="C23" s="16">
        <v>4110</v>
      </c>
      <c r="D23" s="52" t="s">
        <v>14</v>
      </c>
      <c r="E23" s="981"/>
      <c r="F23" s="18"/>
      <c r="G23" s="1027"/>
      <c r="H23" s="979">
        <v>22342.42</v>
      </c>
      <c r="I23" s="20">
        <v>21967.09</v>
      </c>
      <c r="J23" s="982">
        <f t="shared" si="4"/>
        <v>0.98320101403518512</v>
      </c>
      <c r="K23" s="959"/>
      <c r="L23" s="110"/>
      <c r="M23" s="1339"/>
    </row>
    <row r="24" spans="1:13" ht="15.75" x14ac:dyDescent="0.2">
      <c r="A24" s="15"/>
      <c r="B24" s="15"/>
      <c r="C24" s="16">
        <v>4120</v>
      </c>
      <c r="D24" s="52" t="s">
        <v>15</v>
      </c>
      <c r="E24" s="981"/>
      <c r="F24" s="18"/>
      <c r="G24" s="1027"/>
      <c r="H24" s="979">
        <v>2608.36</v>
      </c>
      <c r="I24" s="20">
        <v>2608.36</v>
      </c>
      <c r="J24" s="982">
        <f t="shared" si="4"/>
        <v>1</v>
      </c>
      <c r="K24" s="959"/>
      <c r="L24" s="110"/>
      <c r="M24" s="1339"/>
    </row>
    <row r="25" spans="1:13" ht="15.75" x14ac:dyDescent="0.2">
      <c r="A25" s="15"/>
      <c r="B25" s="21"/>
      <c r="C25" s="16">
        <v>4210</v>
      </c>
      <c r="D25" s="52" t="s">
        <v>17</v>
      </c>
      <c r="E25" s="981"/>
      <c r="F25" s="18"/>
      <c r="G25" s="1027"/>
      <c r="H25" s="979">
        <v>12960.6</v>
      </c>
      <c r="I25" s="20">
        <v>11375.62</v>
      </c>
      <c r="J25" s="982">
        <f t="shared" si="4"/>
        <v>0.87770782216872678</v>
      </c>
      <c r="K25" s="959"/>
      <c r="L25" s="110"/>
      <c r="M25" s="1339"/>
    </row>
    <row r="26" spans="1:13" ht="15.75" x14ac:dyDescent="0.2">
      <c r="A26" s="15"/>
      <c r="B26" s="21"/>
      <c r="C26" s="16">
        <v>4300</v>
      </c>
      <c r="D26" s="52" t="s">
        <v>18</v>
      </c>
      <c r="E26" s="981"/>
      <c r="F26" s="18"/>
      <c r="G26" s="1027"/>
      <c r="H26" s="979">
        <v>2548.4</v>
      </c>
      <c r="I26" s="20">
        <v>2548.4</v>
      </c>
      <c r="J26" s="982">
        <f t="shared" si="4"/>
        <v>1</v>
      </c>
      <c r="K26" s="959"/>
      <c r="L26" s="110"/>
      <c r="M26" s="1339"/>
    </row>
    <row r="27" spans="1:13" ht="24" x14ac:dyDescent="0.2">
      <c r="A27" s="15"/>
      <c r="B27" s="21"/>
      <c r="C27" s="16">
        <v>4700</v>
      </c>
      <c r="D27" s="949" t="s">
        <v>25</v>
      </c>
      <c r="E27" s="979"/>
      <c r="F27" s="812"/>
      <c r="G27" s="1026"/>
      <c r="H27" s="979">
        <v>2497</v>
      </c>
      <c r="I27" s="985">
        <v>2497</v>
      </c>
      <c r="J27" s="982">
        <f t="shared" si="4"/>
        <v>1</v>
      </c>
      <c r="K27" s="959"/>
      <c r="L27" s="110"/>
      <c r="M27" s="1339"/>
    </row>
    <row r="28" spans="1:13" ht="15.75" x14ac:dyDescent="0.2">
      <c r="A28" s="24">
        <v>758</v>
      </c>
      <c r="B28" s="25"/>
      <c r="C28" s="26"/>
      <c r="D28" s="950" t="s">
        <v>26</v>
      </c>
      <c r="E28" s="986">
        <f t="shared" ref="E28:F29" si="5">E29</f>
        <v>7961.71</v>
      </c>
      <c r="F28" s="987">
        <f t="shared" si="5"/>
        <v>0</v>
      </c>
      <c r="G28" s="1028">
        <f t="shared" ref="G28:G33" si="6">F28/E28</f>
        <v>0</v>
      </c>
      <c r="H28" s="1047"/>
      <c r="I28" s="962"/>
      <c r="J28" s="988"/>
      <c r="K28" s="962">
        <f>K29</f>
        <v>0</v>
      </c>
      <c r="L28" s="27"/>
    </row>
    <row r="29" spans="1:13" ht="15.75" x14ac:dyDescent="0.2">
      <c r="A29" s="15"/>
      <c r="B29" s="28">
        <v>75814</v>
      </c>
      <c r="C29" s="29"/>
      <c r="D29" s="951" t="s">
        <v>27</v>
      </c>
      <c r="E29" s="989">
        <f t="shared" si="5"/>
        <v>7961.71</v>
      </c>
      <c r="F29" s="990">
        <f t="shared" si="5"/>
        <v>0</v>
      </c>
      <c r="G29" s="1029">
        <f t="shared" si="6"/>
        <v>0</v>
      </c>
      <c r="H29" s="1048"/>
      <c r="I29" s="963"/>
      <c r="J29" s="991"/>
      <c r="K29" s="963">
        <f>K30</f>
        <v>0</v>
      </c>
      <c r="L29" s="30"/>
    </row>
    <row r="30" spans="1:13" ht="60" x14ac:dyDescent="0.2">
      <c r="A30" s="15"/>
      <c r="B30" s="21"/>
      <c r="C30" s="16">
        <v>2010</v>
      </c>
      <c r="D30" s="52" t="s">
        <v>12</v>
      </c>
      <c r="E30" s="979">
        <v>7961.71</v>
      </c>
      <c r="F30" s="812">
        <v>0</v>
      </c>
      <c r="G30" s="1026">
        <f t="shared" si="6"/>
        <v>0</v>
      </c>
      <c r="H30" s="979"/>
      <c r="I30" s="992"/>
      <c r="J30" s="993"/>
      <c r="K30" s="959"/>
      <c r="L30" s="110"/>
    </row>
    <row r="31" spans="1:13" ht="38.25" x14ac:dyDescent="0.2">
      <c r="A31" s="22">
        <v>751</v>
      </c>
      <c r="B31" s="8"/>
      <c r="C31" s="8"/>
      <c r="D31" s="948" t="s">
        <v>28</v>
      </c>
      <c r="E31" s="975">
        <f>E32+E37</f>
        <v>161070</v>
      </c>
      <c r="F31" s="960">
        <f t="shared" ref="F31:K31" si="7">F32+F37</f>
        <v>154700.76</v>
      </c>
      <c r="G31" s="1024">
        <f t="shared" si="6"/>
        <v>0.96045669584652638</v>
      </c>
      <c r="H31" s="975">
        <f t="shared" si="7"/>
        <v>161070.00000000003</v>
      </c>
      <c r="I31" s="960">
        <f t="shared" si="7"/>
        <v>154700.76</v>
      </c>
      <c r="J31" s="984">
        <f>I31/H31</f>
        <v>0.96045669584652626</v>
      </c>
      <c r="K31" s="960">
        <f t="shared" si="7"/>
        <v>6369.24</v>
      </c>
      <c r="L31" s="9"/>
    </row>
    <row r="32" spans="1:13" ht="38.25" x14ac:dyDescent="0.2">
      <c r="A32" s="10"/>
      <c r="B32" s="23">
        <v>75101</v>
      </c>
      <c r="C32" s="12"/>
      <c r="D32" s="952" t="s">
        <v>28</v>
      </c>
      <c r="E32" s="977">
        <f>E33</f>
        <v>3500</v>
      </c>
      <c r="F32" s="958">
        <f>F33</f>
        <v>3500</v>
      </c>
      <c r="G32" s="1025">
        <f t="shared" si="6"/>
        <v>1</v>
      </c>
      <c r="H32" s="977">
        <f>H34+H35+H36</f>
        <v>3500</v>
      </c>
      <c r="I32" s="958">
        <f>I34+I35+I36</f>
        <v>3500</v>
      </c>
      <c r="J32" s="978">
        <f>I32/H32</f>
        <v>1</v>
      </c>
      <c r="K32" s="958">
        <f>K33</f>
        <v>0</v>
      </c>
      <c r="L32" s="14"/>
    </row>
    <row r="33" spans="1:12" ht="60" x14ac:dyDescent="0.2">
      <c r="A33" s="15"/>
      <c r="B33" s="10"/>
      <c r="C33" s="16">
        <v>2010</v>
      </c>
      <c r="D33" s="52" t="s">
        <v>12</v>
      </c>
      <c r="E33" s="994">
        <v>3500</v>
      </c>
      <c r="F33" s="995">
        <v>3500</v>
      </c>
      <c r="G33" s="1030">
        <f t="shared" si="6"/>
        <v>1</v>
      </c>
      <c r="H33" s="1049"/>
      <c r="I33" s="17"/>
      <c r="J33" s="980"/>
      <c r="K33" s="959"/>
      <c r="L33" s="110"/>
    </row>
    <row r="34" spans="1:12" ht="24" x14ac:dyDescent="0.2">
      <c r="A34" s="15"/>
      <c r="B34" s="15"/>
      <c r="C34" s="16">
        <v>4010</v>
      </c>
      <c r="D34" s="52" t="s">
        <v>13</v>
      </c>
      <c r="E34" s="981"/>
      <c r="F34" s="18"/>
      <c r="G34" s="1027"/>
      <c r="H34" s="1046">
        <v>2955.23</v>
      </c>
      <c r="I34" s="20">
        <v>2955.23</v>
      </c>
      <c r="J34" s="982">
        <f>I34/H34</f>
        <v>1</v>
      </c>
      <c r="K34" s="959"/>
      <c r="L34" s="110"/>
    </row>
    <row r="35" spans="1:12" ht="15.75" x14ac:dyDescent="0.2">
      <c r="A35" s="15"/>
      <c r="B35" s="15"/>
      <c r="C35" s="16">
        <v>4110</v>
      </c>
      <c r="D35" s="52" t="s">
        <v>14</v>
      </c>
      <c r="E35" s="981"/>
      <c r="F35" s="18"/>
      <c r="G35" s="1027"/>
      <c r="H35" s="1046">
        <v>508</v>
      </c>
      <c r="I35" s="20">
        <v>508</v>
      </c>
      <c r="J35" s="982">
        <f t="shared" ref="J35:J36" si="8">I35/H35</f>
        <v>1</v>
      </c>
      <c r="K35" s="959"/>
      <c r="L35" s="110"/>
    </row>
    <row r="36" spans="1:12" ht="15.75" x14ac:dyDescent="0.2">
      <c r="A36" s="15"/>
      <c r="B36" s="15"/>
      <c r="C36" s="31">
        <v>4120</v>
      </c>
      <c r="D36" s="54" t="s">
        <v>15</v>
      </c>
      <c r="E36" s="981"/>
      <c r="F36" s="18"/>
      <c r="G36" s="1027"/>
      <c r="H36" s="1050">
        <v>36.770000000000003</v>
      </c>
      <c r="I36" s="32">
        <v>36.770000000000003</v>
      </c>
      <c r="J36" s="982">
        <f t="shared" si="8"/>
        <v>1</v>
      </c>
      <c r="K36" s="959"/>
      <c r="L36" s="110"/>
    </row>
    <row r="37" spans="1:12" ht="63.75" x14ac:dyDescent="0.2">
      <c r="A37" s="15"/>
      <c r="B37" s="33">
        <v>75109</v>
      </c>
      <c r="C37" s="34"/>
      <c r="D37" s="953" t="s">
        <v>29</v>
      </c>
      <c r="E37" s="996">
        <f>E38</f>
        <v>157570</v>
      </c>
      <c r="F37" s="35">
        <f>F38</f>
        <v>151200.76</v>
      </c>
      <c r="G37" s="1031">
        <f>F37/E37</f>
        <v>0.95957834613187798</v>
      </c>
      <c r="H37" s="996">
        <f>H42+H39+H40+H41+H43+H44+H45+H46</f>
        <v>157570.00000000003</v>
      </c>
      <c r="I37" s="35">
        <f t="shared" ref="I37" si="9">I42+I39+I40+I41+I43+I44+I45+I46</f>
        <v>151200.76</v>
      </c>
      <c r="J37" s="997">
        <f>I37/H37</f>
        <v>0.95957834613187776</v>
      </c>
      <c r="K37" s="35">
        <f>K38</f>
        <v>6369.24</v>
      </c>
      <c r="L37" s="35"/>
    </row>
    <row r="38" spans="1:12" ht="60" x14ac:dyDescent="0.2">
      <c r="A38" s="15"/>
      <c r="B38" s="10"/>
      <c r="C38" s="16">
        <v>2010</v>
      </c>
      <c r="D38" s="52" t="s">
        <v>12</v>
      </c>
      <c r="E38" s="994">
        <v>157570</v>
      </c>
      <c r="F38" s="995">
        <v>151200.76</v>
      </c>
      <c r="G38" s="1030">
        <f>F38/E38</f>
        <v>0.95957834613187798</v>
      </c>
      <c r="H38" s="1049"/>
      <c r="I38" s="17"/>
      <c r="J38" s="980"/>
      <c r="K38" s="961">
        <v>6369.24</v>
      </c>
      <c r="L38" s="124" t="s">
        <v>101</v>
      </c>
    </row>
    <row r="39" spans="1:12" ht="24" x14ac:dyDescent="0.2">
      <c r="A39" s="15"/>
      <c r="B39" s="15"/>
      <c r="C39" s="16">
        <v>3030</v>
      </c>
      <c r="D39" s="52" t="s">
        <v>30</v>
      </c>
      <c r="E39" s="998"/>
      <c r="F39" s="36"/>
      <c r="G39" s="1032"/>
      <c r="H39" s="1051">
        <v>89615.99</v>
      </c>
      <c r="I39" s="20">
        <v>88115.99</v>
      </c>
      <c r="J39" s="982">
        <f>I39/H39</f>
        <v>0.98326191564697329</v>
      </c>
      <c r="K39" s="959"/>
      <c r="L39" s="110"/>
    </row>
    <row r="40" spans="1:12" ht="15.75" x14ac:dyDescent="0.2">
      <c r="A40" s="15"/>
      <c r="B40" s="15"/>
      <c r="C40" s="16">
        <v>4110</v>
      </c>
      <c r="D40" s="52" t="s">
        <v>14</v>
      </c>
      <c r="E40" s="998"/>
      <c r="F40" s="36"/>
      <c r="G40" s="1032"/>
      <c r="H40" s="1051">
        <v>2562.5</v>
      </c>
      <c r="I40" s="20">
        <v>2519.73</v>
      </c>
      <c r="J40" s="982">
        <f t="shared" ref="J40:J46" si="10">I40/H40</f>
        <v>0.98330926829268295</v>
      </c>
      <c r="K40" s="959"/>
      <c r="L40" s="110"/>
    </row>
    <row r="41" spans="1:12" ht="15.75" x14ac:dyDescent="0.2">
      <c r="A41" s="15"/>
      <c r="B41" s="15"/>
      <c r="C41" s="16">
        <v>4120</v>
      </c>
      <c r="D41" s="949" t="s">
        <v>15</v>
      </c>
      <c r="E41" s="998"/>
      <c r="F41" s="36"/>
      <c r="G41" s="1032"/>
      <c r="H41" s="1051">
        <v>281.75</v>
      </c>
      <c r="I41" s="20">
        <v>257.58</v>
      </c>
      <c r="J41" s="982">
        <f t="shared" si="10"/>
        <v>0.91421472937000881</v>
      </c>
      <c r="K41" s="959"/>
      <c r="L41" s="110"/>
    </row>
    <row r="42" spans="1:12" ht="15.75" x14ac:dyDescent="0.2">
      <c r="A42" s="15"/>
      <c r="B42" s="15"/>
      <c r="C42" s="16">
        <v>4170</v>
      </c>
      <c r="D42" s="52" t="s">
        <v>31</v>
      </c>
      <c r="E42" s="981"/>
      <c r="F42" s="18"/>
      <c r="G42" s="1027"/>
      <c r="H42" s="1046">
        <v>34747</v>
      </c>
      <c r="I42" s="20">
        <v>29976.74</v>
      </c>
      <c r="J42" s="982">
        <f t="shared" si="10"/>
        <v>0.86271447894782283</v>
      </c>
      <c r="K42" s="959"/>
      <c r="L42" s="110"/>
    </row>
    <row r="43" spans="1:12" ht="15.75" x14ac:dyDescent="0.2">
      <c r="A43" s="15"/>
      <c r="B43" s="15"/>
      <c r="C43" s="16">
        <v>4210</v>
      </c>
      <c r="D43" s="52" t="s">
        <v>17</v>
      </c>
      <c r="E43" s="981"/>
      <c r="F43" s="18"/>
      <c r="G43" s="1027"/>
      <c r="H43" s="1051">
        <v>20808.47</v>
      </c>
      <c r="I43" s="20">
        <v>20776.43</v>
      </c>
      <c r="J43" s="982">
        <f t="shared" si="10"/>
        <v>0.99846024239167985</v>
      </c>
      <c r="K43" s="959"/>
      <c r="L43" s="110"/>
    </row>
    <row r="44" spans="1:12" ht="15.75" x14ac:dyDescent="0.2">
      <c r="A44" s="15"/>
      <c r="B44" s="15"/>
      <c r="C44" s="16">
        <v>4260</v>
      </c>
      <c r="D44" s="52" t="s">
        <v>32</v>
      </c>
      <c r="E44" s="981"/>
      <c r="F44" s="18"/>
      <c r="G44" s="1027"/>
      <c r="H44" s="1051">
        <v>76.540000000000006</v>
      </c>
      <c r="I44" s="20">
        <v>76.540000000000006</v>
      </c>
      <c r="J44" s="982">
        <f t="shared" si="10"/>
        <v>1</v>
      </c>
      <c r="K44" s="959"/>
      <c r="L44" s="110"/>
    </row>
    <row r="45" spans="1:12" ht="15.75" x14ac:dyDescent="0.2">
      <c r="A45" s="15"/>
      <c r="B45" s="15"/>
      <c r="C45" s="16">
        <v>4300</v>
      </c>
      <c r="D45" s="52" t="s">
        <v>18</v>
      </c>
      <c r="E45" s="981"/>
      <c r="F45" s="18"/>
      <c r="G45" s="1027"/>
      <c r="H45" s="1051">
        <v>8495.5300000000007</v>
      </c>
      <c r="I45" s="20">
        <v>8495.5300000000007</v>
      </c>
      <c r="J45" s="982">
        <f t="shared" si="10"/>
        <v>1</v>
      </c>
      <c r="K45" s="959"/>
      <c r="L45" s="110"/>
    </row>
    <row r="46" spans="1:12" ht="15.75" x14ac:dyDescent="0.2">
      <c r="A46" s="15"/>
      <c r="B46" s="15"/>
      <c r="C46" s="16">
        <v>4410</v>
      </c>
      <c r="D46" s="52" t="s">
        <v>24</v>
      </c>
      <c r="E46" s="981"/>
      <c r="F46" s="18"/>
      <c r="G46" s="1027"/>
      <c r="H46" s="1051">
        <v>982.22</v>
      </c>
      <c r="I46" s="20">
        <v>982.22</v>
      </c>
      <c r="J46" s="982">
        <f t="shared" si="10"/>
        <v>1</v>
      </c>
      <c r="K46" s="959"/>
      <c r="L46" s="110"/>
    </row>
    <row r="47" spans="1:12" ht="12.75" x14ac:dyDescent="0.2">
      <c r="A47" s="24">
        <v>801</v>
      </c>
      <c r="B47" s="24"/>
      <c r="C47" s="24"/>
      <c r="D47" s="954" t="s">
        <v>33</v>
      </c>
      <c r="E47" s="999">
        <f t="shared" ref="E47:K47" si="11">E48</f>
        <v>209834.49</v>
      </c>
      <c r="F47" s="37">
        <f t="shared" si="11"/>
        <v>206948.81</v>
      </c>
      <c r="G47" s="1033">
        <f>F47/E47</f>
        <v>0.98624782799052724</v>
      </c>
      <c r="H47" s="1052">
        <f t="shared" si="11"/>
        <v>209834.49000000002</v>
      </c>
      <c r="I47" s="38">
        <f t="shared" si="11"/>
        <v>206948.81000000003</v>
      </c>
      <c r="J47" s="1000">
        <f>I47/H47</f>
        <v>0.98624782799052724</v>
      </c>
      <c r="K47" s="964">
        <f t="shared" si="11"/>
        <v>2885.68</v>
      </c>
      <c r="L47" s="38"/>
    </row>
    <row r="48" spans="1:12" ht="63.75" x14ac:dyDescent="0.2">
      <c r="A48" s="15"/>
      <c r="B48" s="33">
        <v>80153</v>
      </c>
      <c r="C48" s="23"/>
      <c r="D48" s="893" t="s">
        <v>34</v>
      </c>
      <c r="E48" s="977">
        <f>E49</f>
        <v>209834.49</v>
      </c>
      <c r="F48" s="958">
        <f>F49</f>
        <v>206948.81</v>
      </c>
      <c r="G48" s="1025">
        <f>F48/E48</f>
        <v>0.98624782799052724</v>
      </c>
      <c r="H48" s="977">
        <f>H50+H52+H51</f>
        <v>209834.49000000002</v>
      </c>
      <c r="I48" s="958">
        <f>I50+I52+I51</f>
        <v>206948.81000000003</v>
      </c>
      <c r="J48" s="978">
        <f>I48/H48</f>
        <v>0.98624782799052724</v>
      </c>
      <c r="K48" s="958">
        <f>K49</f>
        <v>2885.68</v>
      </c>
      <c r="L48" s="14"/>
    </row>
    <row r="49" spans="1:12" ht="60" x14ac:dyDescent="0.2">
      <c r="A49" s="15"/>
      <c r="B49" s="21"/>
      <c r="C49" s="16">
        <v>2010</v>
      </c>
      <c r="D49" s="52" t="s">
        <v>12</v>
      </c>
      <c r="E49" s="979">
        <v>209834.49</v>
      </c>
      <c r="F49" s="812">
        <v>206948.81</v>
      </c>
      <c r="G49" s="1026">
        <f>F49/E49</f>
        <v>0.98624782799052724</v>
      </c>
      <c r="H49" s="1046"/>
      <c r="I49" s="985"/>
      <c r="J49" s="1001"/>
      <c r="K49" s="961">
        <f>2886.18-0.5</f>
        <v>2885.68</v>
      </c>
      <c r="L49" s="118" t="s">
        <v>98</v>
      </c>
    </row>
    <row r="50" spans="1:12" ht="48" x14ac:dyDescent="0.2">
      <c r="A50" s="15"/>
      <c r="B50" s="21"/>
      <c r="C50" s="16">
        <v>2820</v>
      </c>
      <c r="D50" s="52" t="s">
        <v>35</v>
      </c>
      <c r="E50" s="981"/>
      <c r="F50" s="18"/>
      <c r="G50" s="1027"/>
      <c r="H50" s="1053">
        <v>7672.5</v>
      </c>
      <c r="I50" s="985">
        <v>7184.7</v>
      </c>
      <c r="J50" s="1001">
        <f>I50/H50</f>
        <v>0.93642228739002931</v>
      </c>
      <c r="K50" s="959"/>
      <c r="L50" s="110"/>
    </row>
    <row r="51" spans="1:12" ht="15.75" x14ac:dyDescent="0.2">
      <c r="A51" s="15"/>
      <c r="B51" s="21"/>
      <c r="C51" s="16">
        <v>4210</v>
      </c>
      <c r="D51" s="52" t="s">
        <v>17</v>
      </c>
      <c r="E51" s="979"/>
      <c r="F51" s="812"/>
      <c r="G51" s="1026"/>
      <c r="H51" s="1053">
        <v>2077.54</v>
      </c>
      <c r="I51" s="985">
        <v>2077.54</v>
      </c>
      <c r="J51" s="1001">
        <f>I51/H51</f>
        <v>1</v>
      </c>
      <c r="K51" s="959"/>
      <c r="L51" s="110"/>
    </row>
    <row r="52" spans="1:12" ht="24" x14ac:dyDescent="0.2">
      <c r="A52" s="15"/>
      <c r="B52" s="21"/>
      <c r="C52" s="16">
        <v>4240</v>
      </c>
      <c r="D52" s="52" t="s">
        <v>36</v>
      </c>
      <c r="E52" s="981"/>
      <c r="F52" s="18"/>
      <c r="G52" s="1027"/>
      <c r="H52" s="1053">
        <v>200084.45</v>
      </c>
      <c r="I52" s="985">
        <v>197686.57</v>
      </c>
      <c r="J52" s="1001">
        <f>I52/H52</f>
        <v>0.98801566038740141</v>
      </c>
      <c r="K52" s="959"/>
      <c r="L52" s="110"/>
    </row>
    <row r="53" spans="1:12" ht="15.75" x14ac:dyDescent="0.2">
      <c r="A53" s="22">
        <v>852</v>
      </c>
      <c r="B53" s="8"/>
      <c r="C53" s="39"/>
      <c r="D53" s="948" t="s">
        <v>37</v>
      </c>
      <c r="E53" s="975">
        <f>E69+E76+E72+E54</f>
        <v>1708023</v>
      </c>
      <c r="F53" s="960">
        <f>F69+F76+F72+F54</f>
        <v>1645210.53</v>
      </c>
      <c r="G53" s="1024">
        <f>F53/E53</f>
        <v>0.96322504439343026</v>
      </c>
      <c r="H53" s="975">
        <f>H69+H76+H72+H54</f>
        <v>1708023</v>
      </c>
      <c r="I53" s="960">
        <f>I69+I76+I72+I54</f>
        <v>1645210.5299999998</v>
      </c>
      <c r="J53" s="984">
        <f>I53/H53</f>
        <v>0.96322504439343015</v>
      </c>
      <c r="K53" s="960">
        <f>K69+K76+K72+K54</f>
        <v>19803.669999999998</v>
      </c>
      <c r="L53" s="9"/>
    </row>
    <row r="54" spans="1:12" ht="15.75" x14ac:dyDescent="0.2">
      <c r="A54" s="15"/>
      <c r="B54" s="33">
        <v>85203</v>
      </c>
      <c r="C54" s="23"/>
      <c r="D54" s="893" t="s">
        <v>38</v>
      </c>
      <c r="E54" s="977">
        <f>E55+E56</f>
        <v>1207840</v>
      </c>
      <c r="F54" s="958">
        <f>F55+F56</f>
        <v>1160199.5900000001</v>
      </c>
      <c r="G54" s="1025">
        <f>F54/E54</f>
        <v>0.96055735031129963</v>
      </c>
      <c r="H54" s="977">
        <f>H61+H68+H57+H58+H59+H60+H63+H65+H64+H66+H62+H67</f>
        <v>1207840</v>
      </c>
      <c r="I54" s="958">
        <f>I61+I68+I57+I58+I59+I60+I63+I65+I64+I66+I62+I67</f>
        <v>1160199.5899999999</v>
      </c>
      <c r="J54" s="978">
        <f>I54/H54</f>
        <v>0.96055735031129941</v>
      </c>
      <c r="K54" s="958">
        <f>K55+K56</f>
        <v>11131.61</v>
      </c>
      <c r="L54" s="14"/>
    </row>
    <row r="55" spans="1:12" ht="60" x14ac:dyDescent="0.2">
      <c r="A55" s="15"/>
      <c r="B55" s="15"/>
      <c r="C55" s="16">
        <v>2010</v>
      </c>
      <c r="D55" s="52" t="s">
        <v>12</v>
      </c>
      <c r="E55" s="979">
        <v>194830</v>
      </c>
      <c r="F55" s="812">
        <v>147354.34</v>
      </c>
      <c r="G55" s="1026">
        <f>F55/E55</f>
        <v>0.7563226402504748</v>
      </c>
      <c r="H55" s="979"/>
      <c r="I55" s="40"/>
      <c r="J55" s="1002"/>
      <c r="K55" s="961">
        <f>262.27+10704.59</f>
        <v>10966.86</v>
      </c>
      <c r="L55" s="118" t="s">
        <v>99</v>
      </c>
    </row>
    <row r="56" spans="1:12" ht="60" x14ac:dyDescent="0.2">
      <c r="A56" s="15"/>
      <c r="B56" s="15"/>
      <c r="C56" s="16">
        <v>6310</v>
      </c>
      <c r="D56" s="52" t="s">
        <v>39</v>
      </c>
      <c r="E56" s="1003">
        <v>1013010</v>
      </c>
      <c r="F56" s="42">
        <v>1012845.25</v>
      </c>
      <c r="G56" s="1034">
        <f>F56/E56</f>
        <v>0.99983736587003091</v>
      </c>
      <c r="H56" s="979"/>
      <c r="I56" s="40"/>
      <c r="J56" s="1002"/>
      <c r="K56" s="961">
        <v>164.75</v>
      </c>
      <c r="L56" s="118" t="s">
        <v>99</v>
      </c>
    </row>
    <row r="57" spans="1:12" ht="24" x14ac:dyDescent="0.2">
      <c r="A57" s="15"/>
      <c r="B57" s="15"/>
      <c r="C57" s="16">
        <v>4010</v>
      </c>
      <c r="D57" s="52" t="s">
        <v>13</v>
      </c>
      <c r="E57" s="981"/>
      <c r="F57" s="18"/>
      <c r="G57" s="1027"/>
      <c r="H57" s="1051">
        <v>20300</v>
      </c>
      <c r="I57" s="20">
        <v>9539.9</v>
      </c>
      <c r="J57" s="982">
        <f>I57/H57</f>
        <v>0.46994581280788178</v>
      </c>
      <c r="K57" s="959"/>
      <c r="L57" s="110"/>
    </row>
    <row r="58" spans="1:12" ht="15.75" x14ac:dyDescent="0.2">
      <c r="A58" s="15"/>
      <c r="B58" s="15"/>
      <c r="C58" s="16">
        <v>4110</v>
      </c>
      <c r="D58" s="52" t="s">
        <v>14</v>
      </c>
      <c r="E58" s="981"/>
      <c r="F58" s="18"/>
      <c r="G58" s="1027"/>
      <c r="H58" s="1051">
        <v>3471</v>
      </c>
      <c r="I58" s="20">
        <v>1665.67</v>
      </c>
      <c r="J58" s="982">
        <f t="shared" ref="J58:J68" si="12">I58/H58</f>
        <v>0.47988187842120428</v>
      </c>
      <c r="K58" s="959"/>
      <c r="L58" s="110"/>
    </row>
    <row r="59" spans="1:12" ht="15.75" x14ac:dyDescent="0.2">
      <c r="A59" s="15"/>
      <c r="B59" s="15"/>
      <c r="C59" s="16">
        <v>4120</v>
      </c>
      <c r="D59" s="875" t="s">
        <v>15</v>
      </c>
      <c r="E59" s="981"/>
      <c r="F59" s="18"/>
      <c r="G59" s="1027"/>
      <c r="H59" s="1051">
        <v>367.5</v>
      </c>
      <c r="I59" s="20">
        <v>146.94999999999999</v>
      </c>
      <c r="J59" s="982">
        <f t="shared" si="12"/>
        <v>0.39986394557823124</v>
      </c>
      <c r="K59" s="959"/>
      <c r="L59" s="110"/>
    </row>
    <row r="60" spans="1:12" ht="15.75" x14ac:dyDescent="0.2">
      <c r="A60" s="15"/>
      <c r="B60" s="15"/>
      <c r="C60" s="16">
        <v>4170</v>
      </c>
      <c r="D60" s="52" t="s">
        <v>31</v>
      </c>
      <c r="E60" s="981"/>
      <c r="F60" s="18"/>
      <c r="G60" s="1027"/>
      <c r="H60" s="1051">
        <v>2500</v>
      </c>
      <c r="I60" s="20">
        <v>0</v>
      </c>
      <c r="J60" s="982">
        <f t="shared" si="12"/>
        <v>0</v>
      </c>
      <c r="K60" s="959"/>
      <c r="L60" s="110"/>
    </row>
    <row r="61" spans="1:12" ht="15.75" x14ac:dyDescent="0.2">
      <c r="A61" s="15"/>
      <c r="B61" s="15"/>
      <c r="C61" s="16">
        <v>4210</v>
      </c>
      <c r="D61" s="52" t="s">
        <v>17</v>
      </c>
      <c r="E61" s="981"/>
      <c r="F61" s="18"/>
      <c r="G61" s="1027"/>
      <c r="H61" s="1046">
        <v>140101</v>
      </c>
      <c r="I61" s="20">
        <v>129364.96</v>
      </c>
      <c r="J61" s="982">
        <f t="shared" si="12"/>
        <v>0.92336928358826853</v>
      </c>
      <c r="K61" s="959"/>
      <c r="L61" s="110"/>
    </row>
    <row r="62" spans="1:12" ht="15.75" x14ac:dyDescent="0.2">
      <c r="A62" s="15"/>
      <c r="B62" s="15"/>
      <c r="C62" s="16">
        <v>4220</v>
      </c>
      <c r="D62" s="52" t="s">
        <v>40</v>
      </c>
      <c r="E62" s="981"/>
      <c r="F62" s="18"/>
      <c r="G62" s="1027"/>
      <c r="H62" s="1046">
        <v>2000</v>
      </c>
      <c r="I62" s="20">
        <v>558.76</v>
      </c>
      <c r="J62" s="982">
        <f t="shared" si="12"/>
        <v>0.27938000000000002</v>
      </c>
      <c r="K62" s="959"/>
      <c r="L62" s="110"/>
    </row>
    <row r="63" spans="1:12" ht="15.75" x14ac:dyDescent="0.2">
      <c r="A63" s="15"/>
      <c r="B63" s="15"/>
      <c r="C63" s="16">
        <v>4260</v>
      </c>
      <c r="D63" s="52" t="s">
        <v>41</v>
      </c>
      <c r="E63" s="981"/>
      <c r="F63" s="18"/>
      <c r="G63" s="1027"/>
      <c r="H63" s="1051">
        <v>1000</v>
      </c>
      <c r="I63" s="20">
        <v>0</v>
      </c>
      <c r="J63" s="982">
        <f t="shared" si="12"/>
        <v>0</v>
      </c>
      <c r="K63" s="959"/>
      <c r="L63" s="110"/>
    </row>
    <row r="64" spans="1:12" ht="15.75" x14ac:dyDescent="0.2">
      <c r="A64" s="15"/>
      <c r="B64" s="15"/>
      <c r="C64" s="16">
        <v>4280</v>
      </c>
      <c r="D64" s="52" t="s">
        <v>42</v>
      </c>
      <c r="E64" s="981"/>
      <c r="F64" s="18"/>
      <c r="G64" s="1027"/>
      <c r="H64" s="1053">
        <v>702</v>
      </c>
      <c r="I64" s="20">
        <v>240</v>
      </c>
      <c r="J64" s="982">
        <f t="shared" si="12"/>
        <v>0.34188034188034189</v>
      </c>
      <c r="K64" s="959"/>
      <c r="L64" s="110"/>
    </row>
    <row r="65" spans="1:12" ht="15.75" x14ac:dyDescent="0.2">
      <c r="A65" s="15"/>
      <c r="B65" s="15"/>
      <c r="C65" s="16">
        <v>4300</v>
      </c>
      <c r="D65" s="52" t="s">
        <v>18</v>
      </c>
      <c r="E65" s="981"/>
      <c r="F65" s="18"/>
      <c r="G65" s="1027"/>
      <c r="H65" s="1046">
        <v>20162.5</v>
      </c>
      <c r="I65" s="20">
        <v>5612.82</v>
      </c>
      <c r="J65" s="982">
        <f t="shared" si="12"/>
        <v>0.27837916924984502</v>
      </c>
      <c r="K65" s="959"/>
      <c r="L65" s="110"/>
    </row>
    <row r="66" spans="1:12" ht="36" x14ac:dyDescent="0.2">
      <c r="A66" s="15"/>
      <c r="B66" s="15"/>
      <c r="C66" s="16">
        <v>4360</v>
      </c>
      <c r="D66" s="52" t="s">
        <v>43</v>
      </c>
      <c r="E66" s="981"/>
      <c r="F66" s="18"/>
      <c r="G66" s="1027"/>
      <c r="H66" s="1046">
        <v>100</v>
      </c>
      <c r="I66" s="20">
        <v>0</v>
      </c>
      <c r="J66" s="982">
        <f t="shared" si="12"/>
        <v>0</v>
      </c>
      <c r="K66" s="959"/>
      <c r="L66" s="110"/>
    </row>
    <row r="67" spans="1:12" ht="24" x14ac:dyDescent="0.2">
      <c r="A67" s="15"/>
      <c r="B67" s="15"/>
      <c r="C67" s="16">
        <v>4440</v>
      </c>
      <c r="D67" s="52" t="s">
        <v>44</v>
      </c>
      <c r="E67" s="981"/>
      <c r="F67" s="18"/>
      <c r="G67" s="1027"/>
      <c r="H67" s="1046">
        <v>4126</v>
      </c>
      <c r="I67" s="20">
        <v>225.28</v>
      </c>
      <c r="J67" s="982">
        <f t="shared" si="12"/>
        <v>5.4600096946194859E-2</v>
      </c>
      <c r="K67" s="959"/>
      <c r="L67" s="110"/>
    </row>
    <row r="68" spans="1:12" ht="24" x14ac:dyDescent="0.2">
      <c r="A68" s="15"/>
      <c r="B68" s="43"/>
      <c r="C68" s="16">
        <v>6050</v>
      </c>
      <c r="D68" s="52" t="s">
        <v>45</v>
      </c>
      <c r="E68" s="979"/>
      <c r="F68" s="812"/>
      <c r="G68" s="1026"/>
      <c r="H68" s="1046">
        <v>1013010</v>
      </c>
      <c r="I68" s="20">
        <v>1012845.25</v>
      </c>
      <c r="J68" s="982">
        <f t="shared" si="12"/>
        <v>0.99983736587003091</v>
      </c>
      <c r="K68" s="959"/>
      <c r="L68" s="110"/>
    </row>
    <row r="69" spans="1:12" ht="89.25" x14ac:dyDescent="0.2">
      <c r="A69" s="15"/>
      <c r="B69" s="33">
        <v>85213</v>
      </c>
      <c r="C69" s="44"/>
      <c r="D69" s="955" t="s">
        <v>46</v>
      </c>
      <c r="E69" s="1004">
        <f>E70</f>
        <v>64683</v>
      </c>
      <c r="F69" s="45">
        <f>F70</f>
        <v>63244.17</v>
      </c>
      <c r="G69" s="1035">
        <f>F69/E69</f>
        <v>0.97775566995964935</v>
      </c>
      <c r="H69" s="1004">
        <f>H71</f>
        <v>64683</v>
      </c>
      <c r="I69" s="45">
        <f>I71</f>
        <v>63244.17</v>
      </c>
      <c r="J69" s="1005">
        <f>I69/H69</f>
        <v>0.97775566995964935</v>
      </c>
      <c r="K69" s="965">
        <f>K70</f>
        <v>1438.83</v>
      </c>
      <c r="L69" s="45"/>
    </row>
    <row r="70" spans="1:12" ht="60" x14ac:dyDescent="0.2">
      <c r="A70" s="15"/>
      <c r="B70" s="2095"/>
      <c r="C70" s="16">
        <v>2010</v>
      </c>
      <c r="D70" s="52" t="s">
        <v>12</v>
      </c>
      <c r="E70" s="979">
        <v>64683</v>
      </c>
      <c r="F70" s="812">
        <v>63244.17</v>
      </c>
      <c r="G70" s="1026">
        <f>F70/E70</f>
        <v>0.97775566995964935</v>
      </c>
      <c r="H70" s="979"/>
      <c r="I70" s="17"/>
      <c r="J70" s="980"/>
      <c r="K70" s="966">
        <v>1438.83</v>
      </c>
      <c r="L70" s="117" t="s">
        <v>99</v>
      </c>
    </row>
    <row r="71" spans="1:12" ht="15.75" x14ac:dyDescent="0.2">
      <c r="A71" s="15"/>
      <c r="B71" s="2096"/>
      <c r="C71" s="16">
        <v>4130</v>
      </c>
      <c r="D71" s="949" t="s">
        <v>47</v>
      </c>
      <c r="E71" s="979"/>
      <c r="F71" s="812"/>
      <c r="G71" s="1026"/>
      <c r="H71" s="860">
        <v>64683</v>
      </c>
      <c r="I71" s="46">
        <v>63244.17</v>
      </c>
      <c r="J71" s="1006">
        <f>I71/H71</f>
        <v>0.97775566995964935</v>
      </c>
      <c r="K71" s="967"/>
      <c r="L71" s="117"/>
    </row>
    <row r="72" spans="1:12" ht="15.75" x14ac:dyDescent="0.2">
      <c r="A72" s="15"/>
      <c r="B72" s="33">
        <v>85215</v>
      </c>
      <c r="C72" s="34"/>
      <c r="D72" s="874" t="s">
        <v>48</v>
      </c>
      <c r="E72" s="996">
        <f>E73</f>
        <v>18500</v>
      </c>
      <c r="F72" s="35">
        <f>F73</f>
        <v>11621.77</v>
      </c>
      <c r="G72" s="1031">
        <f>F72/E72</f>
        <v>0.62820378378378383</v>
      </c>
      <c r="H72" s="996">
        <f>H74+H75</f>
        <v>18500</v>
      </c>
      <c r="I72" s="35">
        <f>I74+I75</f>
        <v>11621.769999999999</v>
      </c>
      <c r="J72" s="997">
        <f>I72/H72</f>
        <v>0.62820378378378372</v>
      </c>
      <c r="K72" s="35">
        <f>K73</f>
        <v>378.23</v>
      </c>
      <c r="L72" s="35"/>
    </row>
    <row r="73" spans="1:12" ht="60" x14ac:dyDescent="0.2">
      <c r="A73" s="15"/>
      <c r="B73" s="2097"/>
      <c r="C73" s="16">
        <v>2010</v>
      </c>
      <c r="D73" s="52" t="s">
        <v>12</v>
      </c>
      <c r="E73" s="981">
        <v>18500</v>
      </c>
      <c r="F73" s="18">
        <v>11621.77</v>
      </c>
      <c r="G73" s="1027">
        <f>F73/E73</f>
        <v>0.62820378378378383</v>
      </c>
      <c r="H73" s="979"/>
      <c r="I73" s="17"/>
      <c r="J73" s="980"/>
      <c r="K73" s="967">
        <v>378.23</v>
      </c>
      <c r="L73" s="117" t="s">
        <v>102</v>
      </c>
    </row>
    <row r="74" spans="1:12" ht="15.75" x14ac:dyDescent="0.2">
      <c r="A74" s="15"/>
      <c r="B74" s="2098"/>
      <c r="C74" s="16">
        <v>3110</v>
      </c>
      <c r="D74" s="52" t="s">
        <v>49</v>
      </c>
      <c r="E74" s="981"/>
      <c r="F74" s="18"/>
      <c r="G74" s="1027"/>
      <c r="H74" s="1054">
        <v>18137.25</v>
      </c>
      <c r="I74" s="46">
        <v>11393.89</v>
      </c>
      <c r="J74" s="1006">
        <f>I74/H74</f>
        <v>0.62820383464968499</v>
      </c>
      <c r="K74" s="959"/>
      <c r="L74" s="110"/>
    </row>
    <row r="75" spans="1:12" ht="15.75" x14ac:dyDescent="0.2">
      <c r="A75" s="15"/>
      <c r="B75" s="2099"/>
      <c r="C75" s="16">
        <v>4210</v>
      </c>
      <c r="D75" s="52" t="s">
        <v>17</v>
      </c>
      <c r="E75" s="979"/>
      <c r="F75" s="812"/>
      <c r="G75" s="1026"/>
      <c r="H75" s="1054">
        <v>362.75</v>
      </c>
      <c r="I75" s="46">
        <v>227.88</v>
      </c>
      <c r="J75" s="1006">
        <f>I75/H75</f>
        <v>0.62820124052377668</v>
      </c>
      <c r="K75" s="959"/>
      <c r="L75" s="110"/>
    </row>
    <row r="76" spans="1:12" ht="25.5" x14ac:dyDescent="0.2">
      <c r="A76" s="15"/>
      <c r="B76" s="33">
        <v>85228</v>
      </c>
      <c r="C76" s="34"/>
      <c r="D76" s="874" t="s">
        <v>50</v>
      </c>
      <c r="E76" s="996">
        <f>E77</f>
        <v>417000</v>
      </c>
      <c r="F76" s="35">
        <f>F77</f>
        <v>410145</v>
      </c>
      <c r="G76" s="1031">
        <f>F76/E76</f>
        <v>0.98356115107913666</v>
      </c>
      <c r="H76" s="996">
        <f>H78</f>
        <v>417000</v>
      </c>
      <c r="I76" s="35">
        <f>I78</f>
        <v>410145</v>
      </c>
      <c r="J76" s="997">
        <f>I76/H76</f>
        <v>0.98356115107913666</v>
      </c>
      <c r="K76" s="35">
        <f>K77</f>
        <v>6855</v>
      </c>
      <c r="L76" s="35"/>
    </row>
    <row r="77" spans="1:12" ht="60" x14ac:dyDescent="0.2">
      <c r="A77" s="15"/>
      <c r="B77" s="10"/>
      <c r="C77" s="16">
        <v>2010</v>
      </c>
      <c r="D77" s="52" t="s">
        <v>12</v>
      </c>
      <c r="E77" s="979">
        <v>417000</v>
      </c>
      <c r="F77" s="812">
        <v>410145</v>
      </c>
      <c r="G77" s="1026">
        <f>F77/E77</f>
        <v>0.98356115107913666</v>
      </c>
      <c r="H77" s="979"/>
      <c r="I77" s="17"/>
      <c r="J77" s="980"/>
      <c r="K77" s="961">
        <v>6855</v>
      </c>
      <c r="L77" s="117" t="s">
        <v>99</v>
      </c>
    </row>
    <row r="78" spans="1:12" ht="15.75" x14ac:dyDescent="0.2">
      <c r="A78" s="43"/>
      <c r="B78" s="43"/>
      <c r="C78" s="16">
        <v>4300</v>
      </c>
      <c r="D78" s="52" t="s">
        <v>18</v>
      </c>
      <c r="E78" s="979"/>
      <c r="F78" s="812"/>
      <c r="G78" s="1026"/>
      <c r="H78" s="860">
        <v>417000</v>
      </c>
      <c r="I78" s="46">
        <v>410145</v>
      </c>
      <c r="J78" s="1006">
        <f>I78/H78</f>
        <v>0.98356115107913666</v>
      </c>
      <c r="K78" s="959"/>
      <c r="L78" s="110"/>
    </row>
    <row r="79" spans="1:12" ht="15.75" x14ac:dyDescent="0.2">
      <c r="A79" s="22">
        <v>855</v>
      </c>
      <c r="B79" s="8"/>
      <c r="C79" s="39"/>
      <c r="D79" s="948" t="s">
        <v>51</v>
      </c>
      <c r="E79" s="1007">
        <f t="shared" ref="E79:K79" si="13">E80+E95+E108+E113</f>
        <v>22512020</v>
      </c>
      <c r="F79" s="47">
        <f t="shared" si="13"/>
        <v>22457904.420000002</v>
      </c>
      <c r="G79" s="1036">
        <f>F79/E79</f>
        <v>0.99759614730264112</v>
      </c>
      <c r="H79" s="1007">
        <f t="shared" si="13"/>
        <v>22512020</v>
      </c>
      <c r="I79" s="47">
        <f t="shared" si="13"/>
        <v>22457904.420000002</v>
      </c>
      <c r="J79" s="1008">
        <f>I79/H79</f>
        <v>0.99759614730264112</v>
      </c>
      <c r="K79" s="968">
        <f t="shared" si="13"/>
        <v>54115.58</v>
      </c>
      <c r="L79" s="47"/>
    </row>
    <row r="80" spans="1:12" ht="15.75" x14ac:dyDescent="0.2">
      <c r="A80" s="2119"/>
      <c r="B80" s="23">
        <v>85501</v>
      </c>
      <c r="C80" s="12"/>
      <c r="D80" s="955" t="s">
        <v>52</v>
      </c>
      <c r="E80" s="977">
        <f>E81</f>
        <v>14038352</v>
      </c>
      <c r="F80" s="958">
        <f>F81</f>
        <v>14003707.140000001</v>
      </c>
      <c r="G80" s="1025">
        <f>F80/E80</f>
        <v>0.99753212770273891</v>
      </c>
      <c r="H80" s="1055">
        <f>SUM(H83:H94)</f>
        <v>14038352</v>
      </c>
      <c r="I80" s="969">
        <f>SUM(I83:I94)</f>
        <v>14003707.140000001</v>
      </c>
      <c r="J80" s="1009">
        <f>I80/H80</f>
        <v>0.99753212770273891</v>
      </c>
      <c r="K80" s="969">
        <f>K81+K82</f>
        <v>34644.86</v>
      </c>
      <c r="L80" s="48"/>
    </row>
    <row r="81" spans="1:12" ht="96" x14ac:dyDescent="0.2">
      <c r="A81" s="2120"/>
      <c r="B81" s="2100"/>
      <c r="C81" s="31">
        <v>2060</v>
      </c>
      <c r="D81" s="877" t="s">
        <v>53</v>
      </c>
      <c r="E81" s="1010">
        <v>14038352</v>
      </c>
      <c r="F81" s="120">
        <f>14004537.14-830</f>
        <v>14003707.140000001</v>
      </c>
      <c r="G81" s="1037">
        <f>F81/E81</f>
        <v>0.99753212770273891</v>
      </c>
      <c r="H81" s="1056"/>
      <c r="I81" s="94"/>
      <c r="J81" s="1011"/>
      <c r="K81" s="970">
        <v>33814.86</v>
      </c>
      <c r="L81" s="121" t="s">
        <v>99</v>
      </c>
    </row>
    <row r="82" spans="1:12" ht="12.75" x14ac:dyDescent="0.2">
      <c r="A82" s="2120"/>
      <c r="B82" s="2101"/>
      <c r="C82" s="116"/>
      <c r="D82" s="52"/>
      <c r="E82" s="1012"/>
      <c r="F82" s="1013"/>
      <c r="G82" s="1038"/>
      <c r="H82" s="1016"/>
      <c r="I82" s="122"/>
      <c r="J82" s="1015"/>
      <c r="K82" s="971">
        <v>830</v>
      </c>
      <c r="L82" s="123" t="s">
        <v>100</v>
      </c>
    </row>
    <row r="83" spans="1:12" ht="12.75" x14ac:dyDescent="0.2">
      <c r="A83" s="2120"/>
      <c r="B83" s="2101"/>
      <c r="C83" s="16">
        <v>3110</v>
      </c>
      <c r="D83" s="52" t="s">
        <v>54</v>
      </c>
      <c r="E83" s="1016"/>
      <c r="F83" s="1014"/>
      <c r="G83" s="1039"/>
      <c r="H83" s="1012">
        <v>13827961</v>
      </c>
      <c r="I83" s="19">
        <v>13795436.16</v>
      </c>
      <c r="J83" s="982">
        <f>I83/H83</f>
        <v>0.99764789327942127</v>
      </c>
      <c r="K83" s="959"/>
      <c r="L83" s="110"/>
    </row>
    <row r="84" spans="1:12" ht="24" x14ac:dyDescent="0.2">
      <c r="A84" s="2120"/>
      <c r="B84" s="2101"/>
      <c r="C84" s="16">
        <v>4010</v>
      </c>
      <c r="D84" s="52" t="s">
        <v>13</v>
      </c>
      <c r="E84" s="1016"/>
      <c r="F84" s="1014"/>
      <c r="G84" s="1039"/>
      <c r="H84" s="1012">
        <v>115000</v>
      </c>
      <c r="I84" s="20">
        <v>114945.13</v>
      </c>
      <c r="J84" s="982">
        <f t="shared" ref="J84:J94" si="14">I84/H84</f>
        <v>0.99952286956521741</v>
      </c>
      <c r="K84" s="959"/>
      <c r="L84" s="110"/>
    </row>
    <row r="85" spans="1:12" ht="12.75" x14ac:dyDescent="0.2">
      <c r="A85" s="2120"/>
      <c r="B85" s="2101"/>
      <c r="C85" s="16">
        <v>4040</v>
      </c>
      <c r="D85" s="52" t="s">
        <v>23</v>
      </c>
      <c r="E85" s="1016"/>
      <c r="F85" s="1014"/>
      <c r="G85" s="1039"/>
      <c r="H85" s="1012">
        <v>7422.68</v>
      </c>
      <c r="I85" s="20">
        <v>7422.68</v>
      </c>
      <c r="J85" s="982">
        <f t="shared" si="14"/>
        <v>1</v>
      </c>
      <c r="K85" s="959"/>
      <c r="L85" s="110"/>
    </row>
    <row r="86" spans="1:12" ht="12.75" x14ac:dyDescent="0.2">
      <c r="A86" s="2120"/>
      <c r="B86" s="2101"/>
      <c r="C86" s="16">
        <v>4110</v>
      </c>
      <c r="D86" s="52" t="s">
        <v>14</v>
      </c>
      <c r="E86" s="1016"/>
      <c r="F86" s="1014"/>
      <c r="G86" s="1039"/>
      <c r="H86" s="1012">
        <v>21931.4</v>
      </c>
      <c r="I86" s="20">
        <v>21252.33</v>
      </c>
      <c r="J86" s="982">
        <f t="shared" si="14"/>
        <v>0.96903663240832782</v>
      </c>
      <c r="K86" s="959"/>
      <c r="L86" s="110"/>
    </row>
    <row r="87" spans="1:12" ht="12.75" x14ac:dyDescent="0.2">
      <c r="A87" s="2120"/>
      <c r="B87" s="2101"/>
      <c r="C87" s="49">
        <v>4120</v>
      </c>
      <c r="D87" s="875" t="s">
        <v>15</v>
      </c>
      <c r="E87" s="1016"/>
      <c r="F87" s="1014"/>
      <c r="G87" s="1039"/>
      <c r="H87" s="1012">
        <v>2588</v>
      </c>
      <c r="I87" s="20">
        <v>2538.39</v>
      </c>
      <c r="J87" s="982">
        <f t="shared" si="14"/>
        <v>0.98083075734157643</v>
      </c>
      <c r="K87" s="959"/>
      <c r="L87" s="110"/>
    </row>
    <row r="88" spans="1:12" ht="12.75" x14ac:dyDescent="0.2">
      <c r="A88" s="2120"/>
      <c r="B88" s="2101"/>
      <c r="C88" s="16">
        <v>4170</v>
      </c>
      <c r="D88" s="52" t="s">
        <v>31</v>
      </c>
      <c r="E88" s="1016"/>
      <c r="F88" s="1014"/>
      <c r="G88" s="1039"/>
      <c r="H88" s="1012">
        <v>5000</v>
      </c>
      <c r="I88" s="20">
        <v>5000</v>
      </c>
      <c r="J88" s="982">
        <f t="shared" si="14"/>
        <v>1</v>
      </c>
      <c r="K88" s="959"/>
      <c r="L88" s="110"/>
    </row>
    <row r="89" spans="1:12" ht="12.75" x14ac:dyDescent="0.2">
      <c r="A89" s="2120"/>
      <c r="B89" s="2101"/>
      <c r="C89" s="16">
        <v>4210</v>
      </c>
      <c r="D89" s="52" t="s">
        <v>17</v>
      </c>
      <c r="E89" s="1016"/>
      <c r="F89" s="1014"/>
      <c r="G89" s="1039"/>
      <c r="H89" s="1012">
        <v>15000</v>
      </c>
      <c r="I89" s="20">
        <v>14017.98</v>
      </c>
      <c r="J89" s="982">
        <f t="shared" si="14"/>
        <v>0.93453199999999992</v>
      </c>
      <c r="K89" s="959"/>
      <c r="L89" s="110"/>
    </row>
    <row r="90" spans="1:12" ht="12.75" x14ac:dyDescent="0.2">
      <c r="A90" s="2120"/>
      <c r="B90" s="2101"/>
      <c r="C90" s="16">
        <v>4260</v>
      </c>
      <c r="D90" s="52" t="s">
        <v>41</v>
      </c>
      <c r="E90" s="1016"/>
      <c r="F90" s="1014"/>
      <c r="G90" s="1039"/>
      <c r="H90" s="1012">
        <v>3400</v>
      </c>
      <c r="I90" s="20">
        <v>3093.77</v>
      </c>
      <c r="J90" s="982">
        <f t="shared" si="14"/>
        <v>0.90993235294117647</v>
      </c>
      <c r="K90" s="959"/>
      <c r="L90" s="110"/>
    </row>
    <row r="91" spans="1:12" ht="12.75" x14ac:dyDescent="0.2">
      <c r="A91" s="2120"/>
      <c r="B91" s="2101"/>
      <c r="C91" s="16">
        <v>4300</v>
      </c>
      <c r="D91" s="52" t="s">
        <v>18</v>
      </c>
      <c r="E91" s="1016"/>
      <c r="F91" s="1014"/>
      <c r="G91" s="1039"/>
      <c r="H91" s="1012">
        <v>36278.92</v>
      </c>
      <c r="I91" s="20">
        <v>36278.92</v>
      </c>
      <c r="J91" s="982">
        <f t="shared" si="14"/>
        <v>1</v>
      </c>
      <c r="K91" s="959"/>
      <c r="L91" s="110"/>
    </row>
    <row r="92" spans="1:12" ht="36" x14ac:dyDescent="0.2">
      <c r="A92" s="2120"/>
      <c r="B92" s="2101"/>
      <c r="C92" s="16">
        <v>4360</v>
      </c>
      <c r="D92" s="52" t="s">
        <v>43</v>
      </c>
      <c r="E92" s="1016"/>
      <c r="F92" s="1014"/>
      <c r="G92" s="1039"/>
      <c r="H92" s="1012">
        <v>200</v>
      </c>
      <c r="I92" s="20">
        <v>200</v>
      </c>
      <c r="J92" s="982">
        <f t="shared" si="14"/>
        <v>1</v>
      </c>
      <c r="K92" s="959"/>
      <c r="L92" s="110"/>
    </row>
    <row r="93" spans="1:12" ht="24" x14ac:dyDescent="0.2">
      <c r="A93" s="2120"/>
      <c r="B93" s="2101"/>
      <c r="C93" s="16">
        <v>4440</v>
      </c>
      <c r="D93" s="52" t="s">
        <v>44</v>
      </c>
      <c r="E93" s="1016"/>
      <c r="F93" s="1014"/>
      <c r="G93" s="1039"/>
      <c r="H93" s="1012">
        <v>2370</v>
      </c>
      <c r="I93" s="20">
        <v>2370</v>
      </c>
      <c r="J93" s="982">
        <f t="shared" si="14"/>
        <v>1</v>
      </c>
      <c r="K93" s="959"/>
      <c r="L93" s="110"/>
    </row>
    <row r="94" spans="1:12" ht="24" x14ac:dyDescent="0.2">
      <c r="A94" s="2120"/>
      <c r="B94" s="2102"/>
      <c r="C94" s="50">
        <v>4700</v>
      </c>
      <c r="D94" s="949" t="s">
        <v>25</v>
      </c>
      <c r="E94" s="1016"/>
      <c r="F94" s="1014"/>
      <c r="G94" s="1039"/>
      <c r="H94" s="1012">
        <v>1200</v>
      </c>
      <c r="I94" s="20">
        <v>1151.78</v>
      </c>
      <c r="J94" s="982">
        <f t="shared" si="14"/>
        <v>0.95981666666666665</v>
      </c>
      <c r="K94" s="959"/>
      <c r="L94" s="110"/>
    </row>
    <row r="95" spans="1:12" ht="63.75" x14ac:dyDescent="0.2">
      <c r="A95" s="2120"/>
      <c r="B95" s="23">
        <v>85502</v>
      </c>
      <c r="C95" s="12"/>
      <c r="D95" s="893" t="s">
        <v>55</v>
      </c>
      <c r="E95" s="1017">
        <f>SUM(E96:E96)</f>
        <v>7703368</v>
      </c>
      <c r="F95" s="1018">
        <f>SUM(F96:F96)</f>
        <v>7684947.2800000003</v>
      </c>
      <c r="G95" s="1040">
        <f>F95/E95</f>
        <v>0.99760874464260307</v>
      </c>
      <c r="H95" s="977">
        <f>SUM(H97:H107)</f>
        <v>7703368</v>
      </c>
      <c r="I95" s="958">
        <f>SUM(I97:I107)</f>
        <v>7684947.2799999993</v>
      </c>
      <c r="J95" s="978">
        <f>I95/H95</f>
        <v>0.99760874464260296</v>
      </c>
      <c r="K95" s="958">
        <f>K96</f>
        <v>18420.72</v>
      </c>
      <c r="L95" s="14"/>
    </row>
    <row r="96" spans="1:12" ht="60" x14ac:dyDescent="0.2">
      <c r="A96" s="2120"/>
      <c r="B96" s="10"/>
      <c r="C96" s="16">
        <v>2010</v>
      </c>
      <c r="D96" s="52" t="s">
        <v>12</v>
      </c>
      <c r="E96" s="979">
        <v>7703368</v>
      </c>
      <c r="F96" s="812">
        <v>7684947.2800000003</v>
      </c>
      <c r="G96" s="1026">
        <f>F96/E96</f>
        <v>0.99760874464260307</v>
      </c>
      <c r="H96" s="979"/>
      <c r="I96" s="17"/>
      <c r="J96" s="980"/>
      <c r="K96" s="961">
        <v>18420.72</v>
      </c>
      <c r="L96" s="117" t="s">
        <v>99</v>
      </c>
    </row>
    <row r="97" spans="1:12" ht="15.75" x14ac:dyDescent="0.2">
      <c r="A97" s="2120"/>
      <c r="B97" s="15"/>
      <c r="C97" s="16">
        <v>3110</v>
      </c>
      <c r="D97" s="52" t="s">
        <v>54</v>
      </c>
      <c r="E97" s="981"/>
      <c r="F97" s="18"/>
      <c r="G97" s="1027"/>
      <c r="H97" s="979">
        <v>7234293.9199999999</v>
      </c>
      <c r="I97" s="51">
        <v>7218699.7999999998</v>
      </c>
      <c r="J97" s="1006">
        <f>I97/H97</f>
        <v>0.99784441713698024</v>
      </c>
      <c r="K97" s="959"/>
      <c r="L97" s="110"/>
    </row>
    <row r="98" spans="1:12" ht="24" x14ac:dyDescent="0.2">
      <c r="A98" s="2120"/>
      <c r="B98" s="15"/>
      <c r="C98" s="16">
        <v>4010</v>
      </c>
      <c r="D98" s="52" t="s">
        <v>13</v>
      </c>
      <c r="E98" s="981"/>
      <c r="F98" s="18"/>
      <c r="G98" s="1027"/>
      <c r="H98" s="979">
        <v>120000</v>
      </c>
      <c r="I98" s="20">
        <v>119161.59</v>
      </c>
      <c r="J98" s="1006">
        <f t="shared" ref="J98:J108" si="15">I98/H98</f>
        <v>0.99301324999999996</v>
      </c>
      <c r="K98" s="959"/>
      <c r="L98" s="110"/>
    </row>
    <row r="99" spans="1:12" ht="15.75" x14ac:dyDescent="0.2">
      <c r="A99" s="2120"/>
      <c r="B99" s="15"/>
      <c r="C99" s="16">
        <v>4040</v>
      </c>
      <c r="D99" s="52" t="s">
        <v>23</v>
      </c>
      <c r="E99" s="981"/>
      <c r="F99" s="18"/>
      <c r="G99" s="1027"/>
      <c r="H99" s="979">
        <v>8816.5499999999993</v>
      </c>
      <c r="I99" s="20">
        <v>8816.5499999999993</v>
      </c>
      <c r="J99" s="1006">
        <f t="shared" si="15"/>
        <v>1</v>
      </c>
      <c r="K99" s="959"/>
      <c r="L99" s="110"/>
    </row>
    <row r="100" spans="1:12" ht="15.75" x14ac:dyDescent="0.2">
      <c r="A100" s="2120"/>
      <c r="B100" s="15"/>
      <c r="C100" s="16">
        <v>4110</v>
      </c>
      <c r="D100" s="52" t="s">
        <v>14</v>
      </c>
      <c r="E100" s="981"/>
      <c r="F100" s="18"/>
      <c r="G100" s="1027"/>
      <c r="H100" s="979">
        <v>282000</v>
      </c>
      <c r="I100" s="20">
        <v>280267.71999999997</v>
      </c>
      <c r="J100" s="1006">
        <f t="shared" si="15"/>
        <v>0.99385716312056727</v>
      </c>
      <c r="K100" s="959"/>
      <c r="L100" s="110"/>
    </row>
    <row r="101" spans="1:12" ht="15.75" x14ac:dyDescent="0.2">
      <c r="A101" s="2120"/>
      <c r="B101" s="15"/>
      <c r="C101" s="49">
        <v>4120</v>
      </c>
      <c r="D101" s="875" t="s">
        <v>15</v>
      </c>
      <c r="E101" s="981"/>
      <c r="F101" s="18"/>
      <c r="G101" s="1027"/>
      <c r="H101" s="1003">
        <v>2002.53</v>
      </c>
      <c r="I101" s="20">
        <v>2002.53</v>
      </c>
      <c r="J101" s="1006">
        <f t="shared" si="15"/>
        <v>1</v>
      </c>
      <c r="K101" s="959"/>
      <c r="L101" s="110"/>
    </row>
    <row r="102" spans="1:12" ht="15.75" x14ac:dyDescent="0.2">
      <c r="A102" s="2120"/>
      <c r="B102" s="15"/>
      <c r="C102" s="16">
        <v>4210</v>
      </c>
      <c r="D102" s="52" t="s">
        <v>17</v>
      </c>
      <c r="E102" s="981"/>
      <c r="F102" s="18"/>
      <c r="G102" s="1027"/>
      <c r="H102" s="979">
        <v>10000</v>
      </c>
      <c r="I102" s="20">
        <v>10000</v>
      </c>
      <c r="J102" s="1006">
        <f t="shared" si="15"/>
        <v>1</v>
      </c>
      <c r="K102" s="959"/>
      <c r="L102" s="110"/>
    </row>
    <row r="103" spans="1:12" ht="15.75" x14ac:dyDescent="0.2">
      <c r="A103" s="2120"/>
      <c r="B103" s="15"/>
      <c r="C103" s="49">
        <v>4260</v>
      </c>
      <c r="D103" s="875" t="s">
        <v>41</v>
      </c>
      <c r="E103" s="981"/>
      <c r="F103" s="18"/>
      <c r="G103" s="1027"/>
      <c r="H103" s="979">
        <v>3200</v>
      </c>
      <c r="I103" s="20">
        <v>3093.77</v>
      </c>
      <c r="J103" s="1006">
        <f t="shared" si="15"/>
        <v>0.96680312499999999</v>
      </c>
      <c r="K103" s="959"/>
      <c r="L103" s="110"/>
    </row>
    <row r="104" spans="1:12" ht="15.75" x14ac:dyDescent="0.2">
      <c r="A104" s="2120"/>
      <c r="B104" s="15"/>
      <c r="C104" s="16">
        <v>4300</v>
      </c>
      <c r="D104" s="52" t="s">
        <v>18</v>
      </c>
      <c r="E104" s="981"/>
      <c r="F104" s="18"/>
      <c r="G104" s="1027"/>
      <c r="H104" s="979">
        <v>36000</v>
      </c>
      <c r="I104" s="20">
        <v>36000</v>
      </c>
      <c r="J104" s="1006">
        <f t="shared" si="15"/>
        <v>1</v>
      </c>
      <c r="K104" s="959"/>
      <c r="L104" s="110"/>
    </row>
    <row r="105" spans="1:12" ht="24" x14ac:dyDescent="0.2">
      <c r="A105" s="2120"/>
      <c r="B105" s="15"/>
      <c r="C105" s="16">
        <v>4360</v>
      </c>
      <c r="D105" s="52" t="s">
        <v>56</v>
      </c>
      <c r="E105" s="981"/>
      <c r="F105" s="18"/>
      <c r="G105" s="1027"/>
      <c r="H105" s="979">
        <v>1000</v>
      </c>
      <c r="I105" s="20">
        <v>1000</v>
      </c>
      <c r="J105" s="1006">
        <f t="shared" si="15"/>
        <v>1</v>
      </c>
      <c r="K105" s="959"/>
      <c r="L105" s="110"/>
    </row>
    <row r="106" spans="1:12" ht="24" x14ac:dyDescent="0.2">
      <c r="A106" s="2120"/>
      <c r="B106" s="15"/>
      <c r="C106" s="16">
        <v>4440</v>
      </c>
      <c r="D106" s="52" t="s">
        <v>44</v>
      </c>
      <c r="E106" s="981"/>
      <c r="F106" s="18"/>
      <c r="G106" s="1027"/>
      <c r="H106" s="979">
        <v>3555</v>
      </c>
      <c r="I106" s="20">
        <v>3555</v>
      </c>
      <c r="J106" s="1006">
        <f t="shared" si="15"/>
        <v>1</v>
      </c>
      <c r="K106" s="959"/>
      <c r="L106" s="110"/>
    </row>
    <row r="107" spans="1:12" ht="24" x14ac:dyDescent="0.2">
      <c r="A107" s="15"/>
      <c r="B107" s="15"/>
      <c r="C107" s="53">
        <v>4700</v>
      </c>
      <c r="D107" s="54" t="s">
        <v>25</v>
      </c>
      <c r="E107" s="981"/>
      <c r="F107" s="18"/>
      <c r="G107" s="1027"/>
      <c r="H107" s="981">
        <v>2500</v>
      </c>
      <c r="I107" s="32">
        <v>2350.3200000000002</v>
      </c>
      <c r="J107" s="1006">
        <f t="shared" si="15"/>
        <v>0.94012800000000007</v>
      </c>
      <c r="K107" s="959"/>
      <c r="L107" s="110"/>
    </row>
    <row r="108" spans="1:12" ht="15.75" x14ac:dyDescent="0.2">
      <c r="A108" s="15"/>
      <c r="B108" s="33">
        <v>85503</v>
      </c>
      <c r="C108" s="55"/>
      <c r="D108" s="870" t="s">
        <v>57</v>
      </c>
      <c r="E108" s="1004">
        <f>E109</f>
        <v>300</v>
      </c>
      <c r="F108" s="45">
        <f>F109</f>
        <v>300</v>
      </c>
      <c r="G108" s="1035">
        <f>F108/E108</f>
        <v>1</v>
      </c>
      <c r="H108" s="1004">
        <f>H110+H111+H112</f>
        <v>300</v>
      </c>
      <c r="I108" s="45">
        <f>I110+I111+I112</f>
        <v>300</v>
      </c>
      <c r="J108" s="1019">
        <f t="shared" si="15"/>
        <v>1</v>
      </c>
      <c r="K108" s="965">
        <f t="shared" ref="K108" si="16">K110+K111+K112</f>
        <v>0</v>
      </c>
      <c r="L108" s="45"/>
    </row>
    <row r="109" spans="1:12" ht="60" x14ac:dyDescent="0.2">
      <c r="A109" s="15"/>
      <c r="B109" s="15"/>
      <c r="C109" s="49">
        <v>2010</v>
      </c>
      <c r="D109" s="875" t="s">
        <v>12</v>
      </c>
      <c r="E109" s="1003">
        <v>300</v>
      </c>
      <c r="F109" s="41">
        <v>300</v>
      </c>
      <c r="G109" s="1041">
        <f>F109/E109</f>
        <v>1</v>
      </c>
      <c r="H109" s="1003"/>
      <c r="I109" s="17"/>
      <c r="J109" s="1006"/>
      <c r="K109" s="959"/>
      <c r="L109" s="110"/>
    </row>
    <row r="110" spans="1:12" ht="24" x14ac:dyDescent="0.2">
      <c r="A110" s="15"/>
      <c r="B110" s="15"/>
      <c r="C110" s="16">
        <v>4010</v>
      </c>
      <c r="D110" s="52" t="s">
        <v>13</v>
      </c>
      <c r="E110" s="981"/>
      <c r="F110" s="18"/>
      <c r="G110" s="1027"/>
      <c r="H110" s="1044">
        <v>250.19</v>
      </c>
      <c r="I110" s="19">
        <v>250.19</v>
      </c>
      <c r="J110" s="982">
        <f>I110/H110</f>
        <v>1</v>
      </c>
      <c r="K110" s="959"/>
      <c r="L110" s="110"/>
    </row>
    <row r="111" spans="1:12" ht="15.75" x14ac:dyDescent="0.2">
      <c r="A111" s="15"/>
      <c r="B111" s="15"/>
      <c r="C111" s="16">
        <v>4110</v>
      </c>
      <c r="D111" s="52" t="s">
        <v>14</v>
      </c>
      <c r="E111" s="981"/>
      <c r="F111" s="18"/>
      <c r="G111" s="1027"/>
      <c r="H111" s="1044">
        <v>43.68</v>
      </c>
      <c r="I111" s="19">
        <v>43.68</v>
      </c>
      <c r="J111" s="982">
        <f t="shared" ref="J111:J112" si="17">I111/H111</f>
        <v>1</v>
      </c>
      <c r="K111" s="959"/>
      <c r="L111" s="110"/>
    </row>
    <row r="112" spans="1:12" ht="15.75" x14ac:dyDescent="0.2">
      <c r="A112" s="15"/>
      <c r="B112" s="15"/>
      <c r="C112" s="49">
        <v>4120</v>
      </c>
      <c r="D112" s="875" t="s">
        <v>15</v>
      </c>
      <c r="E112" s="981"/>
      <c r="F112" s="18"/>
      <c r="G112" s="1027"/>
      <c r="H112" s="1057">
        <v>6.13</v>
      </c>
      <c r="I112" s="56">
        <v>6.13</v>
      </c>
      <c r="J112" s="982">
        <f t="shared" si="17"/>
        <v>1</v>
      </c>
      <c r="K112" s="959"/>
      <c r="L112" s="110"/>
    </row>
    <row r="113" spans="1:12" ht="15.75" x14ac:dyDescent="0.2">
      <c r="A113" s="15"/>
      <c r="B113" s="33">
        <v>85504</v>
      </c>
      <c r="C113" s="55"/>
      <c r="D113" s="870" t="s">
        <v>58</v>
      </c>
      <c r="E113" s="1004">
        <f>E114</f>
        <v>770000</v>
      </c>
      <c r="F113" s="45">
        <f>F114</f>
        <v>768950</v>
      </c>
      <c r="G113" s="1035">
        <f>F113/E113</f>
        <v>0.99863636363636366</v>
      </c>
      <c r="H113" s="1004">
        <f>H116+H117+H118+H119+H120+H121+H115</f>
        <v>770000</v>
      </c>
      <c r="I113" s="45">
        <f t="shared" ref="I113" si="18">I116+I117+I118+I119+I120+I121+I115</f>
        <v>768950</v>
      </c>
      <c r="J113" s="1005">
        <f>I113/H113</f>
        <v>0.99863636363636366</v>
      </c>
      <c r="K113" s="965">
        <f>K114</f>
        <v>1050</v>
      </c>
      <c r="L113" s="45"/>
    </row>
    <row r="114" spans="1:12" ht="60" x14ac:dyDescent="0.2">
      <c r="A114" s="15"/>
      <c r="B114" s="15"/>
      <c r="C114" s="49">
        <v>2010</v>
      </c>
      <c r="D114" s="875" t="s">
        <v>12</v>
      </c>
      <c r="E114" s="1003">
        <v>770000</v>
      </c>
      <c r="F114" s="41">
        <v>768950</v>
      </c>
      <c r="G114" s="1041">
        <f>F114/E114</f>
        <v>0.99863636363636366</v>
      </c>
      <c r="H114" s="1003"/>
      <c r="I114" s="17"/>
      <c r="J114" s="1006"/>
      <c r="K114" s="961">
        <f>E114-F114</f>
        <v>1050</v>
      </c>
      <c r="L114" s="117" t="s">
        <v>103</v>
      </c>
    </row>
    <row r="115" spans="1:12" ht="15.75" x14ac:dyDescent="0.2">
      <c r="A115" s="15"/>
      <c r="B115" s="15"/>
      <c r="C115" s="16">
        <v>3110</v>
      </c>
      <c r="D115" s="52" t="s">
        <v>54</v>
      </c>
      <c r="E115" s="981"/>
      <c r="F115" s="18"/>
      <c r="G115" s="1027"/>
      <c r="H115" s="1058">
        <v>745200</v>
      </c>
      <c r="I115" s="57">
        <v>744150</v>
      </c>
      <c r="J115" s="1020">
        <f>I115/H115</f>
        <v>0.99859098228663445</v>
      </c>
      <c r="K115" s="959"/>
      <c r="L115" s="110"/>
    </row>
    <row r="116" spans="1:12" ht="24" x14ac:dyDescent="0.2">
      <c r="A116" s="15"/>
      <c r="B116" s="15"/>
      <c r="C116" s="16">
        <v>4010</v>
      </c>
      <c r="D116" s="52" t="s">
        <v>13</v>
      </c>
      <c r="E116" s="981"/>
      <c r="F116" s="18"/>
      <c r="G116" s="1027"/>
      <c r="H116" s="1044">
        <v>16966</v>
      </c>
      <c r="I116" s="19">
        <v>16966</v>
      </c>
      <c r="J116" s="1020">
        <f t="shared" ref="J116:J121" si="19">I116/H116</f>
        <v>1</v>
      </c>
      <c r="K116" s="959"/>
      <c r="L116" s="110"/>
    </row>
    <row r="117" spans="1:12" ht="15.75" x14ac:dyDescent="0.2">
      <c r="A117" s="15"/>
      <c r="B117" s="15"/>
      <c r="C117" s="16">
        <v>4110</v>
      </c>
      <c r="D117" s="52" t="s">
        <v>14</v>
      </c>
      <c r="E117" s="981"/>
      <c r="F117" s="18"/>
      <c r="G117" s="1027"/>
      <c r="H117" s="1044">
        <v>2991.4</v>
      </c>
      <c r="I117" s="19">
        <v>2991.4</v>
      </c>
      <c r="J117" s="1020">
        <f t="shared" si="19"/>
        <v>1</v>
      </c>
      <c r="K117" s="959"/>
      <c r="L117" s="110"/>
    </row>
    <row r="118" spans="1:12" ht="15.75" x14ac:dyDescent="0.2">
      <c r="A118" s="15"/>
      <c r="B118" s="15"/>
      <c r="C118" s="49">
        <v>4120</v>
      </c>
      <c r="D118" s="875" t="s">
        <v>15</v>
      </c>
      <c r="E118" s="981"/>
      <c r="F118" s="18"/>
      <c r="G118" s="1027"/>
      <c r="H118" s="1044">
        <v>350</v>
      </c>
      <c r="I118" s="19">
        <v>350</v>
      </c>
      <c r="J118" s="1020">
        <f t="shared" si="19"/>
        <v>1</v>
      </c>
      <c r="K118" s="959"/>
      <c r="L118" s="110"/>
    </row>
    <row r="119" spans="1:12" ht="15.75" x14ac:dyDescent="0.2">
      <c r="A119" s="15"/>
      <c r="B119" s="15"/>
      <c r="C119" s="16">
        <v>4210</v>
      </c>
      <c r="D119" s="52" t="s">
        <v>17</v>
      </c>
      <c r="E119" s="981"/>
      <c r="F119" s="18"/>
      <c r="G119" s="1027"/>
      <c r="H119" s="1044">
        <v>1000</v>
      </c>
      <c r="I119" s="19">
        <v>1000</v>
      </c>
      <c r="J119" s="1020">
        <f t="shared" si="19"/>
        <v>1</v>
      </c>
      <c r="K119" s="959"/>
      <c r="L119" s="110"/>
    </row>
    <row r="120" spans="1:12" ht="15.75" x14ac:dyDescent="0.2">
      <c r="A120" s="15"/>
      <c r="B120" s="15"/>
      <c r="C120" s="16">
        <v>4300</v>
      </c>
      <c r="D120" s="52" t="s">
        <v>18</v>
      </c>
      <c r="E120" s="981"/>
      <c r="F120" s="18"/>
      <c r="G120" s="1027"/>
      <c r="H120" s="1044">
        <v>1992.6</v>
      </c>
      <c r="I120" s="19">
        <v>1992.6</v>
      </c>
      <c r="J120" s="1020">
        <f t="shared" si="19"/>
        <v>1</v>
      </c>
      <c r="K120" s="959"/>
      <c r="L120" s="110"/>
    </row>
    <row r="121" spans="1:12" ht="24.75" thickBot="1" x14ac:dyDescent="0.25">
      <c r="A121" s="15"/>
      <c r="B121" s="15"/>
      <c r="C121" s="58">
        <v>4700</v>
      </c>
      <c r="D121" s="956" t="s">
        <v>25</v>
      </c>
      <c r="E121" s="1021"/>
      <c r="F121" s="59"/>
      <c r="G121" s="1042"/>
      <c r="H121" s="1059">
        <v>1500</v>
      </c>
      <c r="I121" s="60">
        <v>1500</v>
      </c>
      <c r="J121" s="1020">
        <f t="shared" si="19"/>
        <v>1</v>
      </c>
      <c r="K121" s="972"/>
      <c r="L121" s="113"/>
    </row>
    <row r="122" spans="1:12" ht="36.75" customHeight="1" thickBot="1" x14ac:dyDescent="0.25">
      <c r="A122" s="61"/>
      <c r="B122" s="61"/>
      <c r="C122" s="62"/>
      <c r="D122" s="957" t="s">
        <v>59</v>
      </c>
      <c r="E122" s="1022">
        <f>E79+E53+E31+E17+E7+E28+E47</f>
        <v>25662482.199999999</v>
      </c>
      <c r="F122" s="125">
        <f>F79+F53+F31+F17+F7+F28+F47</f>
        <v>25522536.460000005</v>
      </c>
      <c r="G122" s="1043">
        <f>F122/E122</f>
        <v>0.99454667951021536</v>
      </c>
      <c r="H122" s="1022">
        <f>H79+H53+H31+H17+H7+H28+H47</f>
        <v>25654520.489999998</v>
      </c>
      <c r="I122" s="125">
        <f>I79+I53+I31+I17+I7+I28+I47</f>
        <v>25522536.460000005</v>
      </c>
      <c r="J122" s="1023">
        <f>I122/H122</f>
        <v>0.99485533046499774</v>
      </c>
      <c r="K122" s="973">
        <f>K79+K53+K47+K31+K17+K7+K28</f>
        <v>88975.23</v>
      </c>
      <c r="L122" s="1060" t="s">
        <v>597</v>
      </c>
    </row>
    <row r="123" spans="1:12" ht="12.75" x14ac:dyDescent="0.2">
      <c r="A123" s="126"/>
      <c r="B123" s="126"/>
      <c r="C123" s="126"/>
      <c r="D123" s="127"/>
      <c r="E123" s="128"/>
      <c r="F123" s="128"/>
      <c r="G123" s="129"/>
      <c r="H123" s="128"/>
      <c r="I123" s="128"/>
      <c r="J123" s="129"/>
      <c r="K123" s="130"/>
      <c r="L123" s="131"/>
    </row>
    <row r="124" spans="1:12" ht="20.25" hidden="1" customHeight="1" thickBot="1" x14ac:dyDescent="0.25">
      <c r="A124" s="63" t="s">
        <v>95</v>
      </c>
      <c r="B124" s="1"/>
      <c r="C124" s="1"/>
      <c r="D124" s="1"/>
      <c r="E124" s="1"/>
      <c r="F124" s="1"/>
      <c r="G124" s="1"/>
      <c r="H124" s="1"/>
      <c r="I124" s="1"/>
      <c r="J124" s="64"/>
    </row>
    <row r="125" spans="1:12" ht="12.75" hidden="1" customHeight="1" x14ac:dyDescent="0.2">
      <c r="A125" s="2103" t="s">
        <v>0</v>
      </c>
      <c r="B125" s="2103" t="s">
        <v>1</v>
      </c>
      <c r="C125" s="2103" t="s">
        <v>2</v>
      </c>
      <c r="D125" s="2105" t="s">
        <v>3</v>
      </c>
      <c r="E125" s="2107" t="s">
        <v>7</v>
      </c>
      <c r="F125" s="2109" t="s">
        <v>93</v>
      </c>
      <c r="G125" s="136" t="s">
        <v>108</v>
      </c>
      <c r="H125" s="2093" t="s">
        <v>91</v>
      </c>
      <c r="I125" s="2132" t="s">
        <v>110</v>
      </c>
      <c r="J125" s="2111" t="s">
        <v>111</v>
      </c>
      <c r="K125" s="2112"/>
      <c r="L125" s="133" t="s">
        <v>112</v>
      </c>
    </row>
    <row r="126" spans="1:12" ht="30" hidden="1" customHeight="1" x14ac:dyDescent="0.2">
      <c r="A126" s="2104"/>
      <c r="B126" s="2104"/>
      <c r="C126" s="2104"/>
      <c r="D126" s="2106"/>
      <c r="E126" s="2108"/>
      <c r="F126" s="2110"/>
      <c r="G126" s="132" t="s">
        <v>109</v>
      </c>
      <c r="H126" s="2094"/>
      <c r="I126" s="2133"/>
      <c r="J126" s="2113" t="s">
        <v>94</v>
      </c>
      <c r="K126" s="2114"/>
      <c r="L126" s="119" t="s">
        <v>113</v>
      </c>
    </row>
    <row r="127" spans="1:12" ht="12.75" hidden="1" x14ac:dyDescent="0.2">
      <c r="A127" s="134">
        <v>750</v>
      </c>
      <c r="B127" s="134"/>
      <c r="C127" s="134"/>
      <c r="D127" s="1086" t="s">
        <v>20</v>
      </c>
      <c r="E127" s="1095">
        <f>E128</f>
        <v>0</v>
      </c>
      <c r="F127" s="1061">
        <f t="shared" ref="F127:G127" si="20">F128</f>
        <v>0</v>
      </c>
      <c r="G127" s="932">
        <f t="shared" si="20"/>
        <v>17.05</v>
      </c>
      <c r="H127" s="933">
        <v>0</v>
      </c>
      <c r="I127" s="1062">
        <f>I128</f>
        <v>323.95</v>
      </c>
      <c r="J127" s="2121">
        <f>J128</f>
        <v>0</v>
      </c>
      <c r="K127" s="2122"/>
      <c r="L127" s="924">
        <f>L128</f>
        <v>0</v>
      </c>
    </row>
    <row r="128" spans="1:12" ht="12.75" hidden="1" x14ac:dyDescent="0.2">
      <c r="A128" s="65"/>
      <c r="B128" s="68">
        <v>75011</v>
      </c>
      <c r="C128" s="68"/>
      <c r="D128" s="1087" t="s">
        <v>106</v>
      </c>
      <c r="E128" s="889">
        <f>E129</f>
        <v>0</v>
      </c>
      <c r="F128" s="850">
        <f t="shared" ref="F128:G128" si="21">F129</f>
        <v>0</v>
      </c>
      <c r="G128" s="76">
        <f t="shared" si="21"/>
        <v>17.05</v>
      </c>
      <c r="H128" s="91">
        <v>0</v>
      </c>
      <c r="I128" s="1063">
        <f>I129</f>
        <v>323.95</v>
      </c>
      <c r="J128" s="2074">
        <f>J129</f>
        <v>0</v>
      </c>
      <c r="K128" s="2075"/>
      <c r="L128" s="925">
        <f>L129</f>
        <v>0</v>
      </c>
    </row>
    <row r="129" spans="1:12" ht="21.75" hidden="1" customHeight="1" x14ac:dyDescent="0.2">
      <c r="A129" s="65"/>
      <c r="B129" s="944"/>
      <c r="C129" s="934" t="s">
        <v>107</v>
      </c>
      <c r="D129" s="1088" t="s">
        <v>591</v>
      </c>
      <c r="E129" s="1096">
        <v>0</v>
      </c>
      <c r="F129" s="1064"/>
      <c r="G129" s="945">
        <v>17.05</v>
      </c>
      <c r="H129" s="946">
        <v>0</v>
      </c>
      <c r="I129" s="1065">
        <v>323.95</v>
      </c>
      <c r="J129" s="2078">
        <v>0</v>
      </c>
      <c r="K129" s="2079"/>
      <c r="L129" s="929">
        <v>0</v>
      </c>
    </row>
    <row r="130" spans="1:12" ht="12.75" hidden="1" x14ac:dyDescent="0.2">
      <c r="A130" s="134">
        <v>852</v>
      </c>
      <c r="B130" s="931"/>
      <c r="C130" s="931"/>
      <c r="D130" s="1089" t="s">
        <v>37</v>
      </c>
      <c r="E130" s="1095">
        <f>E131+E133</f>
        <v>2500</v>
      </c>
      <c r="F130" s="1061">
        <f t="shared" ref="F130:G130" si="22">F131+F133</f>
        <v>45870.53</v>
      </c>
      <c r="G130" s="932">
        <f t="shared" si="22"/>
        <v>2293.4899999999998</v>
      </c>
      <c r="H130" s="933">
        <f>F130/E130</f>
        <v>18.348212</v>
      </c>
      <c r="I130" s="1066">
        <f>I131</f>
        <v>43577.04</v>
      </c>
      <c r="J130" s="2072">
        <f>J131+J133</f>
        <v>4030.13</v>
      </c>
      <c r="K130" s="2073"/>
      <c r="L130" s="924">
        <f>L131</f>
        <v>308.2</v>
      </c>
    </row>
    <row r="131" spans="1:12" ht="25.5" hidden="1" x14ac:dyDescent="0.2">
      <c r="A131" s="65"/>
      <c r="B131" s="68">
        <v>85228</v>
      </c>
      <c r="C131" s="83"/>
      <c r="D131" s="1090" t="s">
        <v>50</v>
      </c>
      <c r="E131" s="889">
        <f t="shared" ref="E131:F131" si="23">E132</f>
        <v>2500</v>
      </c>
      <c r="F131" s="850">
        <f t="shared" si="23"/>
        <v>45870.53</v>
      </c>
      <c r="G131" s="884">
        <f>G132</f>
        <v>2293.4899999999998</v>
      </c>
      <c r="H131" s="92">
        <f>F131/E131</f>
        <v>18.348212</v>
      </c>
      <c r="I131" s="1067">
        <f>I132</f>
        <v>43577.04</v>
      </c>
      <c r="J131" s="2074">
        <f>J132</f>
        <v>3821.23</v>
      </c>
      <c r="K131" s="2075"/>
      <c r="L131" s="925">
        <f>L132</f>
        <v>308.2</v>
      </c>
    </row>
    <row r="132" spans="1:12" ht="24.75" hidden="1" customHeight="1" x14ac:dyDescent="0.2">
      <c r="A132" s="65"/>
      <c r="B132" s="934"/>
      <c r="C132" s="934" t="s">
        <v>60</v>
      </c>
      <c r="D132" s="1088" t="s">
        <v>61</v>
      </c>
      <c r="E132" s="888">
        <v>2500</v>
      </c>
      <c r="F132" s="1068">
        <v>45870.53</v>
      </c>
      <c r="G132" s="935">
        <v>2293.4899999999998</v>
      </c>
      <c r="H132" s="936">
        <f>F132/E132</f>
        <v>18.348212</v>
      </c>
      <c r="I132" s="1069">
        <v>43577.04</v>
      </c>
      <c r="J132" s="2070">
        <v>3821.23</v>
      </c>
      <c r="K132" s="2071"/>
      <c r="L132" s="926">
        <v>308.2</v>
      </c>
    </row>
    <row r="133" spans="1:12" ht="12.75" hidden="1" x14ac:dyDescent="0.2">
      <c r="A133" s="922"/>
      <c r="B133" s="923">
        <v>85203</v>
      </c>
      <c r="C133" s="923"/>
      <c r="D133" s="1087" t="s">
        <v>38</v>
      </c>
      <c r="E133" s="889">
        <f>E134</f>
        <v>0</v>
      </c>
      <c r="F133" s="850">
        <f t="shared" ref="F133:G133" si="24">F134</f>
        <v>0</v>
      </c>
      <c r="G133" s="76">
        <f t="shared" si="24"/>
        <v>0</v>
      </c>
      <c r="H133" s="91">
        <v>0</v>
      </c>
      <c r="I133" s="1070">
        <f>I134</f>
        <v>0</v>
      </c>
      <c r="J133" s="2074">
        <f>J134</f>
        <v>208.9</v>
      </c>
      <c r="K133" s="2075"/>
      <c r="L133" s="925">
        <f>L134</f>
        <v>0</v>
      </c>
    </row>
    <row r="134" spans="1:12" ht="18" hidden="1" customHeight="1" x14ac:dyDescent="0.2">
      <c r="A134" s="922"/>
      <c r="B134" s="934"/>
      <c r="C134" s="934" t="s">
        <v>60</v>
      </c>
      <c r="D134" s="1088" t="s">
        <v>61</v>
      </c>
      <c r="E134" s="888">
        <v>0</v>
      </c>
      <c r="F134" s="1071">
        <v>0</v>
      </c>
      <c r="G134" s="937"/>
      <c r="H134" s="938">
        <v>0</v>
      </c>
      <c r="I134" s="1072">
        <v>0</v>
      </c>
      <c r="J134" s="2078">
        <v>208.9</v>
      </c>
      <c r="K134" s="2079"/>
      <c r="L134" s="927">
        <v>0</v>
      </c>
    </row>
    <row r="135" spans="1:12" ht="12.75" hidden="1" x14ac:dyDescent="0.2">
      <c r="A135" s="134">
        <v>855</v>
      </c>
      <c r="B135" s="931"/>
      <c r="C135" s="931"/>
      <c r="D135" s="1089" t="s">
        <v>51</v>
      </c>
      <c r="E135" s="1095">
        <f>E136</f>
        <v>155000</v>
      </c>
      <c r="F135" s="1061">
        <f>F136</f>
        <v>395525.02</v>
      </c>
      <c r="G135" s="932">
        <f>G136</f>
        <v>94672.72</v>
      </c>
      <c r="H135" s="933">
        <f>F135/E135</f>
        <v>2.5517743225806453</v>
      </c>
      <c r="I135" s="1066">
        <f>I136</f>
        <v>300852.3</v>
      </c>
      <c r="J135" s="2072">
        <f>J136</f>
        <v>10645532.01</v>
      </c>
      <c r="K135" s="2073"/>
      <c r="L135" s="924">
        <f>L136</f>
        <v>10645532.01</v>
      </c>
    </row>
    <row r="136" spans="1:12" ht="63.75" hidden="1" x14ac:dyDescent="0.2">
      <c r="A136" s="939"/>
      <c r="B136" s="69">
        <v>85502</v>
      </c>
      <c r="C136" s="69"/>
      <c r="D136" s="1091" t="s">
        <v>55</v>
      </c>
      <c r="E136" s="1097">
        <f>SUM(E137:E140)</f>
        <v>155000</v>
      </c>
      <c r="F136" s="1073">
        <f t="shared" ref="F136:G136" si="25">SUM(F137:F140)</f>
        <v>395525.02</v>
      </c>
      <c r="G136" s="1074">
        <f t="shared" si="25"/>
        <v>94672.72</v>
      </c>
      <c r="H136" s="1075">
        <f>F136/E136</f>
        <v>2.5517743225806453</v>
      </c>
      <c r="I136" s="1076">
        <f>I137+I138+I139+I140</f>
        <v>300852.3</v>
      </c>
      <c r="J136" s="2074">
        <f>J137+J138+J139+J140</f>
        <v>10645532.01</v>
      </c>
      <c r="K136" s="2075"/>
      <c r="L136" s="925">
        <f>L137+L138+L139+L140</f>
        <v>10645532.01</v>
      </c>
    </row>
    <row r="137" spans="1:12" ht="42.75" hidden="1" customHeight="1" x14ac:dyDescent="0.2">
      <c r="A137" s="940"/>
      <c r="B137" s="2127"/>
      <c r="C137" s="941" t="s">
        <v>114</v>
      </c>
      <c r="D137" s="1092" t="s">
        <v>115</v>
      </c>
      <c r="E137" s="1098">
        <v>0</v>
      </c>
      <c r="F137" s="1077">
        <v>52.4</v>
      </c>
      <c r="G137" s="1078">
        <v>0</v>
      </c>
      <c r="H137" s="1079">
        <v>0</v>
      </c>
      <c r="I137" s="1080">
        <v>52.4</v>
      </c>
      <c r="J137" s="2130">
        <v>0</v>
      </c>
      <c r="K137" s="2131"/>
      <c r="L137" s="928">
        <v>0</v>
      </c>
    </row>
    <row r="138" spans="1:12" ht="12.75" hidden="1" x14ac:dyDescent="0.2">
      <c r="A138" s="940"/>
      <c r="B138" s="2128"/>
      <c r="C138" s="942" t="s">
        <v>62</v>
      </c>
      <c r="D138" s="1093" t="s">
        <v>63</v>
      </c>
      <c r="E138" s="1099">
        <v>93000</v>
      </c>
      <c r="F138" s="1077">
        <v>161749.81</v>
      </c>
      <c r="G138" s="1078">
        <v>0</v>
      </c>
      <c r="H138" s="1079">
        <f>F138/E138</f>
        <v>1.7392452688172042</v>
      </c>
      <c r="I138" s="1081">
        <v>161749.81</v>
      </c>
      <c r="J138" s="2076">
        <v>2485029.02</v>
      </c>
      <c r="K138" s="2077"/>
      <c r="L138" s="929">
        <v>2485029.02</v>
      </c>
    </row>
    <row r="139" spans="1:12" ht="12.75" hidden="1" x14ac:dyDescent="0.2">
      <c r="A139" s="940"/>
      <c r="B139" s="2128"/>
      <c r="C139" s="942" t="s">
        <v>64</v>
      </c>
      <c r="D139" s="1093" t="s">
        <v>65</v>
      </c>
      <c r="E139" s="1099">
        <v>3500</v>
      </c>
      <c r="F139" s="1077">
        <v>11835.22</v>
      </c>
      <c r="G139" s="1078">
        <v>5917.64</v>
      </c>
      <c r="H139" s="1079">
        <f>F139/E139</f>
        <v>3.3814914285714286</v>
      </c>
      <c r="I139" s="1081">
        <v>5917.58</v>
      </c>
      <c r="J139" s="2076">
        <v>976060</v>
      </c>
      <c r="K139" s="2077"/>
      <c r="L139" s="929">
        <v>976060</v>
      </c>
    </row>
    <row r="140" spans="1:12" ht="42" hidden="1" customHeight="1" thickBot="1" x14ac:dyDescent="0.25">
      <c r="A140" s="135"/>
      <c r="B140" s="2129"/>
      <c r="C140" s="943" t="s">
        <v>66</v>
      </c>
      <c r="D140" s="1094" t="s">
        <v>67</v>
      </c>
      <c r="E140" s="890">
        <v>58500</v>
      </c>
      <c r="F140" s="1082">
        <v>221887.59</v>
      </c>
      <c r="G140" s="1078">
        <v>88755.08</v>
      </c>
      <c r="H140" s="1079">
        <f>F140/E140</f>
        <v>3.7929502564102564</v>
      </c>
      <c r="I140" s="1083">
        <v>133132.51</v>
      </c>
      <c r="J140" s="2123">
        <v>7184442.9900000002</v>
      </c>
      <c r="K140" s="2124"/>
      <c r="L140" s="926">
        <v>7184442.9900000002</v>
      </c>
    </row>
    <row r="141" spans="1:12" ht="24" hidden="1" customHeight="1" thickBot="1" x14ac:dyDescent="0.25">
      <c r="A141" s="2115" t="s">
        <v>68</v>
      </c>
      <c r="B141" s="2116"/>
      <c r="C141" s="2116"/>
      <c r="D141" s="2116"/>
      <c r="E141" s="1100">
        <f>E130+E135</f>
        <v>157500</v>
      </c>
      <c r="F141" s="1084">
        <f>F130+F135</f>
        <v>441395.55000000005</v>
      </c>
      <c r="G141" s="66">
        <f>G130+G135+G127</f>
        <v>96983.260000000009</v>
      </c>
      <c r="H141" s="114">
        <f>F141/E141</f>
        <v>2.802511428571429</v>
      </c>
      <c r="I141" s="1085">
        <f>I127+I130+I135</f>
        <v>344753.29</v>
      </c>
      <c r="J141" s="2125">
        <f>J127+J130+J135</f>
        <v>10649562.140000001</v>
      </c>
      <c r="K141" s="2126"/>
      <c r="L141" s="947">
        <f>L135+L130+L127</f>
        <v>10645840.209999999</v>
      </c>
    </row>
    <row r="142" spans="1:12" x14ac:dyDescent="0.2">
      <c r="G142" s="115"/>
    </row>
  </sheetData>
  <mergeCells count="42">
    <mergeCell ref="J125:K125"/>
    <mergeCell ref="J126:K126"/>
    <mergeCell ref="A141:D141"/>
    <mergeCell ref="K5:K6"/>
    <mergeCell ref="A80:A106"/>
    <mergeCell ref="A125:A126"/>
    <mergeCell ref="J127:K127"/>
    <mergeCell ref="J128:K128"/>
    <mergeCell ref="J131:K131"/>
    <mergeCell ref="J129:K129"/>
    <mergeCell ref="J130:K130"/>
    <mergeCell ref="J140:K140"/>
    <mergeCell ref="J141:K141"/>
    <mergeCell ref="B137:B140"/>
    <mergeCell ref="J137:K137"/>
    <mergeCell ref="I125:I126"/>
    <mergeCell ref="H125:H126"/>
    <mergeCell ref="B70:B71"/>
    <mergeCell ref="B73:B75"/>
    <mergeCell ref="B81:B94"/>
    <mergeCell ref="B125:B126"/>
    <mergeCell ref="C125:C126"/>
    <mergeCell ref="D125:D126"/>
    <mergeCell ref="E125:E126"/>
    <mergeCell ref="F125:F126"/>
    <mergeCell ref="H2:I2"/>
    <mergeCell ref="A4:H4"/>
    <mergeCell ref="A5:A6"/>
    <mergeCell ref="B5:B6"/>
    <mergeCell ref="C5:C6"/>
    <mergeCell ref="D5:D6"/>
    <mergeCell ref="E5:G5"/>
    <mergeCell ref="H5:J5"/>
    <mergeCell ref="A3:L3"/>
    <mergeCell ref="L5:L6"/>
    <mergeCell ref="J132:K132"/>
    <mergeCell ref="J135:K135"/>
    <mergeCell ref="J136:K136"/>
    <mergeCell ref="J138:K138"/>
    <mergeCell ref="J139:K139"/>
    <mergeCell ref="J134:K134"/>
    <mergeCell ref="J133:K133"/>
  </mergeCells>
  <pageMargins left="0" right="0" top="0.74803149606299213" bottom="0.35433070866141736" header="0.31496062992125984" footer="0.11811023622047245"/>
  <pageSetup paperSize="9" orientation="landscape" r:id="rId1"/>
  <headerFooter>
    <oddFooter>&amp;CStrona &amp;P z 8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9"/>
  <sheetViews>
    <sheetView showWhiteSpace="0" zoomScaleNormal="100" workbookViewId="0">
      <selection activeCell="I23" sqref="I23"/>
    </sheetView>
  </sheetViews>
  <sheetFormatPr defaultRowHeight="15" x14ac:dyDescent="0.25"/>
  <cols>
    <col min="4" max="4" width="24.85546875" customWidth="1"/>
    <col min="5" max="5" width="12.5703125" customWidth="1"/>
    <col min="6" max="6" width="12.42578125" customWidth="1"/>
    <col min="7" max="7" width="11.5703125" customWidth="1"/>
    <col min="8" max="8" width="13.140625" customWidth="1"/>
    <col min="9" max="9" width="12.5703125" customWidth="1"/>
    <col min="12" max="12" width="12" customWidth="1"/>
  </cols>
  <sheetData>
    <row r="2" spans="1:12" s="4" customFormat="1" ht="23.25" customHeight="1" thickBot="1" x14ac:dyDescent="0.25">
      <c r="A2" s="63" t="s">
        <v>95</v>
      </c>
      <c r="B2" s="1"/>
      <c r="C2" s="1"/>
      <c r="D2" s="1"/>
      <c r="E2" s="1"/>
      <c r="F2" s="1"/>
      <c r="G2" s="1"/>
      <c r="H2" s="1"/>
      <c r="I2" s="1"/>
      <c r="J2" s="64"/>
    </row>
    <row r="3" spans="1:12" s="4" customFormat="1" ht="22.5" x14ac:dyDescent="0.2">
      <c r="A3" s="2103" t="s">
        <v>0</v>
      </c>
      <c r="B3" s="2103" t="s">
        <v>1</v>
      </c>
      <c r="C3" s="2103" t="s">
        <v>2</v>
      </c>
      <c r="D3" s="2105" t="s">
        <v>3</v>
      </c>
      <c r="E3" s="2107" t="s">
        <v>7</v>
      </c>
      <c r="F3" s="2109" t="s">
        <v>93</v>
      </c>
      <c r="G3" s="136" t="s">
        <v>108</v>
      </c>
      <c r="H3" s="2093" t="s">
        <v>91</v>
      </c>
      <c r="I3" s="2132" t="s">
        <v>110</v>
      </c>
      <c r="J3" s="2111" t="s">
        <v>111</v>
      </c>
      <c r="K3" s="2112"/>
      <c r="L3" s="133" t="s">
        <v>112</v>
      </c>
    </row>
    <row r="4" spans="1:12" s="4" customFormat="1" ht="25.5" x14ac:dyDescent="0.2">
      <c r="A4" s="2104"/>
      <c r="B4" s="2104"/>
      <c r="C4" s="2104"/>
      <c r="D4" s="2106"/>
      <c r="E4" s="2108"/>
      <c r="F4" s="2110"/>
      <c r="G4" s="132" t="s">
        <v>109</v>
      </c>
      <c r="H4" s="2094"/>
      <c r="I4" s="2133"/>
      <c r="J4" s="2113" t="s">
        <v>94</v>
      </c>
      <c r="K4" s="2114"/>
      <c r="L4" s="119" t="s">
        <v>113</v>
      </c>
    </row>
    <row r="5" spans="1:12" s="4" customFormat="1" ht="12.75" x14ac:dyDescent="0.2">
      <c r="A5" s="134">
        <v>750</v>
      </c>
      <c r="B5" s="134"/>
      <c r="C5" s="134"/>
      <c r="D5" s="1086" t="s">
        <v>20</v>
      </c>
      <c r="E5" s="1095">
        <f>E6</f>
        <v>0</v>
      </c>
      <c r="F5" s="1061">
        <f t="shared" ref="F5:G6" si="0">F6</f>
        <v>341</v>
      </c>
      <c r="G5" s="932">
        <f t="shared" si="0"/>
        <v>17.05</v>
      </c>
      <c r="H5" s="933">
        <v>0</v>
      </c>
      <c r="I5" s="1062">
        <f>I6</f>
        <v>323.95</v>
      </c>
      <c r="J5" s="2121">
        <f>J6</f>
        <v>0</v>
      </c>
      <c r="K5" s="2122"/>
      <c r="L5" s="924">
        <f>L6</f>
        <v>0</v>
      </c>
    </row>
    <row r="6" spans="1:12" s="4" customFormat="1" ht="12.75" x14ac:dyDescent="0.2">
      <c r="A6" s="65"/>
      <c r="B6" s="68">
        <v>75011</v>
      </c>
      <c r="C6" s="68"/>
      <c r="D6" s="1087" t="s">
        <v>106</v>
      </c>
      <c r="E6" s="889">
        <f>E7</f>
        <v>0</v>
      </c>
      <c r="F6" s="850">
        <f t="shared" si="0"/>
        <v>341</v>
      </c>
      <c r="G6" s="76">
        <f t="shared" si="0"/>
        <v>17.05</v>
      </c>
      <c r="H6" s="91">
        <v>0</v>
      </c>
      <c r="I6" s="1063">
        <f>I7</f>
        <v>323.95</v>
      </c>
      <c r="J6" s="2074">
        <f>J7</f>
        <v>0</v>
      </c>
      <c r="K6" s="2075"/>
      <c r="L6" s="925">
        <f>L7</f>
        <v>0</v>
      </c>
    </row>
    <row r="7" spans="1:12" s="4" customFormat="1" ht="12.75" x14ac:dyDescent="0.2">
      <c r="A7" s="65"/>
      <c r="B7" s="944"/>
      <c r="C7" s="934" t="s">
        <v>107</v>
      </c>
      <c r="D7" s="1088" t="s">
        <v>591</v>
      </c>
      <c r="E7" s="1096">
        <v>0</v>
      </c>
      <c r="F7" s="1064">
        <v>341</v>
      </c>
      <c r="G7" s="945">
        <v>17.05</v>
      </c>
      <c r="H7" s="946">
        <v>0</v>
      </c>
      <c r="I7" s="1065">
        <v>323.95</v>
      </c>
      <c r="J7" s="2078">
        <v>0</v>
      </c>
      <c r="K7" s="2079"/>
      <c r="L7" s="929">
        <v>0</v>
      </c>
    </row>
    <row r="8" spans="1:12" s="4" customFormat="1" ht="12.75" x14ac:dyDescent="0.2">
      <c r="A8" s="134">
        <v>852</v>
      </c>
      <c r="B8" s="931"/>
      <c r="C8" s="931"/>
      <c r="D8" s="1089" t="s">
        <v>37</v>
      </c>
      <c r="E8" s="1095">
        <f>E9+E11</f>
        <v>2500</v>
      </c>
      <c r="F8" s="1061">
        <f t="shared" ref="F8:G8" si="1">F9+F11</f>
        <v>45870.53</v>
      </c>
      <c r="G8" s="932">
        <f t="shared" si="1"/>
        <v>2293.4899999999998</v>
      </c>
      <c r="H8" s="933">
        <f>F8/E8</f>
        <v>18.348212</v>
      </c>
      <c r="I8" s="1066">
        <f>I9</f>
        <v>43577.04</v>
      </c>
      <c r="J8" s="2072">
        <f>J9+J11</f>
        <v>4030.13</v>
      </c>
      <c r="K8" s="2073"/>
      <c r="L8" s="924">
        <f>L9</f>
        <v>308.2</v>
      </c>
    </row>
    <row r="9" spans="1:12" s="4" customFormat="1" ht="38.25" x14ac:dyDescent="0.2">
      <c r="A9" s="65"/>
      <c r="B9" s="68">
        <v>85228</v>
      </c>
      <c r="C9" s="83"/>
      <c r="D9" s="1090" t="s">
        <v>50</v>
      </c>
      <c r="E9" s="889">
        <f t="shared" ref="E9:F9" si="2">E10</f>
        <v>2500</v>
      </c>
      <c r="F9" s="850">
        <f t="shared" si="2"/>
        <v>45870.53</v>
      </c>
      <c r="G9" s="884">
        <f>G10</f>
        <v>2293.4899999999998</v>
      </c>
      <c r="H9" s="92">
        <f>F9/E9</f>
        <v>18.348212</v>
      </c>
      <c r="I9" s="1067">
        <f>I10</f>
        <v>43577.04</v>
      </c>
      <c r="J9" s="2074">
        <f>J10</f>
        <v>3821.23</v>
      </c>
      <c r="K9" s="2075"/>
      <c r="L9" s="925">
        <f>L10</f>
        <v>308.2</v>
      </c>
    </row>
    <row r="10" spans="1:12" s="4" customFormat="1" ht="12.75" x14ac:dyDescent="0.2">
      <c r="A10" s="65"/>
      <c r="B10" s="934"/>
      <c r="C10" s="934" t="s">
        <v>60</v>
      </c>
      <c r="D10" s="1088" t="s">
        <v>61</v>
      </c>
      <c r="E10" s="888">
        <v>2500</v>
      </c>
      <c r="F10" s="1068">
        <v>45870.53</v>
      </c>
      <c r="G10" s="935">
        <v>2293.4899999999998</v>
      </c>
      <c r="H10" s="936">
        <f>F10/E10</f>
        <v>18.348212</v>
      </c>
      <c r="I10" s="1069">
        <v>43577.04</v>
      </c>
      <c r="J10" s="2070">
        <v>3821.23</v>
      </c>
      <c r="K10" s="2071"/>
      <c r="L10" s="926">
        <v>308.2</v>
      </c>
    </row>
    <row r="11" spans="1:12" s="4" customFormat="1" ht="12.75" x14ac:dyDescent="0.2">
      <c r="A11" s="922"/>
      <c r="B11" s="923">
        <v>85203</v>
      </c>
      <c r="C11" s="923"/>
      <c r="D11" s="1087" t="s">
        <v>38</v>
      </c>
      <c r="E11" s="889">
        <f>E12</f>
        <v>0</v>
      </c>
      <c r="F11" s="850">
        <f t="shared" ref="F11:G11" si="3">F12</f>
        <v>0</v>
      </c>
      <c r="G11" s="76">
        <f t="shared" si="3"/>
        <v>0</v>
      </c>
      <c r="H11" s="91">
        <v>0</v>
      </c>
      <c r="I11" s="1070">
        <f>I12</f>
        <v>0</v>
      </c>
      <c r="J11" s="2074">
        <f>J12</f>
        <v>208.9</v>
      </c>
      <c r="K11" s="2075"/>
      <c r="L11" s="925">
        <f>L12</f>
        <v>0</v>
      </c>
    </row>
    <row r="12" spans="1:12" s="4" customFormat="1" ht="12.75" x14ac:dyDescent="0.2">
      <c r="A12" s="922"/>
      <c r="B12" s="934"/>
      <c r="C12" s="934" t="s">
        <v>60</v>
      </c>
      <c r="D12" s="1088" t="s">
        <v>61</v>
      </c>
      <c r="E12" s="888">
        <v>0</v>
      </c>
      <c r="F12" s="1071">
        <v>0</v>
      </c>
      <c r="G12" s="937"/>
      <c r="H12" s="938">
        <v>0</v>
      </c>
      <c r="I12" s="1072">
        <v>0</v>
      </c>
      <c r="J12" s="2078">
        <v>208.9</v>
      </c>
      <c r="K12" s="2079"/>
      <c r="L12" s="927">
        <v>0</v>
      </c>
    </row>
    <row r="13" spans="1:12" s="4" customFormat="1" ht="12.75" x14ac:dyDescent="0.2">
      <c r="A13" s="134">
        <v>855</v>
      </c>
      <c r="B13" s="931"/>
      <c r="C13" s="931"/>
      <c r="D13" s="1089" t="s">
        <v>51</v>
      </c>
      <c r="E13" s="1095">
        <f>E14</f>
        <v>155000</v>
      </c>
      <c r="F13" s="1061">
        <f>F14</f>
        <v>395525.02</v>
      </c>
      <c r="G13" s="932">
        <f>G14</f>
        <v>94672.72</v>
      </c>
      <c r="H13" s="933">
        <f>F13/E13</f>
        <v>2.5517743225806453</v>
      </c>
      <c r="I13" s="1066">
        <f>I14</f>
        <v>300852.3</v>
      </c>
      <c r="J13" s="2072">
        <f>J14</f>
        <v>10645532.01</v>
      </c>
      <c r="K13" s="2073"/>
      <c r="L13" s="924">
        <f>L14</f>
        <v>10645532.01</v>
      </c>
    </row>
    <row r="14" spans="1:12" s="4" customFormat="1" ht="76.5" x14ac:dyDescent="0.2">
      <c r="A14" s="939"/>
      <c r="B14" s="69">
        <v>85502</v>
      </c>
      <c r="C14" s="69"/>
      <c r="D14" s="1091" t="s">
        <v>55</v>
      </c>
      <c r="E14" s="1097">
        <f>SUM(E15:E18)</f>
        <v>155000</v>
      </c>
      <c r="F14" s="1073">
        <f t="shared" ref="F14:G14" si="4">SUM(F15:F18)</f>
        <v>395525.02</v>
      </c>
      <c r="G14" s="1074">
        <f t="shared" si="4"/>
        <v>94672.72</v>
      </c>
      <c r="H14" s="1075">
        <f>F14/E14</f>
        <v>2.5517743225806453</v>
      </c>
      <c r="I14" s="1076">
        <f>I15+I16+I17+I18</f>
        <v>300852.3</v>
      </c>
      <c r="J14" s="2074">
        <f>J15+J16+J17+J18</f>
        <v>10645532.01</v>
      </c>
      <c r="K14" s="2075"/>
      <c r="L14" s="925">
        <f>L15+L16+L17+L18</f>
        <v>10645532.01</v>
      </c>
    </row>
    <row r="15" spans="1:12" s="4" customFormat="1" ht="51" x14ac:dyDescent="0.2">
      <c r="A15" s="940"/>
      <c r="B15" s="2127"/>
      <c r="C15" s="941" t="s">
        <v>114</v>
      </c>
      <c r="D15" s="1092" t="s">
        <v>115</v>
      </c>
      <c r="E15" s="1098">
        <v>0</v>
      </c>
      <c r="F15" s="1077">
        <v>52.4</v>
      </c>
      <c r="G15" s="1078">
        <v>0</v>
      </c>
      <c r="H15" s="1079">
        <v>0</v>
      </c>
      <c r="I15" s="1080">
        <v>52.4</v>
      </c>
      <c r="J15" s="2130">
        <v>0</v>
      </c>
      <c r="K15" s="2131"/>
      <c r="L15" s="928">
        <v>0</v>
      </c>
    </row>
    <row r="16" spans="1:12" s="4" customFormat="1" ht="25.5" x14ac:dyDescent="0.2">
      <c r="A16" s="940"/>
      <c r="B16" s="2128"/>
      <c r="C16" s="942" t="s">
        <v>62</v>
      </c>
      <c r="D16" s="1093" t="s">
        <v>63</v>
      </c>
      <c r="E16" s="1099">
        <v>93000</v>
      </c>
      <c r="F16" s="1077">
        <v>161749.81</v>
      </c>
      <c r="G16" s="1078">
        <v>0</v>
      </c>
      <c r="H16" s="1079">
        <f>F16/E16</f>
        <v>1.7392452688172042</v>
      </c>
      <c r="I16" s="1081">
        <v>161749.81</v>
      </c>
      <c r="J16" s="2076">
        <v>2485029.02</v>
      </c>
      <c r="K16" s="2077"/>
      <c r="L16" s="929">
        <v>2485029.02</v>
      </c>
    </row>
    <row r="17" spans="1:12" s="4" customFormat="1" ht="12.75" x14ac:dyDescent="0.2">
      <c r="A17" s="940"/>
      <c r="B17" s="2128"/>
      <c r="C17" s="942" t="s">
        <v>64</v>
      </c>
      <c r="D17" s="1093" t="s">
        <v>65</v>
      </c>
      <c r="E17" s="1099">
        <v>3500</v>
      </c>
      <c r="F17" s="1077">
        <v>11835.22</v>
      </c>
      <c r="G17" s="1078">
        <v>5917.64</v>
      </c>
      <c r="H17" s="1079">
        <f>F17/E17</f>
        <v>3.3814914285714286</v>
      </c>
      <c r="I17" s="1081">
        <v>5917.58</v>
      </c>
      <c r="J17" s="2076">
        <v>976060</v>
      </c>
      <c r="K17" s="2077"/>
      <c r="L17" s="929">
        <v>976060</v>
      </c>
    </row>
    <row r="18" spans="1:12" s="4" customFormat="1" ht="39" thickBot="1" x14ac:dyDescent="0.25">
      <c r="A18" s="135"/>
      <c r="B18" s="2129"/>
      <c r="C18" s="943" t="s">
        <v>66</v>
      </c>
      <c r="D18" s="1094" t="s">
        <v>67</v>
      </c>
      <c r="E18" s="890">
        <v>58500</v>
      </c>
      <c r="F18" s="1082">
        <v>221887.59</v>
      </c>
      <c r="G18" s="1078">
        <v>88755.08</v>
      </c>
      <c r="H18" s="1079">
        <f>F18/E18</f>
        <v>3.7929502564102564</v>
      </c>
      <c r="I18" s="1083">
        <v>133132.51</v>
      </c>
      <c r="J18" s="2123">
        <v>7184442.9900000002</v>
      </c>
      <c r="K18" s="2124"/>
      <c r="L18" s="926">
        <v>7184442.9900000002</v>
      </c>
    </row>
    <row r="19" spans="1:12" s="4" customFormat="1" ht="13.5" thickBot="1" x14ac:dyDescent="0.25">
      <c r="A19" s="2115" t="s">
        <v>68</v>
      </c>
      <c r="B19" s="2116"/>
      <c r="C19" s="2116"/>
      <c r="D19" s="2116"/>
      <c r="E19" s="1100">
        <f>E8+E13</f>
        <v>157500</v>
      </c>
      <c r="F19" s="1084">
        <f>F8+F13+F5</f>
        <v>441736.55000000005</v>
      </c>
      <c r="G19" s="66">
        <f>G8+G13+G5</f>
        <v>96983.260000000009</v>
      </c>
      <c r="H19" s="114">
        <f>F19/E19</f>
        <v>2.8046765079365081</v>
      </c>
      <c r="I19" s="1085">
        <f>I5+I8+I13</f>
        <v>344753.29</v>
      </c>
      <c r="J19" s="2125">
        <f>J5+J8+J13</f>
        <v>10649562.140000001</v>
      </c>
      <c r="K19" s="2126"/>
      <c r="L19" s="947">
        <f>L13+L8+L5</f>
        <v>10645840.209999999</v>
      </c>
    </row>
  </sheetData>
  <mergeCells count="27">
    <mergeCell ref="F3:F4"/>
    <mergeCell ref="A3:A4"/>
    <mergeCell ref="B3:B4"/>
    <mergeCell ref="C3:C4"/>
    <mergeCell ref="D3:D4"/>
    <mergeCell ref="E3:E4"/>
    <mergeCell ref="J12:K12"/>
    <mergeCell ref="H3:H4"/>
    <mergeCell ref="I3:I4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A19:D19"/>
    <mergeCell ref="J19:K19"/>
    <mergeCell ref="J13:K13"/>
    <mergeCell ref="J14:K14"/>
    <mergeCell ref="B15:B18"/>
    <mergeCell ref="J15:K15"/>
    <mergeCell ref="J16:K16"/>
    <mergeCell ref="J17:K17"/>
    <mergeCell ref="J18:K18"/>
  </mergeCells>
  <pageMargins left="0.19685039370078741" right="0.19685039370078741" top="0.74803149606299213" bottom="0.74803149606299213" header="0.31496062992125984" footer="0.31496062992125984"/>
  <pageSetup paperSize="9" scale="99" fitToHeight="0" orientation="landscape" r:id="rId1"/>
  <headerFooter>
    <oddFooter>&amp;CStrona 8 z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0" workbookViewId="0">
      <selection activeCell="G1" sqref="G1:J1"/>
    </sheetView>
  </sheetViews>
  <sheetFormatPr defaultRowHeight="15" x14ac:dyDescent="0.25"/>
  <cols>
    <col min="1" max="1" width="6.28515625" customWidth="1"/>
    <col min="2" max="2" width="7.85546875" customWidth="1"/>
    <col min="3" max="3" width="8" customWidth="1"/>
    <col min="4" max="4" width="37.140625" customWidth="1"/>
    <col min="5" max="5" width="13.7109375" customWidth="1"/>
    <col min="6" max="6" width="12" customWidth="1"/>
    <col min="7" max="8" width="13.7109375" customWidth="1"/>
    <col min="9" max="9" width="11.140625" customWidth="1"/>
    <col min="10" max="10" width="13.7109375" customWidth="1"/>
  </cols>
  <sheetData>
    <row r="1" spans="1:10" ht="15" customHeight="1" x14ac:dyDescent="0.25">
      <c r="D1" s="227" t="s">
        <v>376</v>
      </c>
      <c r="E1" s="550"/>
      <c r="F1" s="550"/>
      <c r="G1" s="2141" t="s">
        <v>602</v>
      </c>
      <c r="H1" s="2141"/>
      <c r="I1" s="2141"/>
      <c r="J1" s="2141"/>
    </row>
    <row r="2" spans="1:10" x14ac:dyDescent="0.25">
      <c r="E2" s="227"/>
      <c r="F2" s="227"/>
      <c r="G2" s="227"/>
      <c r="H2" s="2138"/>
      <c r="I2" s="2138"/>
      <c r="J2" s="2138"/>
    </row>
    <row r="3" spans="1:10" ht="16.5" customHeight="1" x14ac:dyDescent="0.25">
      <c r="D3" s="551"/>
      <c r="E3" s="5"/>
      <c r="F3" s="5"/>
      <c r="G3" s="5"/>
      <c r="H3" s="2139"/>
      <c r="I3" s="2139"/>
      <c r="J3" s="2139"/>
    </row>
    <row r="4" spans="1:10" ht="15" customHeight="1" x14ac:dyDescent="0.25">
      <c r="A4" s="2140" t="s">
        <v>598</v>
      </c>
      <c r="B4" s="2140"/>
      <c r="C4" s="2140"/>
      <c r="D4" s="2140"/>
      <c r="E4" s="2140"/>
      <c r="F4" s="2140"/>
      <c r="G4" s="2140"/>
      <c r="H4" s="2140"/>
      <c r="I4" s="2140"/>
      <c r="J4" s="2140"/>
    </row>
    <row r="5" spans="1:10" ht="31.5" customHeight="1" x14ac:dyDescent="0.25">
      <c r="A5" s="2140" t="s">
        <v>377</v>
      </c>
      <c r="B5" s="2140"/>
      <c r="C5" s="2140"/>
      <c r="D5" s="2140"/>
      <c r="E5" s="2140"/>
      <c r="F5" s="2140"/>
      <c r="G5" s="2140"/>
      <c r="H5" s="2140"/>
      <c r="I5" s="2140"/>
      <c r="J5" s="2140"/>
    </row>
    <row r="6" spans="1:10" ht="28.5" customHeight="1" x14ac:dyDescent="0.25">
      <c r="A6" s="552" t="s">
        <v>120</v>
      </c>
      <c r="B6" s="552" t="s">
        <v>378</v>
      </c>
      <c r="C6" s="553"/>
      <c r="D6" s="553"/>
      <c r="E6" s="553"/>
      <c r="F6" s="553"/>
      <c r="G6" s="553"/>
      <c r="H6" s="553"/>
      <c r="I6" s="553"/>
      <c r="J6" s="553"/>
    </row>
    <row r="7" spans="1:10" x14ac:dyDescent="0.25">
      <c r="A7" s="2104" t="s">
        <v>0</v>
      </c>
      <c r="B7" s="2104" t="s">
        <v>1</v>
      </c>
      <c r="C7" s="2104" t="s">
        <v>131</v>
      </c>
      <c r="D7" s="2134" t="s">
        <v>3</v>
      </c>
      <c r="E7" s="2135" t="s">
        <v>69</v>
      </c>
      <c r="F7" s="2136"/>
      <c r="G7" s="2137"/>
      <c r="H7" s="2135" t="s">
        <v>5</v>
      </c>
      <c r="I7" s="2136"/>
      <c r="J7" s="2137"/>
    </row>
    <row r="8" spans="1:10" s="1" customFormat="1" ht="15" customHeight="1" x14ac:dyDescent="0.2">
      <c r="A8" s="2104"/>
      <c r="B8" s="2104"/>
      <c r="C8" s="2104"/>
      <c r="D8" s="2134"/>
      <c r="E8" s="2142" t="s">
        <v>379</v>
      </c>
      <c r="F8" s="2142" t="s">
        <v>514</v>
      </c>
      <c r="G8" s="2142" t="s">
        <v>91</v>
      </c>
      <c r="H8" s="2142" t="s">
        <v>379</v>
      </c>
      <c r="I8" s="2142" t="s">
        <v>514</v>
      </c>
      <c r="J8" s="2142" t="s">
        <v>91</v>
      </c>
    </row>
    <row r="9" spans="1:10" s="1" customFormat="1" ht="23.25" customHeight="1" x14ac:dyDescent="0.2">
      <c r="A9" s="2104"/>
      <c r="B9" s="2104"/>
      <c r="C9" s="2104"/>
      <c r="D9" s="2134"/>
      <c r="E9" s="2143"/>
      <c r="F9" s="2143"/>
      <c r="G9" s="2143"/>
      <c r="H9" s="2143"/>
      <c r="I9" s="2143"/>
      <c r="J9" s="2143"/>
    </row>
    <row r="10" spans="1:10" s="1" customFormat="1" ht="23.25" customHeight="1" x14ac:dyDescent="0.2">
      <c r="A10" s="554">
        <v>600</v>
      </c>
      <c r="B10" s="554"/>
      <c r="C10" s="554"/>
      <c r="D10" s="555" t="s">
        <v>303</v>
      </c>
      <c r="E10" s="556">
        <f>E11</f>
        <v>10000</v>
      </c>
      <c r="F10" s="556">
        <f t="shared" ref="F10:F11" si="0">F11</f>
        <v>10000</v>
      </c>
      <c r="G10" s="930">
        <f>F10/E10</f>
        <v>1</v>
      </c>
      <c r="H10" s="556">
        <f>H11</f>
        <v>10000</v>
      </c>
      <c r="I10" s="556">
        <f t="shared" ref="I10" si="1">I11</f>
        <v>10000</v>
      </c>
      <c r="J10" s="930">
        <f>I10/H10</f>
        <v>1</v>
      </c>
    </row>
    <row r="11" spans="1:10" s="1" customFormat="1" ht="23.25" customHeight="1" x14ac:dyDescent="0.2">
      <c r="A11" s="2144"/>
      <c r="B11" s="88">
        <v>60013</v>
      </c>
      <c r="C11" s="88"/>
      <c r="D11" s="557" t="s">
        <v>380</v>
      </c>
      <c r="E11" s="75">
        <f>E12</f>
        <v>10000</v>
      </c>
      <c r="F11" s="75">
        <f t="shared" si="0"/>
        <v>10000</v>
      </c>
      <c r="G11" s="91">
        <f>F11/E11</f>
        <v>1</v>
      </c>
      <c r="H11" s="75">
        <f>H13</f>
        <v>10000</v>
      </c>
      <c r="I11" s="75">
        <f t="shared" ref="I11" si="2">I13</f>
        <v>10000</v>
      </c>
      <c r="J11" s="91">
        <f>I11/H11</f>
        <v>1</v>
      </c>
    </row>
    <row r="12" spans="1:10" s="1" customFormat="1" ht="56.25" customHeight="1" x14ac:dyDescent="0.2">
      <c r="A12" s="2145"/>
      <c r="B12" s="2144"/>
      <c r="C12" s="87">
        <v>2330</v>
      </c>
      <c r="D12" s="558" t="s">
        <v>381</v>
      </c>
      <c r="E12" s="85">
        <v>10000</v>
      </c>
      <c r="F12" s="559">
        <v>10000</v>
      </c>
      <c r="G12" s="1101">
        <f>F12/E12</f>
        <v>1</v>
      </c>
      <c r="H12" s="85"/>
      <c r="I12" s="559"/>
      <c r="J12" s="1101"/>
    </row>
    <row r="13" spans="1:10" s="1" customFormat="1" ht="23.25" customHeight="1" x14ac:dyDescent="0.2">
      <c r="A13" s="2146"/>
      <c r="B13" s="2146"/>
      <c r="C13" s="87">
        <v>4300</v>
      </c>
      <c r="D13" s="558" t="s">
        <v>18</v>
      </c>
      <c r="E13" s="85"/>
      <c r="F13" s="559"/>
      <c r="G13" s="1101"/>
      <c r="H13" s="85">
        <v>10000</v>
      </c>
      <c r="I13" s="559">
        <v>10000</v>
      </c>
      <c r="J13" s="1101">
        <f>I13/H13</f>
        <v>1</v>
      </c>
    </row>
    <row r="14" spans="1:10" s="1" customFormat="1" ht="26.25" customHeight="1" x14ac:dyDescent="0.2">
      <c r="A14" s="554">
        <v>801</v>
      </c>
      <c r="B14" s="560"/>
      <c r="C14" s="560"/>
      <c r="D14" s="561" t="s">
        <v>33</v>
      </c>
      <c r="E14" s="562">
        <f>E15</f>
        <v>31000</v>
      </c>
      <c r="F14" s="562">
        <f t="shared" ref="F14:F15" si="3">F15</f>
        <v>30967.119999999999</v>
      </c>
      <c r="G14" s="930">
        <f>F14/E14</f>
        <v>0.99893935483870966</v>
      </c>
      <c r="H14" s="562">
        <f>H17+H21</f>
        <v>31000</v>
      </c>
      <c r="I14" s="562">
        <f>I17+I21</f>
        <v>30886.959999999999</v>
      </c>
      <c r="J14" s="930">
        <f>I14/H14</f>
        <v>0.99635354838709678</v>
      </c>
    </row>
    <row r="15" spans="1:10" s="1" customFormat="1" ht="19.5" customHeight="1" x14ac:dyDescent="0.2">
      <c r="A15" s="2147"/>
      <c r="B15" s="563">
        <v>80104</v>
      </c>
      <c r="C15" s="563"/>
      <c r="D15" s="564" t="s">
        <v>81</v>
      </c>
      <c r="E15" s="76">
        <f>E16</f>
        <v>31000</v>
      </c>
      <c r="F15" s="76">
        <f t="shared" si="3"/>
        <v>30967.119999999999</v>
      </c>
      <c r="G15" s="91">
        <f>F15/E15</f>
        <v>0.99893935483870966</v>
      </c>
      <c r="H15" s="76">
        <f>H17</f>
        <v>31000</v>
      </c>
      <c r="I15" s="76">
        <f t="shared" ref="I15" si="4">I17</f>
        <v>30886.959999999999</v>
      </c>
      <c r="J15" s="91">
        <f>I15/H15</f>
        <v>0.99635354838709678</v>
      </c>
    </row>
    <row r="16" spans="1:10" s="1" customFormat="1" ht="51" x14ac:dyDescent="0.2">
      <c r="A16" s="2148"/>
      <c r="B16" s="79"/>
      <c r="C16" s="79">
        <v>2310</v>
      </c>
      <c r="D16" s="565" t="s">
        <v>382</v>
      </c>
      <c r="E16" s="566">
        <v>31000</v>
      </c>
      <c r="F16" s="566">
        <v>30967.119999999999</v>
      </c>
      <c r="G16" s="1102">
        <f>F16/E16</f>
        <v>0.99893935483870966</v>
      </c>
      <c r="H16" s="566"/>
      <c r="I16" s="17"/>
      <c r="J16" s="112"/>
    </row>
    <row r="17" spans="1:10" ht="25.5" x14ac:dyDescent="0.25">
      <c r="A17" s="567"/>
      <c r="B17" s="567"/>
      <c r="C17" s="568">
        <v>2540</v>
      </c>
      <c r="D17" s="569" t="s">
        <v>321</v>
      </c>
      <c r="E17" s="570"/>
      <c r="F17" s="570"/>
      <c r="G17" s="1103"/>
      <c r="H17" s="571">
        <v>31000</v>
      </c>
      <c r="I17" s="571">
        <f>30967.12-80.16</f>
        <v>30886.959999999999</v>
      </c>
      <c r="J17" s="1105">
        <f>I17/H17</f>
        <v>0.99635354838709678</v>
      </c>
    </row>
    <row r="18" spans="1:10" ht="24" customHeight="1" x14ac:dyDescent="0.25">
      <c r="A18" s="2149" t="s">
        <v>288</v>
      </c>
      <c r="B18" s="2149"/>
      <c r="C18" s="2149"/>
      <c r="D18" s="2149"/>
      <c r="E18" s="572">
        <f>E14+E10</f>
        <v>41000</v>
      </c>
      <c r="F18" s="572">
        <f t="shared" ref="F18:I18" si="5">F14+F10</f>
        <v>40967.119999999995</v>
      </c>
      <c r="G18" s="1104">
        <f>F18/E18</f>
        <v>0.99919804878048768</v>
      </c>
      <c r="H18" s="572">
        <f t="shared" si="5"/>
        <v>41000</v>
      </c>
      <c r="I18" s="572">
        <f t="shared" si="5"/>
        <v>40886.959999999999</v>
      </c>
      <c r="J18" s="1104">
        <f>I18/H18</f>
        <v>0.99724292682926829</v>
      </c>
    </row>
    <row r="19" spans="1:10" ht="24" customHeight="1" x14ac:dyDescent="0.25">
      <c r="A19" s="573"/>
      <c r="B19" s="573"/>
      <c r="C19" s="573"/>
      <c r="D19" s="573"/>
      <c r="E19" s="574"/>
      <c r="F19" s="574"/>
      <c r="G19" s="574"/>
      <c r="H19" s="574"/>
      <c r="I19" s="574"/>
      <c r="J19" s="574"/>
    </row>
    <row r="20" spans="1:10" x14ac:dyDescent="0.25">
      <c r="C20" s="575"/>
      <c r="D20" s="575"/>
      <c r="E20" s="575"/>
      <c r="F20" s="575"/>
      <c r="G20" s="575"/>
      <c r="H20" s="575"/>
    </row>
    <row r="21" spans="1:10" ht="23.25" customHeight="1" x14ac:dyDescent="0.25">
      <c r="A21" s="552" t="s">
        <v>122</v>
      </c>
      <c r="B21" s="552" t="s">
        <v>383</v>
      </c>
      <c r="C21" s="552"/>
      <c r="D21" s="552"/>
      <c r="E21" s="553"/>
      <c r="F21" s="553"/>
      <c r="G21" s="553"/>
      <c r="H21" s="553"/>
      <c r="I21" s="553"/>
      <c r="J21" s="553"/>
    </row>
    <row r="22" spans="1:10" x14ac:dyDescent="0.25">
      <c r="A22" s="2144" t="s">
        <v>0</v>
      </c>
      <c r="B22" s="2104" t="s">
        <v>1</v>
      </c>
      <c r="C22" s="2104" t="s">
        <v>131</v>
      </c>
      <c r="D22" s="2150" t="s">
        <v>3</v>
      </c>
      <c r="E22" s="2135" t="s">
        <v>69</v>
      </c>
      <c r="F22" s="2136"/>
      <c r="G22" s="2137"/>
      <c r="H22" s="2135" t="s">
        <v>5</v>
      </c>
      <c r="I22" s="2136"/>
      <c r="J22" s="2137"/>
    </row>
    <row r="23" spans="1:10" s="1" customFormat="1" ht="15" customHeight="1" x14ac:dyDescent="0.2">
      <c r="A23" s="2145"/>
      <c r="B23" s="2104"/>
      <c r="C23" s="2104"/>
      <c r="D23" s="2150"/>
      <c r="E23" s="2142" t="s">
        <v>379</v>
      </c>
      <c r="F23" s="2142" t="s">
        <v>514</v>
      </c>
      <c r="G23" s="2142" t="s">
        <v>91</v>
      </c>
      <c r="H23" s="2142" t="s">
        <v>379</v>
      </c>
      <c r="I23" s="2142" t="s">
        <v>514</v>
      </c>
      <c r="J23" s="2142" t="s">
        <v>91</v>
      </c>
    </row>
    <row r="24" spans="1:10" s="1" customFormat="1" ht="23.25" customHeight="1" x14ac:dyDescent="0.2">
      <c r="A24" s="2146"/>
      <c r="B24" s="2104"/>
      <c r="C24" s="2104"/>
      <c r="D24" s="2150"/>
      <c r="E24" s="2143"/>
      <c r="F24" s="2143"/>
      <c r="G24" s="2143"/>
      <c r="H24" s="2143"/>
      <c r="I24" s="2143"/>
      <c r="J24" s="2143"/>
    </row>
    <row r="25" spans="1:10" x14ac:dyDescent="0.25">
      <c r="A25" s="576">
        <v>926</v>
      </c>
      <c r="B25" s="576"/>
      <c r="C25" s="576"/>
      <c r="D25" s="576" t="s">
        <v>384</v>
      </c>
      <c r="E25" s="577">
        <f>E26</f>
        <v>0</v>
      </c>
      <c r="F25" s="577">
        <f t="shared" ref="F25" si="6">F26</f>
        <v>0</v>
      </c>
      <c r="G25" s="1106">
        <v>0</v>
      </c>
      <c r="H25" s="577">
        <f>H26</f>
        <v>0</v>
      </c>
      <c r="I25" s="577">
        <f t="shared" ref="I25" si="7">I26</f>
        <v>0</v>
      </c>
      <c r="J25" s="1106">
        <v>0</v>
      </c>
    </row>
    <row r="26" spans="1:10" x14ac:dyDescent="0.25">
      <c r="A26" s="578"/>
      <c r="B26" s="579">
        <v>92601</v>
      </c>
      <c r="C26" s="579"/>
      <c r="D26" s="579" t="s">
        <v>385</v>
      </c>
      <c r="E26" s="580">
        <f>E27</f>
        <v>0</v>
      </c>
      <c r="F26" s="580">
        <f>F27</f>
        <v>0</v>
      </c>
      <c r="G26" s="1107">
        <v>0</v>
      </c>
      <c r="H26" s="580">
        <f>H28</f>
        <v>0</v>
      </c>
      <c r="I26" s="580">
        <f t="shared" ref="I26" si="8">I28</f>
        <v>0</v>
      </c>
      <c r="J26" s="1107">
        <v>0</v>
      </c>
    </row>
    <row r="27" spans="1:10" ht="75" x14ac:dyDescent="0.25">
      <c r="A27" s="581"/>
      <c r="B27" s="582"/>
      <c r="C27" s="582">
        <v>6320</v>
      </c>
      <c r="D27" s="583" t="s">
        <v>386</v>
      </c>
      <c r="E27" s="584">
        <v>0</v>
      </c>
      <c r="F27" s="584">
        <v>0</v>
      </c>
      <c r="G27" s="1108">
        <v>0</v>
      </c>
      <c r="H27" s="584">
        <v>0</v>
      </c>
      <c r="I27" s="584">
        <v>0</v>
      </c>
      <c r="J27" s="1108">
        <v>0</v>
      </c>
    </row>
    <row r="28" spans="1:10" ht="30" x14ac:dyDescent="0.25">
      <c r="A28" s="581"/>
      <c r="B28" s="582"/>
      <c r="C28" s="582">
        <v>6050</v>
      </c>
      <c r="D28" s="583" t="s">
        <v>45</v>
      </c>
      <c r="E28" s="584"/>
      <c r="F28" s="584"/>
      <c r="G28" s="1108"/>
      <c r="H28" s="584">
        <v>0</v>
      </c>
      <c r="I28" s="584"/>
      <c r="J28" s="1108"/>
    </row>
    <row r="29" spans="1:10" ht="28.5" customHeight="1" x14ac:dyDescent="0.25">
      <c r="A29" s="2149" t="s">
        <v>288</v>
      </c>
      <c r="B29" s="2149"/>
      <c r="C29" s="2149"/>
      <c r="D29" s="2149"/>
      <c r="E29" s="585">
        <f>E25</f>
        <v>0</v>
      </c>
      <c r="F29" s="585">
        <f t="shared" ref="F29:I29" si="9">F25</f>
        <v>0</v>
      </c>
      <c r="G29" s="1109">
        <v>0</v>
      </c>
      <c r="H29" s="585">
        <f t="shared" si="9"/>
        <v>0</v>
      </c>
      <c r="I29" s="585">
        <f t="shared" si="9"/>
        <v>0</v>
      </c>
      <c r="J29" s="1109">
        <v>0</v>
      </c>
    </row>
    <row r="30" spans="1:10" ht="24" customHeight="1" x14ac:dyDescent="0.25">
      <c r="A30" s="586"/>
      <c r="B30" s="587"/>
      <c r="C30" s="587"/>
      <c r="D30" s="588" t="s">
        <v>387</v>
      </c>
      <c r="E30" s="589">
        <f>E29+E18</f>
        <v>41000</v>
      </c>
      <c r="F30" s="589">
        <f>F29+F18</f>
        <v>40967.119999999995</v>
      </c>
      <c r="G30" s="1110">
        <f>F30/E30</f>
        <v>0.99919804878048768</v>
      </c>
      <c r="H30" s="589">
        <f>H29+H18</f>
        <v>41000</v>
      </c>
      <c r="I30" s="589">
        <f>I29+I18</f>
        <v>40886.959999999999</v>
      </c>
      <c r="J30" s="1110">
        <f>I30/H30</f>
        <v>0.99724292682926829</v>
      </c>
    </row>
  </sheetData>
  <mergeCells count="34">
    <mergeCell ref="A29:D29"/>
    <mergeCell ref="E22:G22"/>
    <mergeCell ref="H22:J22"/>
    <mergeCell ref="E23:E24"/>
    <mergeCell ref="F23:F24"/>
    <mergeCell ref="G23:G24"/>
    <mergeCell ref="H23:H24"/>
    <mergeCell ref="I23:I24"/>
    <mergeCell ref="J23:J24"/>
    <mergeCell ref="A11:A13"/>
    <mergeCell ref="B12:B13"/>
    <mergeCell ref="A15:A16"/>
    <mergeCell ref="A18:D18"/>
    <mergeCell ref="A22:A24"/>
    <mergeCell ref="B22:B24"/>
    <mergeCell ref="C22:C24"/>
    <mergeCell ref="D22:D24"/>
    <mergeCell ref="H7:J7"/>
    <mergeCell ref="E8:E9"/>
    <mergeCell ref="F8:F9"/>
    <mergeCell ref="G8:G9"/>
    <mergeCell ref="H8:H9"/>
    <mergeCell ref="I8:I9"/>
    <mergeCell ref="J8:J9"/>
    <mergeCell ref="H2:J2"/>
    <mergeCell ref="H3:J3"/>
    <mergeCell ref="A4:J4"/>
    <mergeCell ref="A5:J5"/>
    <mergeCell ref="G1:J1"/>
    <mergeCell ref="A7:A9"/>
    <mergeCell ref="B7:B9"/>
    <mergeCell ref="C7:C9"/>
    <mergeCell ref="D7:D9"/>
    <mergeCell ref="E7:G7"/>
  </mergeCells>
  <pageMargins left="0.70866141732283472" right="0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="115" zoomScaleNormal="115" workbookViewId="0">
      <selection activeCell="K7" sqref="K7"/>
    </sheetView>
  </sheetViews>
  <sheetFormatPr defaultRowHeight="12.75" x14ac:dyDescent="0.2"/>
  <cols>
    <col min="1" max="1" width="5" style="1" customWidth="1"/>
    <col min="2" max="2" width="9" style="1" customWidth="1"/>
    <col min="3" max="3" width="6.140625" style="1" customWidth="1"/>
    <col min="4" max="4" width="31.5703125" style="1" customWidth="1"/>
    <col min="5" max="5" width="12.28515625" style="1" customWidth="1"/>
    <col min="6" max="6" width="12.5703125" style="1" customWidth="1"/>
    <col min="7" max="7" width="9.28515625" style="1" customWidth="1"/>
    <col min="8" max="8" width="12.140625" style="1" customWidth="1"/>
    <col min="9" max="9" width="12" style="1" customWidth="1"/>
    <col min="10" max="10" width="10.5703125" style="1" customWidth="1"/>
    <col min="11" max="11" width="11" style="1" customWidth="1"/>
    <col min="12" max="12" width="9.140625" style="1"/>
    <col min="13" max="13" width="10.140625" style="1" bestFit="1" customWidth="1"/>
    <col min="14" max="16384" width="9.140625" style="1"/>
  </cols>
  <sheetData>
    <row r="1" spans="1:12" x14ac:dyDescent="0.2">
      <c r="E1" s="2"/>
      <c r="F1" s="2"/>
      <c r="G1" s="2154" t="s">
        <v>1603</v>
      </c>
      <c r="H1" s="2154"/>
      <c r="I1" s="2154"/>
      <c r="J1" s="2154"/>
      <c r="K1" s="2154"/>
      <c r="L1" s="2154"/>
    </row>
    <row r="2" spans="1:12" ht="15" customHeight="1" x14ac:dyDescent="0.2">
      <c r="E2" s="2"/>
      <c r="F2" s="2"/>
      <c r="G2" s="2151"/>
      <c r="H2" s="2151"/>
      <c r="I2" s="2151"/>
      <c r="J2" s="2151"/>
    </row>
    <row r="3" spans="1:12" ht="32.25" customHeight="1" x14ac:dyDescent="0.25">
      <c r="A3" s="2152" t="s">
        <v>96</v>
      </c>
      <c r="B3" s="2152"/>
      <c r="C3" s="2152"/>
      <c r="D3" s="2152"/>
      <c r="E3" s="2152"/>
      <c r="F3" s="2152"/>
      <c r="G3" s="2152"/>
      <c r="H3" s="2152"/>
      <c r="I3" s="2152"/>
      <c r="J3" s="2152"/>
    </row>
    <row r="4" spans="1:12" ht="16.5" thickBot="1" x14ac:dyDescent="0.3">
      <c r="A4" s="2153"/>
      <c r="B4" s="2153"/>
      <c r="C4" s="2153"/>
      <c r="D4" s="2153"/>
      <c r="E4" s="2153"/>
      <c r="F4" s="2153"/>
      <c r="G4" s="2153"/>
      <c r="H4" s="2153"/>
    </row>
    <row r="5" spans="1:12" ht="15" customHeight="1" x14ac:dyDescent="0.2">
      <c r="A5" s="2082" t="s">
        <v>0</v>
      </c>
      <c r="B5" s="2082" t="s">
        <v>1</v>
      </c>
      <c r="C5" s="2082" t="s">
        <v>2</v>
      </c>
      <c r="D5" s="2084" t="s">
        <v>3</v>
      </c>
      <c r="E5" s="2157" t="s">
        <v>69</v>
      </c>
      <c r="F5" s="2158"/>
      <c r="G5" s="2158"/>
      <c r="H5" s="2157" t="s">
        <v>5</v>
      </c>
      <c r="I5" s="2158"/>
      <c r="J5" s="2162"/>
      <c r="K5" s="2117" t="s">
        <v>596</v>
      </c>
      <c r="L5" s="2091" t="s">
        <v>92</v>
      </c>
    </row>
    <row r="6" spans="1:12" ht="62.25" customHeight="1" thickBot="1" x14ac:dyDescent="0.25">
      <c r="A6" s="2083"/>
      <c r="B6" s="2083"/>
      <c r="C6" s="2083"/>
      <c r="D6" s="2085"/>
      <c r="E6" s="840" t="s">
        <v>116</v>
      </c>
      <c r="F6" s="6" t="s">
        <v>89</v>
      </c>
      <c r="G6" s="835" t="s">
        <v>91</v>
      </c>
      <c r="H6" s="840" t="s">
        <v>117</v>
      </c>
      <c r="I6" s="6" t="s">
        <v>90</v>
      </c>
      <c r="J6" s="894" t="s">
        <v>91</v>
      </c>
      <c r="K6" s="2160"/>
      <c r="L6" s="2161"/>
    </row>
    <row r="7" spans="1:12" x14ac:dyDescent="0.2">
      <c r="A7" s="97">
        <v>758</v>
      </c>
      <c r="B7" s="107"/>
      <c r="C7" s="107"/>
      <c r="D7" s="868" t="s">
        <v>70</v>
      </c>
      <c r="E7" s="846">
        <f>E8</f>
        <v>90749.51</v>
      </c>
      <c r="F7" s="105">
        <f t="shared" ref="F7" si="0">F8</f>
        <v>90749.51</v>
      </c>
      <c r="G7" s="836">
        <f>F7/E7</f>
        <v>1</v>
      </c>
      <c r="H7" s="841"/>
      <c r="I7" s="813"/>
      <c r="J7" s="895"/>
      <c r="K7" s="879"/>
      <c r="L7" s="814"/>
    </row>
    <row r="8" spans="1:12" x14ac:dyDescent="0.2">
      <c r="A8" s="67"/>
      <c r="B8" s="68">
        <v>75814</v>
      </c>
      <c r="C8" s="69"/>
      <c r="D8" s="891" t="s">
        <v>27</v>
      </c>
      <c r="E8" s="842">
        <f>E9+E10</f>
        <v>90749.51</v>
      </c>
      <c r="F8" s="847">
        <f t="shared" ref="F8" si="1">F9+F10</f>
        <v>90749.51</v>
      </c>
      <c r="G8" s="896">
        <f>F8/E8</f>
        <v>1</v>
      </c>
      <c r="H8" s="842"/>
      <c r="I8" s="843"/>
      <c r="J8" s="897"/>
      <c r="K8" s="880"/>
      <c r="L8" s="815"/>
    </row>
    <row r="9" spans="1:12" ht="36" x14ac:dyDescent="0.2">
      <c r="A9" s="67"/>
      <c r="B9" s="71"/>
      <c r="C9" s="72">
        <v>2030</v>
      </c>
      <c r="D9" s="52" t="s">
        <v>71</v>
      </c>
      <c r="E9" s="855">
        <v>82548.56</v>
      </c>
      <c r="F9" s="73">
        <v>82548.56</v>
      </c>
      <c r="G9" s="898">
        <f>F9/E9</f>
        <v>1</v>
      </c>
      <c r="H9" s="844"/>
      <c r="I9" s="816"/>
      <c r="J9" s="899"/>
      <c r="K9" s="881"/>
      <c r="L9" s="817"/>
    </row>
    <row r="10" spans="1:12" ht="48.75" thickBot="1" x14ac:dyDescent="0.25">
      <c r="A10" s="67"/>
      <c r="B10" s="71"/>
      <c r="C10" s="71">
        <v>6330</v>
      </c>
      <c r="D10" s="54" t="s">
        <v>72</v>
      </c>
      <c r="E10" s="845">
        <v>8200.9500000000007</v>
      </c>
      <c r="F10" s="74">
        <v>8200.9500000000007</v>
      </c>
      <c r="G10" s="837">
        <f t="shared" ref="G10:G67" si="2">F10/E10</f>
        <v>1</v>
      </c>
      <c r="H10" s="845"/>
      <c r="I10" s="818"/>
      <c r="J10" s="900"/>
      <c r="K10" s="882"/>
      <c r="L10" s="819"/>
    </row>
    <row r="11" spans="1:12" x14ac:dyDescent="0.2">
      <c r="A11" s="97">
        <v>700</v>
      </c>
      <c r="B11" s="107"/>
      <c r="C11" s="108"/>
      <c r="D11" s="869" t="s">
        <v>73</v>
      </c>
      <c r="E11" s="841"/>
      <c r="F11" s="109"/>
      <c r="G11" s="838"/>
      <c r="H11" s="846">
        <f>H12</f>
        <v>8200.9500000000007</v>
      </c>
      <c r="I11" s="103">
        <f t="shared" ref="I11:K12" si="3">I12</f>
        <v>8200.9500000000007</v>
      </c>
      <c r="J11" s="901">
        <f t="shared" si="3"/>
        <v>1</v>
      </c>
      <c r="K11" s="103">
        <f t="shared" si="3"/>
        <v>0</v>
      </c>
      <c r="L11" s="103"/>
    </row>
    <row r="12" spans="1:12" x14ac:dyDescent="0.2">
      <c r="A12" s="67"/>
      <c r="B12" s="68">
        <v>70005</v>
      </c>
      <c r="C12" s="69"/>
      <c r="D12" s="891" t="s">
        <v>74</v>
      </c>
      <c r="E12" s="842"/>
      <c r="F12" s="847"/>
      <c r="G12" s="896"/>
      <c r="H12" s="842">
        <f>H13</f>
        <v>8200.9500000000007</v>
      </c>
      <c r="I12" s="847">
        <f t="shared" si="3"/>
        <v>8200.9500000000007</v>
      </c>
      <c r="J12" s="902">
        <f t="shared" si="3"/>
        <v>1</v>
      </c>
      <c r="K12" s="847">
        <f t="shared" si="3"/>
        <v>0</v>
      </c>
      <c r="L12" s="70"/>
    </row>
    <row r="13" spans="1:12" ht="24.75" thickBot="1" x14ac:dyDescent="0.25">
      <c r="A13" s="67"/>
      <c r="B13" s="71"/>
      <c r="C13" s="71">
        <v>6060</v>
      </c>
      <c r="D13" s="54" t="s">
        <v>75</v>
      </c>
      <c r="E13" s="845"/>
      <c r="F13" s="74"/>
      <c r="G13" s="837"/>
      <c r="H13" s="848">
        <v>8200.9500000000007</v>
      </c>
      <c r="I13" s="820">
        <v>8200.9500000000007</v>
      </c>
      <c r="J13" s="900">
        <f>I13/H13</f>
        <v>1</v>
      </c>
      <c r="K13" s="882"/>
      <c r="L13" s="819"/>
    </row>
    <row r="14" spans="1:12" x14ac:dyDescent="0.2">
      <c r="A14" s="97">
        <v>750</v>
      </c>
      <c r="B14" s="104"/>
      <c r="C14" s="104"/>
      <c r="D14" s="868" t="s">
        <v>20</v>
      </c>
      <c r="E14" s="846"/>
      <c r="F14" s="105"/>
      <c r="G14" s="838"/>
      <c r="H14" s="849">
        <f>H15</f>
        <v>20000</v>
      </c>
      <c r="I14" s="106">
        <f t="shared" ref="I14:K15" si="4">I15</f>
        <v>20000</v>
      </c>
      <c r="J14" s="903">
        <f t="shared" si="4"/>
        <v>1</v>
      </c>
      <c r="K14" s="883">
        <f t="shared" si="4"/>
        <v>0</v>
      </c>
      <c r="L14" s="106"/>
    </row>
    <row r="15" spans="1:12" ht="24" x14ac:dyDescent="0.2">
      <c r="A15" s="67"/>
      <c r="B15" s="68">
        <v>75075</v>
      </c>
      <c r="C15" s="68"/>
      <c r="D15" s="870" t="s">
        <v>76</v>
      </c>
      <c r="E15" s="853"/>
      <c r="F15" s="75"/>
      <c r="G15" s="896"/>
      <c r="H15" s="850">
        <f>H16</f>
        <v>20000</v>
      </c>
      <c r="I15" s="76">
        <f t="shared" si="4"/>
        <v>20000</v>
      </c>
      <c r="J15" s="904">
        <f t="shared" si="4"/>
        <v>1</v>
      </c>
      <c r="K15" s="884">
        <f t="shared" si="4"/>
        <v>0</v>
      </c>
      <c r="L15" s="76"/>
    </row>
    <row r="16" spans="1:12" ht="13.5" thickBot="1" x14ac:dyDescent="0.25">
      <c r="A16" s="67"/>
      <c r="B16" s="71"/>
      <c r="C16" s="71">
        <v>4300</v>
      </c>
      <c r="D16" s="54" t="s">
        <v>18</v>
      </c>
      <c r="E16" s="845"/>
      <c r="F16" s="74"/>
      <c r="G16" s="837"/>
      <c r="H16" s="848">
        <v>20000</v>
      </c>
      <c r="I16" s="820">
        <v>20000</v>
      </c>
      <c r="J16" s="900">
        <f>I16/H16</f>
        <v>1</v>
      </c>
      <c r="K16" s="882"/>
      <c r="L16" s="819"/>
    </row>
    <row r="17" spans="1:13" x14ac:dyDescent="0.2">
      <c r="A17" s="97">
        <v>801</v>
      </c>
      <c r="B17" s="100"/>
      <c r="C17" s="101"/>
      <c r="D17" s="871" t="s">
        <v>33</v>
      </c>
      <c r="E17" s="905">
        <f>E23+E26+E18</f>
        <v>647070</v>
      </c>
      <c r="F17" s="102">
        <f t="shared" ref="F17:K17" si="5">F23+F26+F18</f>
        <v>647070</v>
      </c>
      <c r="G17" s="838">
        <f t="shared" si="2"/>
        <v>1</v>
      </c>
      <c r="H17" s="846">
        <f t="shared" si="5"/>
        <v>709618.56</v>
      </c>
      <c r="I17" s="103">
        <f t="shared" si="5"/>
        <v>709618.56</v>
      </c>
      <c r="J17" s="901">
        <f>I17/H17</f>
        <v>1</v>
      </c>
      <c r="K17" s="103">
        <f t="shared" si="5"/>
        <v>0</v>
      </c>
      <c r="L17" s="103"/>
    </row>
    <row r="18" spans="1:13" x14ac:dyDescent="0.2">
      <c r="A18" s="77"/>
      <c r="B18" s="69">
        <v>80101</v>
      </c>
      <c r="C18" s="78"/>
      <c r="D18" s="557" t="s">
        <v>77</v>
      </c>
      <c r="E18" s="842">
        <f>E19</f>
        <v>84000</v>
      </c>
      <c r="F18" s="847">
        <f t="shared" ref="F18" si="6">F19</f>
        <v>84000</v>
      </c>
      <c r="G18" s="896">
        <f t="shared" si="2"/>
        <v>1</v>
      </c>
      <c r="H18" s="842">
        <f>H20+H21+H22</f>
        <v>146548.56</v>
      </c>
      <c r="I18" s="847">
        <f t="shared" ref="I18" si="7">I20+I21+I22</f>
        <v>146548.56</v>
      </c>
      <c r="J18" s="902">
        <f>I18/H18</f>
        <v>1</v>
      </c>
      <c r="K18" s="847">
        <f>K19</f>
        <v>0</v>
      </c>
      <c r="L18" s="70"/>
    </row>
    <row r="19" spans="1:13" ht="36" x14ac:dyDescent="0.2">
      <c r="A19" s="77"/>
      <c r="B19" s="2155"/>
      <c r="C19" s="79">
        <v>2030</v>
      </c>
      <c r="D19" s="52" t="s">
        <v>71</v>
      </c>
      <c r="E19" s="851">
        <v>84000</v>
      </c>
      <c r="F19" s="852">
        <v>84000</v>
      </c>
      <c r="G19" s="898">
        <f t="shared" si="2"/>
        <v>1</v>
      </c>
      <c r="H19" s="851"/>
      <c r="I19" s="852"/>
      <c r="J19" s="906"/>
      <c r="K19" s="881"/>
      <c r="L19" s="817"/>
    </row>
    <row r="20" spans="1:13" ht="25.5" x14ac:dyDescent="0.2">
      <c r="A20" s="77"/>
      <c r="B20" s="2156"/>
      <c r="C20" s="80">
        <v>4240</v>
      </c>
      <c r="D20" s="892" t="s">
        <v>36</v>
      </c>
      <c r="E20" s="851"/>
      <c r="F20" s="852"/>
      <c r="G20" s="898"/>
      <c r="H20" s="851">
        <v>84000</v>
      </c>
      <c r="I20" s="852">
        <v>84000</v>
      </c>
      <c r="J20" s="906">
        <f>I20/H20</f>
        <v>1</v>
      </c>
      <c r="K20" s="881"/>
      <c r="L20" s="817"/>
    </row>
    <row r="21" spans="1:13" x14ac:dyDescent="0.2">
      <c r="A21" s="77"/>
      <c r="B21" s="81"/>
      <c r="C21" s="80">
        <v>4270</v>
      </c>
      <c r="D21" s="892" t="s">
        <v>78</v>
      </c>
      <c r="E21" s="851"/>
      <c r="F21" s="852"/>
      <c r="G21" s="898"/>
      <c r="H21" s="851">
        <v>62548.56</v>
      </c>
      <c r="I21" s="852">
        <v>62548.56</v>
      </c>
      <c r="J21" s="906">
        <f t="shared" ref="J21" si="8">I21/H21</f>
        <v>1</v>
      </c>
      <c r="K21" s="881"/>
      <c r="L21" s="817"/>
    </row>
    <row r="22" spans="1:13" ht="38.25" x14ac:dyDescent="0.2">
      <c r="A22" s="77"/>
      <c r="B22" s="82"/>
      <c r="C22" s="80">
        <v>4330</v>
      </c>
      <c r="D22" s="892" t="s">
        <v>79</v>
      </c>
      <c r="E22" s="851"/>
      <c r="F22" s="852"/>
      <c r="G22" s="898"/>
      <c r="H22" s="851">
        <v>0</v>
      </c>
      <c r="I22" s="852">
        <v>0</v>
      </c>
      <c r="J22" s="906">
        <v>0</v>
      </c>
      <c r="K22" s="881"/>
      <c r="L22" s="817"/>
    </row>
    <row r="23" spans="1:13" ht="25.5" x14ac:dyDescent="0.2">
      <c r="A23" s="67"/>
      <c r="B23" s="68">
        <v>80103</v>
      </c>
      <c r="C23" s="83"/>
      <c r="D23" s="872" t="s">
        <v>80</v>
      </c>
      <c r="E23" s="853">
        <f>E24</f>
        <v>80830</v>
      </c>
      <c r="F23" s="84">
        <f t="shared" ref="F23" si="9">F24</f>
        <v>80830</v>
      </c>
      <c r="G23" s="896">
        <f t="shared" si="2"/>
        <v>1</v>
      </c>
      <c r="H23" s="853">
        <f>H25</f>
        <v>80830</v>
      </c>
      <c r="I23" s="84">
        <f t="shared" ref="I23" si="10">I25</f>
        <v>80830</v>
      </c>
      <c r="J23" s="907">
        <f>I23/H23</f>
        <v>1</v>
      </c>
      <c r="K23" s="84">
        <f>K24</f>
        <v>0</v>
      </c>
      <c r="L23" s="84"/>
    </row>
    <row r="24" spans="1:13" ht="36" x14ac:dyDescent="0.2">
      <c r="A24" s="67"/>
      <c r="B24" s="71"/>
      <c r="C24" s="79">
        <v>2030</v>
      </c>
      <c r="D24" s="52" t="s">
        <v>71</v>
      </c>
      <c r="E24" s="854">
        <v>80830</v>
      </c>
      <c r="F24" s="86">
        <v>80830</v>
      </c>
      <c r="G24" s="898">
        <f t="shared" si="2"/>
        <v>1</v>
      </c>
      <c r="H24" s="854"/>
      <c r="I24" s="821"/>
      <c r="J24" s="908"/>
      <c r="K24" s="881"/>
      <c r="L24" s="817"/>
    </row>
    <row r="25" spans="1:13" x14ac:dyDescent="0.2">
      <c r="A25" s="67"/>
      <c r="B25" s="87"/>
      <c r="C25" s="72">
        <v>4010</v>
      </c>
      <c r="D25" s="52" t="s">
        <v>13</v>
      </c>
      <c r="E25" s="855"/>
      <c r="F25" s="73"/>
      <c r="G25" s="898"/>
      <c r="H25" s="855">
        <v>80830</v>
      </c>
      <c r="I25" s="856">
        <v>80830</v>
      </c>
      <c r="J25" s="909">
        <f>I25/H25</f>
        <v>1</v>
      </c>
      <c r="K25" s="881"/>
      <c r="L25" s="817"/>
    </row>
    <row r="26" spans="1:13" x14ac:dyDescent="0.2">
      <c r="A26" s="67"/>
      <c r="B26" s="88">
        <v>80104</v>
      </c>
      <c r="C26" s="69"/>
      <c r="D26" s="557" t="s">
        <v>81</v>
      </c>
      <c r="E26" s="842">
        <f>E27</f>
        <v>482240</v>
      </c>
      <c r="F26" s="847">
        <f t="shared" ref="F26" si="11">F27</f>
        <v>482240</v>
      </c>
      <c r="G26" s="896">
        <f t="shared" si="2"/>
        <v>1</v>
      </c>
      <c r="H26" s="842">
        <f>H28</f>
        <v>482240</v>
      </c>
      <c r="I26" s="847">
        <f t="shared" ref="I26:J26" si="12">I28</f>
        <v>482240</v>
      </c>
      <c r="J26" s="902">
        <f t="shared" si="12"/>
        <v>1</v>
      </c>
      <c r="K26" s="847">
        <f>K27</f>
        <v>0</v>
      </c>
      <c r="L26" s="70"/>
    </row>
    <row r="27" spans="1:13" ht="36" x14ac:dyDescent="0.2">
      <c r="A27" s="67"/>
      <c r="B27" s="71"/>
      <c r="C27" s="79">
        <v>2030</v>
      </c>
      <c r="D27" s="52" t="s">
        <v>71</v>
      </c>
      <c r="E27" s="854">
        <v>482240</v>
      </c>
      <c r="F27" s="86">
        <v>482240</v>
      </c>
      <c r="G27" s="898">
        <f t="shared" si="2"/>
        <v>1</v>
      </c>
      <c r="H27" s="854"/>
      <c r="I27" s="821"/>
      <c r="J27" s="908"/>
      <c r="K27" s="881"/>
      <c r="L27" s="817"/>
    </row>
    <row r="28" spans="1:13" ht="13.5" thickBot="1" x14ac:dyDescent="0.25">
      <c r="A28" s="67"/>
      <c r="B28" s="71"/>
      <c r="C28" s="71">
        <v>4010</v>
      </c>
      <c r="D28" s="54" t="s">
        <v>13</v>
      </c>
      <c r="E28" s="844"/>
      <c r="F28" s="96"/>
      <c r="G28" s="837"/>
      <c r="H28" s="844">
        <v>482240</v>
      </c>
      <c r="I28" s="830">
        <v>482240</v>
      </c>
      <c r="J28" s="910">
        <f>I28/H28</f>
        <v>1</v>
      </c>
      <c r="K28" s="882"/>
      <c r="L28" s="819"/>
    </row>
    <row r="29" spans="1:13" ht="21.75" customHeight="1" x14ac:dyDescent="0.2">
      <c r="A29" s="97">
        <v>852</v>
      </c>
      <c r="B29" s="98"/>
      <c r="C29" s="98"/>
      <c r="D29" s="873" t="s">
        <v>37</v>
      </c>
      <c r="E29" s="857">
        <f>E30+E33+E36+E39+E56+E51</f>
        <v>951171</v>
      </c>
      <c r="F29" s="99">
        <f t="shared" ref="F29:I29" si="13">F30+F33+F36+F39+F56+F51</f>
        <v>948737.82</v>
      </c>
      <c r="G29" s="838">
        <f t="shared" si="2"/>
        <v>0.99744191107592639</v>
      </c>
      <c r="H29" s="857">
        <f t="shared" si="13"/>
        <v>951171</v>
      </c>
      <c r="I29" s="99">
        <f t="shared" si="13"/>
        <v>948737.82</v>
      </c>
      <c r="J29" s="911">
        <f>I29/H29</f>
        <v>0.99744191107592639</v>
      </c>
      <c r="K29" s="99">
        <f>K30+K33+K36+K39+K50</f>
        <v>2433.1799999999998</v>
      </c>
      <c r="L29" s="99"/>
    </row>
    <row r="30" spans="1:13" ht="76.5" x14ac:dyDescent="0.2">
      <c r="A30" s="15"/>
      <c r="B30" s="33">
        <v>85213</v>
      </c>
      <c r="C30" s="34"/>
      <c r="D30" s="874" t="s">
        <v>46</v>
      </c>
      <c r="E30" s="858">
        <f>E31</f>
        <v>50918</v>
      </c>
      <c r="F30" s="822">
        <f t="shared" ref="F30" si="14">F31</f>
        <v>48594.03</v>
      </c>
      <c r="G30" s="896">
        <f t="shared" si="2"/>
        <v>0.9543585765348207</v>
      </c>
      <c r="H30" s="858">
        <f>H32</f>
        <v>50918</v>
      </c>
      <c r="I30" s="822">
        <f t="shared" ref="I30" si="15">I32</f>
        <v>48594.03</v>
      </c>
      <c r="J30" s="912">
        <f>I30/H30</f>
        <v>0.9543585765348207</v>
      </c>
      <c r="K30" s="822">
        <f>K31</f>
        <v>2323.9699999999998</v>
      </c>
      <c r="L30" s="822"/>
    </row>
    <row r="31" spans="1:13" ht="36" x14ac:dyDescent="0.2">
      <c r="A31" s="15"/>
      <c r="B31" s="10"/>
      <c r="C31" s="16">
        <v>2030</v>
      </c>
      <c r="D31" s="52" t="s">
        <v>71</v>
      </c>
      <c r="E31" s="859">
        <v>50918</v>
      </c>
      <c r="F31" s="913">
        <v>48594.03</v>
      </c>
      <c r="G31" s="898">
        <f t="shared" si="2"/>
        <v>0.9543585765348207</v>
      </c>
      <c r="H31" s="859"/>
      <c r="I31" s="821"/>
      <c r="J31" s="908"/>
      <c r="K31" s="885">
        <v>2323.9699999999998</v>
      </c>
      <c r="L31" s="823" t="s">
        <v>99</v>
      </c>
      <c r="M31" s="64"/>
    </row>
    <row r="32" spans="1:13" ht="15.75" x14ac:dyDescent="0.2">
      <c r="A32" s="15"/>
      <c r="B32" s="43"/>
      <c r="C32" s="16">
        <v>4130</v>
      </c>
      <c r="D32" s="52" t="s">
        <v>47</v>
      </c>
      <c r="E32" s="859"/>
      <c r="F32" s="913"/>
      <c r="G32" s="898"/>
      <c r="H32" s="860">
        <v>50918</v>
      </c>
      <c r="I32" s="824">
        <v>48594.03</v>
      </c>
      <c r="J32" s="914">
        <f>I32/H32</f>
        <v>0.9543585765348207</v>
      </c>
      <c r="K32" s="881"/>
      <c r="L32" s="817"/>
    </row>
    <row r="33" spans="1:13" ht="38.25" x14ac:dyDescent="0.2">
      <c r="A33" s="15"/>
      <c r="B33" s="33">
        <v>85214</v>
      </c>
      <c r="C33" s="34"/>
      <c r="D33" s="874" t="s">
        <v>82</v>
      </c>
      <c r="E33" s="858">
        <f>E34</f>
        <v>96000</v>
      </c>
      <c r="F33" s="822">
        <f t="shared" ref="F33" si="16">F34</f>
        <v>96000</v>
      </c>
      <c r="G33" s="896">
        <f t="shared" si="2"/>
        <v>1</v>
      </c>
      <c r="H33" s="858">
        <f>H35</f>
        <v>96000</v>
      </c>
      <c r="I33" s="822">
        <f t="shared" ref="I33" si="17">I35</f>
        <v>96000</v>
      </c>
      <c r="J33" s="912">
        <f>I33/H33</f>
        <v>1</v>
      </c>
      <c r="K33" s="822">
        <f>K34</f>
        <v>0</v>
      </c>
      <c r="L33" s="822"/>
    </row>
    <row r="34" spans="1:13" ht="36" x14ac:dyDescent="0.2">
      <c r="A34" s="15"/>
      <c r="B34" s="10"/>
      <c r="C34" s="16">
        <v>2030</v>
      </c>
      <c r="D34" s="52" t="s">
        <v>71</v>
      </c>
      <c r="E34" s="859">
        <v>96000</v>
      </c>
      <c r="F34" s="913">
        <v>96000</v>
      </c>
      <c r="G34" s="898">
        <f t="shared" si="2"/>
        <v>1</v>
      </c>
      <c r="H34" s="859"/>
      <c r="I34" s="824"/>
      <c r="J34" s="908"/>
      <c r="K34" s="881"/>
      <c r="L34" s="817"/>
    </row>
    <row r="35" spans="1:13" ht="15.75" x14ac:dyDescent="0.2">
      <c r="A35" s="15"/>
      <c r="B35" s="43"/>
      <c r="C35" s="16">
        <v>3110</v>
      </c>
      <c r="D35" s="52" t="s">
        <v>54</v>
      </c>
      <c r="E35" s="859"/>
      <c r="F35" s="913"/>
      <c r="G35" s="898"/>
      <c r="H35" s="859">
        <v>96000</v>
      </c>
      <c r="I35" s="824">
        <v>96000</v>
      </c>
      <c r="J35" s="914">
        <f>I35/H35</f>
        <v>1</v>
      </c>
      <c r="K35" s="881"/>
      <c r="L35" s="817"/>
    </row>
    <row r="36" spans="1:13" ht="15.75" x14ac:dyDescent="0.2">
      <c r="A36" s="15"/>
      <c r="B36" s="23">
        <v>85216</v>
      </c>
      <c r="C36" s="12"/>
      <c r="D36" s="893" t="s">
        <v>83</v>
      </c>
      <c r="E36" s="915">
        <f>SUM(E37:E37)</f>
        <v>432000</v>
      </c>
      <c r="F36" s="916">
        <f t="shared" ref="F36" si="18">SUM(F37:F37)</f>
        <v>431890.79</v>
      </c>
      <c r="G36" s="896">
        <f t="shared" si="2"/>
        <v>0.99974719907407406</v>
      </c>
      <c r="H36" s="861">
        <f>SUM(H38)</f>
        <v>432000</v>
      </c>
      <c r="I36" s="862">
        <f t="shared" ref="I36" si="19">SUM(I38)</f>
        <v>431890.79</v>
      </c>
      <c r="J36" s="917">
        <f>I36/H36</f>
        <v>0.99974719907407406</v>
      </c>
      <c r="K36" s="862">
        <f>K37</f>
        <v>109.21</v>
      </c>
      <c r="L36" s="826"/>
    </row>
    <row r="37" spans="1:13" ht="36" x14ac:dyDescent="0.2">
      <c r="A37" s="15"/>
      <c r="B37" s="10"/>
      <c r="C37" s="16">
        <v>2030</v>
      </c>
      <c r="D37" s="52" t="s">
        <v>71</v>
      </c>
      <c r="E37" s="859">
        <v>432000</v>
      </c>
      <c r="F37" s="913">
        <v>431890.79</v>
      </c>
      <c r="G37" s="898">
        <f t="shared" si="2"/>
        <v>0.99974719907407406</v>
      </c>
      <c r="H37" s="859"/>
      <c r="I37" s="821"/>
      <c r="J37" s="908"/>
      <c r="K37" s="886">
        <v>109.21</v>
      </c>
      <c r="L37" s="823" t="s">
        <v>99</v>
      </c>
      <c r="M37" s="64"/>
    </row>
    <row r="38" spans="1:13" ht="15.75" x14ac:dyDescent="0.2">
      <c r="A38" s="15"/>
      <c r="B38" s="15"/>
      <c r="C38" s="16">
        <v>3110</v>
      </c>
      <c r="D38" s="52" t="s">
        <v>54</v>
      </c>
      <c r="E38" s="859"/>
      <c r="F38" s="913"/>
      <c r="G38" s="898"/>
      <c r="H38" s="859">
        <v>432000</v>
      </c>
      <c r="I38" s="824">
        <v>431890.79</v>
      </c>
      <c r="J38" s="914">
        <f>I38/H38</f>
        <v>0.99974719907407406</v>
      </c>
      <c r="K38" s="881"/>
      <c r="L38" s="817"/>
    </row>
    <row r="39" spans="1:13" ht="15.75" x14ac:dyDescent="0.2">
      <c r="A39" s="15"/>
      <c r="B39" s="33">
        <v>85219</v>
      </c>
      <c r="C39" s="12"/>
      <c r="D39" s="893" t="s">
        <v>84</v>
      </c>
      <c r="E39" s="915">
        <f>E40</f>
        <v>177253</v>
      </c>
      <c r="F39" s="916">
        <f t="shared" ref="F39" si="20">F40</f>
        <v>177253</v>
      </c>
      <c r="G39" s="896">
        <f t="shared" si="2"/>
        <v>1</v>
      </c>
      <c r="H39" s="861">
        <f>SUM(H41:H50)</f>
        <v>177253</v>
      </c>
      <c r="I39" s="862">
        <f t="shared" ref="I39:J39" si="21">SUM(I41:I50)</f>
        <v>177253</v>
      </c>
      <c r="J39" s="917">
        <f t="shared" si="21"/>
        <v>10</v>
      </c>
      <c r="K39" s="862">
        <f>K40</f>
        <v>0</v>
      </c>
      <c r="L39" s="826"/>
    </row>
    <row r="40" spans="1:13" ht="36" x14ac:dyDescent="0.2">
      <c r="A40" s="15"/>
      <c r="B40" s="10"/>
      <c r="C40" s="16">
        <v>2030</v>
      </c>
      <c r="D40" s="52" t="s">
        <v>71</v>
      </c>
      <c r="E40" s="859">
        <v>177253</v>
      </c>
      <c r="F40" s="913">
        <v>177253</v>
      </c>
      <c r="G40" s="898">
        <f t="shared" si="2"/>
        <v>1</v>
      </c>
      <c r="H40" s="859"/>
      <c r="I40" s="821"/>
      <c r="J40" s="908"/>
      <c r="K40" s="881"/>
      <c r="L40" s="817"/>
    </row>
    <row r="41" spans="1:13" ht="24" x14ac:dyDescent="0.2">
      <c r="A41" s="15"/>
      <c r="B41" s="15"/>
      <c r="C41" s="16">
        <v>3020</v>
      </c>
      <c r="D41" s="52" t="s">
        <v>22</v>
      </c>
      <c r="E41" s="918"/>
      <c r="F41" s="827"/>
      <c r="G41" s="898"/>
      <c r="H41" s="859">
        <v>1057</v>
      </c>
      <c r="I41" s="824">
        <v>1057</v>
      </c>
      <c r="J41" s="914">
        <f>I41/H41</f>
        <v>1</v>
      </c>
      <c r="K41" s="881"/>
      <c r="L41" s="817"/>
    </row>
    <row r="42" spans="1:13" ht="15.75" x14ac:dyDescent="0.2">
      <c r="A42" s="15"/>
      <c r="B42" s="15"/>
      <c r="C42" s="16">
        <v>4010</v>
      </c>
      <c r="D42" s="52" t="s">
        <v>13</v>
      </c>
      <c r="E42" s="918"/>
      <c r="F42" s="827"/>
      <c r="G42" s="898"/>
      <c r="H42" s="859">
        <v>96683</v>
      </c>
      <c r="I42" s="824">
        <v>96683</v>
      </c>
      <c r="J42" s="914">
        <f t="shared" ref="J42:J50" si="22">I42/H42</f>
        <v>1</v>
      </c>
      <c r="K42" s="881"/>
      <c r="L42" s="817"/>
    </row>
    <row r="43" spans="1:13" ht="15.75" x14ac:dyDescent="0.2">
      <c r="A43" s="89"/>
      <c r="B43" s="15"/>
      <c r="C43" s="16">
        <v>4040</v>
      </c>
      <c r="D43" s="52" t="s">
        <v>23</v>
      </c>
      <c r="E43" s="918"/>
      <c r="F43" s="827"/>
      <c r="G43" s="898"/>
      <c r="H43" s="859">
        <v>21600</v>
      </c>
      <c r="I43" s="824">
        <v>21600</v>
      </c>
      <c r="J43" s="914">
        <f t="shared" si="22"/>
        <v>1</v>
      </c>
      <c r="K43" s="881"/>
      <c r="L43" s="817"/>
    </row>
    <row r="44" spans="1:13" ht="15.75" x14ac:dyDescent="0.2">
      <c r="A44" s="89"/>
      <c r="B44" s="15"/>
      <c r="C44" s="16">
        <v>4110</v>
      </c>
      <c r="D44" s="52" t="s">
        <v>14</v>
      </c>
      <c r="E44" s="918"/>
      <c r="F44" s="827"/>
      <c r="G44" s="898"/>
      <c r="H44" s="859">
        <v>20652</v>
      </c>
      <c r="I44" s="824">
        <v>20652</v>
      </c>
      <c r="J44" s="914">
        <f t="shared" si="22"/>
        <v>1</v>
      </c>
      <c r="K44" s="881"/>
      <c r="L44" s="817"/>
    </row>
    <row r="45" spans="1:13" ht="15.75" x14ac:dyDescent="0.2">
      <c r="A45" s="15"/>
      <c r="B45" s="15"/>
      <c r="C45" s="49">
        <v>4120</v>
      </c>
      <c r="D45" s="875" t="s">
        <v>15</v>
      </c>
      <c r="E45" s="918"/>
      <c r="F45" s="827"/>
      <c r="G45" s="898"/>
      <c r="H45" s="863">
        <v>2901</v>
      </c>
      <c r="I45" s="824">
        <v>2901</v>
      </c>
      <c r="J45" s="914">
        <f t="shared" si="22"/>
        <v>1</v>
      </c>
      <c r="K45" s="881"/>
      <c r="L45" s="817"/>
    </row>
    <row r="46" spans="1:13" ht="15.75" x14ac:dyDescent="0.2">
      <c r="A46" s="15"/>
      <c r="B46" s="15"/>
      <c r="C46" s="16">
        <v>4210</v>
      </c>
      <c r="D46" s="52" t="s">
        <v>17</v>
      </c>
      <c r="E46" s="918"/>
      <c r="F46" s="827"/>
      <c r="G46" s="898"/>
      <c r="H46" s="859">
        <v>8000</v>
      </c>
      <c r="I46" s="824">
        <v>8000</v>
      </c>
      <c r="J46" s="914">
        <f t="shared" si="22"/>
        <v>1</v>
      </c>
      <c r="K46" s="881"/>
      <c r="L46" s="817"/>
    </row>
    <row r="47" spans="1:13" ht="15.75" x14ac:dyDescent="0.2">
      <c r="A47" s="15"/>
      <c r="B47" s="15"/>
      <c r="C47" s="16">
        <v>4260</v>
      </c>
      <c r="D47" s="52" t="s">
        <v>41</v>
      </c>
      <c r="E47" s="918"/>
      <c r="F47" s="827"/>
      <c r="G47" s="898"/>
      <c r="H47" s="859">
        <v>3000</v>
      </c>
      <c r="I47" s="824">
        <v>3000</v>
      </c>
      <c r="J47" s="914">
        <f t="shared" si="22"/>
        <v>1</v>
      </c>
      <c r="K47" s="881"/>
      <c r="L47" s="817"/>
    </row>
    <row r="48" spans="1:13" ht="15.75" x14ac:dyDescent="0.2">
      <c r="A48" s="15"/>
      <c r="B48" s="15"/>
      <c r="C48" s="16">
        <v>4300</v>
      </c>
      <c r="D48" s="52" t="s">
        <v>18</v>
      </c>
      <c r="E48" s="918"/>
      <c r="F48" s="827"/>
      <c r="G48" s="898"/>
      <c r="H48" s="859">
        <v>10000</v>
      </c>
      <c r="I48" s="824">
        <v>10000</v>
      </c>
      <c r="J48" s="914">
        <f t="shared" si="22"/>
        <v>1</v>
      </c>
      <c r="K48" s="881"/>
      <c r="L48" s="817"/>
    </row>
    <row r="49" spans="1:12" ht="24" x14ac:dyDescent="0.2">
      <c r="A49" s="15"/>
      <c r="B49" s="15"/>
      <c r="C49" s="16">
        <v>4440</v>
      </c>
      <c r="D49" s="52" t="s">
        <v>44</v>
      </c>
      <c r="E49" s="918"/>
      <c r="F49" s="827"/>
      <c r="G49" s="898"/>
      <c r="H49" s="859">
        <v>10360</v>
      </c>
      <c r="I49" s="824">
        <v>10360</v>
      </c>
      <c r="J49" s="914">
        <f t="shared" si="22"/>
        <v>1</v>
      </c>
      <c r="K49" s="881"/>
      <c r="L49" s="817"/>
    </row>
    <row r="50" spans="1:12" ht="24" x14ac:dyDescent="0.2">
      <c r="A50" s="15"/>
      <c r="B50" s="43"/>
      <c r="C50" s="16">
        <v>4700</v>
      </c>
      <c r="D50" s="52" t="s">
        <v>25</v>
      </c>
      <c r="E50" s="859"/>
      <c r="F50" s="913"/>
      <c r="G50" s="898"/>
      <c r="H50" s="859">
        <v>3000</v>
      </c>
      <c r="I50" s="824">
        <v>3000</v>
      </c>
      <c r="J50" s="914">
        <f t="shared" si="22"/>
        <v>1</v>
      </c>
      <c r="K50" s="881"/>
      <c r="L50" s="817"/>
    </row>
    <row r="51" spans="1:12" ht="25.5" hidden="1" x14ac:dyDescent="0.2">
      <c r="A51" s="15"/>
      <c r="B51" s="90">
        <v>85228</v>
      </c>
      <c r="C51" s="23"/>
      <c r="D51" s="893" t="s">
        <v>50</v>
      </c>
      <c r="E51" s="861">
        <f>E52</f>
        <v>0</v>
      </c>
      <c r="F51" s="862">
        <f t="shared" ref="F51:F56" si="23">F52</f>
        <v>0</v>
      </c>
      <c r="G51" s="898"/>
      <c r="H51" s="861">
        <f>H53+H54+H55</f>
        <v>0</v>
      </c>
      <c r="I51" s="862">
        <f t="shared" ref="I51:K51" si="24">I53+I54+I55</f>
        <v>0</v>
      </c>
      <c r="J51" s="917"/>
      <c r="K51" s="862">
        <f t="shared" si="24"/>
        <v>0</v>
      </c>
      <c r="L51" s="826"/>
    </row>
    <row r="52" spans="1:12" ht="36" hidden="1" x14ac:dyDescent="0.2">
      <c r="A52" s="15"/>
      <c r="B52" s="15"/>
      <c r="C52" s="16">
        <v>2030</v>
      </c>
      <c r="D52" s="52" t="s">
        <v>71</v>
      </c>
      <c r="E52" s="863">
        <v>0</v>
      </c>
      <c r="F52" s="828"/>
      <c r="G52" s="898"/>
      <c r="H52" s="864"/>
      <c r="I52" s="824"/>
      <c r="J52" s="914"/>
      <c r="K52" s="881"/>
      <c r="L52" s="817"/>
    </row>
    <row r="53" spans="1:12" ht="15.75" hidden="1" x14ac:dyDescent="0.2">
      <c r="A53" s="15"/>
      <c r="B53" s="15"/>
      <c r="C53" s="16">
        <v>4010</v>
      </c>
      <c r="D53" s="52" t="s">
        <v>13</v>
      </c>
      <c r="E53" s="918"/>
      <c r="F53" s="827"/>
      <c r="G53" s="898"/>
      <c r="H53" s="859">
        <v>0</v>
      </c>
      <c r="I53" s="825"/>
      <c r="J53" s="914"/>
      <c r="K53" s="881"/>
      <c r="L53" s="817"/>
    </row>
    <row r="54" spans="1:12" ht="15.75" hidden="1" x14ac:dyDescent="0.2">
      <c r="A54" s="89"/>
      <c r="B54" s="15"/>
      <c r="C54" s="16">
        <v>4110</v>
      </c>
      <c r="D54" s="52" t="s">
        <v>14</v>
      </c>
      <c r="E54" s="918"/>
      <c r="F54" s="827"/>
      <c r="G54" s="898"/>
      <c r="H54" s="859">
        <v>0</v>
      </c>
      <c r="I54" s="825"/>
      <c r="J54" s="914"/>
      <c r="K54" s="881"/>
      <c r="L54" s="817"/>
    </row>
    <row r="55" spans="1:12" ht="15.75" hidden="1" x14ac:dyDescent="0.2">
      <c r="A55" s="15"/>
      <c r="B55" s="43"/>
      <c r="C55" s="49">
        <v>4120</v>
      </c>
      <c r="D55" s="875" t="s">
        <v>15</v>
      </c>
      <c r="E55" s="859"/>
      <c r="F55" s="913"/>
      <c r="G55" s="898"/>
      <c r="H55" s="863">
        <v>0</v>
      </c>
      <c r="I55" s="825"/>
      <c r="J55" s="914"/>
      <c r="K55" s="881"/>
      <c r="L55" s="817"/>
    </row>
    <row r="56" spans="1:12" ht="15.75" x14ac:dyDescent="0.2">
      <c r="A56" s="15"/>
      <c r="B56" s="90">
        <v>85230</v>
      </c>
      <c r="C56" s="23"/>
      <c r="D56" s="893" t="s">
        <v>85</v>
      </c>
      <c r="E56" s="861">
        <f>E57</f>
        <v>195000</v>
      </c>
      <c r="F56" s="862">
        <f t="shared" si="23"/>
        <v>195000</v>
      </c>
      <c r="G56" s="896">
        <f t="shared" si="2"/>
        <v>1</v>
      </c>
      <c r="H56" s="861">
        <f>H58</f>
        <v>195000</v>
      </c>
      <c r="I56" s="862">
        <f t="shared" ref="I56" si="25">I58</f>
        <v>195000</v>
      </c>
      <c r="J56" s="917">
        <f>I56/H56</f>
        <v>1</v>
      </c>
      <c r="K56" s="862">
        <f>K57</f>
        <v>0</v>
      </c>
      <c r="L56" s="826"/>
    </row>
    <row r="57" spans="1:12" ht="36" x14ac:dyDescent="0.2">
      <c r="A57" s="15"/>
      <c r="B57" s="15"/>
      <c r="C57" s="16">
        <v>2030</v>
      </c>
      <c r="D57" s="52" t="s">
        <v>71</v>
      </c>
      <c r="E57" s="863">
        <v>195000</v>
      </c>
      <c r="F57" s="828">
        <v>195000</v>
      </c>
      <c r="G57" s="898">
        <f t="shared" si="2"/>
        <v>1</v>
      </c>
      <c r="H57" s="864"/>
      <c r="I57" s="824"/>
      <c r="J57" s="914"/>
      <c r="K57" s="881"/>
      <c r="L57" s="817"/>
    </row>
    <row r="58" spans="1:12" ht="16.5" thickBot="1" x14ac:dyDescent="0.25">
      <c r="A58" s="15"/>
      <c r="B58" s="15"/>
      <c r="C58" s="31">
        <v>3110</v>
      </c>
      <c r="D58" s="54" t="s">
        <v>54</v>
      </c>
      <c r="E58" s="918"/>
      <c r="F58" s="827"/>
      <c r="G58" s="837"/>
      <c r="H58" s="865">
        <v>195000</v>
      </c>
      <c r="I58" s="830">
        <v>195000</v>
      </c>
      <c r="J58" s="910">
        <f>I58/H58</f>
        <v>1</v>
      </c>
      <c r="K58" s="882"/>
      <c r="L58" s="819"/>
    </row>
    <row r="59" spans="1:12" x14ac:dyDescent="0.2">
      <c r="A59" s="95">
        <v>854</v>
      </c>
      <c r="B59" s="95"/>
      <c r="C59" s="95"/>
      <c r="D59" s="876" t="s">
        <v>86</v>
      </c>
      <c r="E59" s="849">
        <f>E60</f>
        <v>114414</v>
      </c>
      <c r="F59" s="106">
        <f t="shared" ref="F59:F60" si="26">F60</f>
        <v>114414</v>
      </c>
      <c r="G59" s="838">
        <f t="shared" si="2"/>
        <v>1</v>
      </c>
      <c r="H59" s="849">
        <f>H60</f>
        <v>114414</v>
      </c>
      <c r="I59" s="106">
        <f t="shared" ref="I59:K59" si="27">I60</f>
        <v>114414</v>
      </c>
      <c r="J59" s="903">
        <f>I59/H59</f>
        <v>1</v>
      </c>
      <c r="K59" s="883">
        <f t="shared" si="27"/>
        <v>0</v>
      </c>
      <c r="L59" s="106"/>
    </row>
    <row r="60" spans="1:12" ht="24" x14ac:dyDescent="0.2">
      <c r="A60" s="15"/>
      <c r="B60" s="55">
        <v>85415</v>
      </c>
      <c r="C60" s="55"/>
      <c r="D60" s="870" t="s">
        <v>87</v>
      </c>
      <c r="E60" s="919">
        <f>E61</f>
        <v>114414</v>
      </c>
      <c r="F60" s="831">
        <f t="shared" si="26"/>
        <v>114414</v>
      </c>
      <c r="G60" s="896">
        <f t="shared" si="2"/>
        <v>1</v>
      </c>
      <c r="H60" s="850">
        <f>H62</f>
        <v>114414</v>
      </c>
      <c r="I60" s="76">
        <f t="shared" ref="I60" si="28">I62</f>
        <v>114414</v>
      </c>
      <c r="J60" s="904">
        <f>I60/H60</f>
        <v>1</v>
      </c>
      <c r="K60" s="884">
        <f>K61</f>
        <v>0</v>
      </c>
      <c r="L60" s="76"/>
    </row>
    <row r="61" spans="1:12" ht="36" x14ac:dyDescent="0.2">
      <c r="A61" s="15"/>
      <c r="B61" s="2095"/>
      <c r="C61" s="16">
        <v>2030</v>
      </c>
      <c r="D61" s="52" t="s">
        <v>71</v>
      </c>
      <c r="E61" s="863">
        <v>114414</v>
      </c>
      <c r="F61" s="829">
        <v>114414</v>
      </c>
      <c r="G61" s="898">
        <f t="shared" si="2"/>
        <v>1</v>
      </c>
      <c r="H61" s="864"/>
      <c r="I61" s="824"/>
      <c r="J61" s="914"/>
      <c r="K61" s="881"/>
      <c r="L61" s="817"/>
    </row>
    <row r="62" spans="1:12" ht="16.5" thickBot="1" x14ac:dyDescent="0.25">
      <c r="A62" s="15"/>
      <c r="B62" s="2159"/>
      <c r="C62" s="93">
        <v>3240</v>
      </c>
      <c r="D62" s="877" t="s">
        <v>88</v>
      </c>
      <c r="E62" s="920"/>
      <c r="F62" s="832"/>
      <c r="G62" s="837"/>
      <c r="H62" s="866">
        <v>114414</v>
      </c>
      <c r="I62" s="830">
        <v>114414</v>
      </c>
      <c r="J62" s="910">
        <f>I62/H62</f>
        <v>1</v>
      </c>
      <c r="K62" s="882"/>
      <c r="L62" s="819"/>
    </row>
    <row r="63" spans="1:12" x14ac:dyDescent="0.2">
      <c r="A63" s="95">
        <v>855</v>
      </c>
      <c r="B63" s="95"/>
      <c r="C63" s="95"/>
      <c r="D63" s="876" t="s">
        <v>51</v>
      </c>
      <c r="E63" s="849">
        <f>E64</f>
        <v>40240</v>
      </c>
      <c r="F63" s="106">
        <f t="shared" ref="F63:F64" si="29">F64</f>
        <v>40240</v>
      </c>
      <c r="G63" s="838">
        <f t="shared" si="2"/>
        <v>1</v>
      </c>
      <c r="H63" s="849">
        <f>H64</f>
        <v>40240</v>
      </c>
      <c r="I63" s="106">
        <f t="shared" ref="I63:K63" si="30">I64</f>
        <v>40240</v>
      </c>
      <c r="J63" s="903">
        <f>I63/H63</f>
        <v>1</v>
      </c>
      <c r="K63" s="883">
        <f t="shared" si="30"/>
        <v>0</v>
      </c>
      <c r="L63" s="106"/>
    </row>
    <row r="64" spans="1:12" ht="15.75" x14ac:dyDescent="0.2">
      <c r="A64" s="15"/>
      <c r="B64" s="55">
        <v>85504</v>
      </c>
      <c r="C64" s="55"/>
      <c r="D64" s="870" t="s">
        <v>58</v>
      </c>
      <c r="E64" s="919">
        <f>E65</f>
        <v>40240</v>
      </c>
      <c r="F64" s="831">
        <f t="shared" si="29"/>
        <v>40240</v>
      </c>
      <c r="G64" s="896">
        <f t="shared" si="2"/>
        <v>1</v>
      </c>
      <c r="H64" s="850">
        <f>H66</f>
        <v>40240</v>
      </c>
      <c r="I64" s="76">
        <f t="shared" ref="I64" si="31">I66</f>
        <v>40240</v>
      </c>
      <c r="J64" s="904">
        <f>I64/H64</f>
        <v>1</v>
      </c>
      <c r="K64" s="884">
        <f>K65</f>
        <v>0</v>
      </c>
      <c r="L64" s="76"/>
    </row>
    <row r="65" spans="1:12" ht="36" x14ac:dyDescent="0.2">
      <c r="A65" s="15"/>
      <c r="B65" s="2095"/>
      <c r="C65" s="16">
        <v>2030</v>
      </c>
      <c r="D65" s="52" t="s">
        <v>71</v>
      </c>
      <c r="E65" s="863">
        <v>40240</v>
      </c>
      <c r="F65" s="829">
        <v>40240</v>
      </c>
      <c r="G65" s="898">
        <f t="shared" si="2"/>
        <v>1</v>
      </c>
      <c r="H65" s="864"/>
      <c r="I65" s="824"/>
      <c r="J65" s="914"/>
      <c r="K65" s="881"/>
      <c r="L65" s="817"/>
    </row>
    <row r="66" spans="1:12" ht="16.5" thickBot="1" x14ac:dyDescent="0.25">
      <c r="A66" s="15"/>
      <c r="B66" s="2159"/>
      <c r="C66" s="93">
        <v>4010</v>
      </c>
      <c r="D66" s="877" t="s">
        <v>13</v>
      </c>
      <c r="E66" s="920"/>
      <c r="F66" s="832"/>
      <c r="G66" s="837"/>
      <c r="H66" s="866">
        <v>40240</v>
      </c>
      <c r="I66" s="830">
        <v>40240</v>
      </c>
      <c r="J66" s="910">
        <f>I66/H66</f>
        <v>1</v>
      </c>
      <c r="K66" s="882"/>
      <c r="L66" s="819"/>
    </row>
    <row r="67" spans="1:12" ht="13.5" thickBot="1" x14ac:dyDescent="0.25">
      <c r="A67" s="61"/>
      <c r="B67" s="61"/>
      <c r="C67" s="61"/>
      <c r="D67" s="878" t="s">
        <v>59</v>
      </c>
      <c r="E67" s="867">
        <f>E29+E17+E59+E7+E63</f>
        <v>1843644.51</v>
      </c>
      <c r="F67" s="833">
        <f t="shared" ref="F67" si="32">F29+F17+F59+F7+F63</f>
        <v>1841211.3299999998</v>
      </c>
      <c r="G67" s="839">
        <f t="shared" si="2"/>
        <v>0.99868023364222192</v>
      </c>
      <c r="H67" s="867">
        <f>H29+H17+H59+H7+H63+H14+H11</f>
        <v>1843644.51</v>
      </c>
      <c r="I67" s="833">
        <f t="shared" ref="I67:K67" si="33">I29+I17+I59+I7+I63+I14+I11</f>
        <v>1841211.3299999998</v>
      </c>
      <c r="J67" s="921">
        <f>I67/H67</f>
        <v>0.99868023364222192</v>
      </c>
      <c r="K67" s="887">
        <f t="shared" si="33"/>
        <v>2433.1799999999998</v>
      </c>
      <c r="L67" s="833"/>
    </row>
  </sheetData>
  <mergeCells count="15">
    <mergeCell ref="B61:B62"/>
    <mergeCell ref="B65:B66"/>
    <mergeCell ref="K5:K6"/>
    <mergeCell ref="L5:L6"/>
    <mergeCell ref="H5:J5"/>
    <mergeCell ref="G2:J2"/>
    <mergeCell ref="A3:J3"/>
    <mergeCell ref="A4:H4"/>
    <mergeCell ref="G1:L1"/>
    <mergeCell ref="B19:B20"/>
    <mergeCell ref="A5:A6"/>
    <mergeCell ref="B5:B6"/>
    <mergeCell ref="C5:C6"/>
    <mergeCell ref="D5:D6"/>
    <mergeCell ref="E5:G5"/>
  </mergeCells>
  <pageMargins left="0.39370078740157483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workbookViewId="0">
      <selection activeCell="D2" sqref="D2"/>
    </sheetView>
  </sheetViews>
  <sheetFormatPr defaultRowHeight="11.25" x14ac:dyDescent="0.2"/>
  <cols>
    <col min="1" max="1" width="5.7109375" style="226" customWidth="1"/>
    <col min="2" max="2" width="8.140625" style="226" customWidth="1"/>
    <col min="3" max="3" width="6.7109375" style="226" customWidth="1"/>
    <col min="4" max="4" width="34.85546875" style="226" customWidth="1"/>
    <col min="5" max="5" width="13.5703125" style="226" customWidth="1"/>
    <col min="6" max="6" width="14.140625" style="226" customWidth="1"/>
    <col min="7" max="7" width="11" style="226" customWidth="1"/>
    <col min="8" max="16384" width="9.140625" style="226"/>
  </cols>
  <sheetData>
    <row r="1" spans="1:7" ht="12" customHeight="1" x14ac:dyDescent="0.2">
      <c r="A1" s="225"/>
      <c r="B1" s="225"/>
      <c r="C1" s="225"/>
      <c r="D1" s="2163" t="s">
        <v>1604</v>
      </c>
      <c r="E1" s="2163"/>
      <c r="F1" s="2163"/>
      <c r="G1" s="2163"/>
    </row>
    <row r="2" spans="1:7" ht="12" x14ac:dyDescent="0.2">
      <c r="A2" s="225"/>
      <c r="B2" s="225"/>
      <c r="C2" s="225"/>
      <c r="D2" s="227" t="s">
        <v>289</v>
      </c>
      <c r="E2" s="2138"/>
      <c r="F2" s="2138"/>
      <c r="G2" s="2138"/>
    </row>
    <row r="3" spans="1:7" ht="12" customHeight="1" x14ac:dyDescent="0.2">
      <c r="A3" s="225"/>
      <c r="B3" s="225"/>
      <c r="C3" s="225"/>
      <c r="D3" s="228"/>
      <c r="E3" s="2139"/>
      <c r="F3" s="2139"/>
      <c r="G3" s="2139"/>
    </row>
    <row r="4" spans="1:7" ht="12.75" x14ac:dyDescent="0.2">
      <c r="A4" s="225"/>
      <c r="B4" s="225"/>
      <c r="C4" s="225"/>
      <c r="D4" s="229"/>
      <c r="E4" s="230"/>
      <c r="F4" s="230"/>
    </row>
    <row r="5" spans="1:7" ht="15.75" x14ac:dyDescent="0.2">
      <c r="A5" s="2166" t="s">
        <v>600</v>
      </c>
      <c r="B5" s="2166"/>
      <c r="C5" s="2166"/>
      <c r="D5" s="2166"/>
      <c r="E5" s="2166"/>
      <c r="F5" s="2166"/>
      <c r="G5" s="2166"/>
    </row>
    <row r="6" spans="1:7" ht="30" customHeight="1" x14ac:dyDescent="0.2">
      <c r="A6" s="2166" t="s">
        <v>290</v>
      </c>
      <c r="B6" s="2166"/>
      <c r="C6" s="2166"/>
      <c r="D6" s="2166"/>
      <c r="E6" s="2166"/>
      <c r="F6" s="230"/>
    </row>
    <row r="7" spans="1:7" ht="15.75" x14ac:dyDescent="0.2">
      <c r="A7" s="231" t="s">
        <v>0</v>
      </c>
      <c r="B7" s="232" t="s">
        <v>1</v>
      </c>
      <c r="C7" s="233" t="s">
        <v>2</v>
      </c>
      <c r="D7" s="234" t="s">
        <v>291</v>
      </c>
      <c r="E7" s="235" t="s">
        <v>292</v>
      </c>
      <c r="F7" s="236" t="s">
        <v>514</v>
      </c>
      <c r="G7" s="834" t="s">
        <v>91</v>
      </c>
    </row>
    <row r="8" spans="1:7" ht="31.5" customHeight="1" thickBot="1" x14ac:dyDescent="0.25">
      <c r="A8" s="237" t="s">
        <v>293</v>
      </c>
      <c r="B8" s="2167" t="s">
        <v>294</v>
      </c>
      <c r="C8" s="2167"/>
      <c r="D8" s="2167"/>
      <c r="E8" s="238">
        <f>E9+E17+E38</f>
        <v>4490830.3499999996</v>
      </c>
      <c r="F8" s="238">
        <f t="shared" ref="F8" si="0">F9+F17+F38</f>
        <v>4430001.71</v>
      </c>
      <c r="G8" s="1111">
        <f t="shared" ref="G8:G39" si="1">F8/E8</f>
        <v>0.98645492364235055</v>
      </c>
    </row>
    <row r="9" spans="1:7" ht="24" customHeight="1" x14ac:dyDescent="0.2">
      <c r="A9" s="239" t="s">
        <v>295</v>
      </c>
      <c r="B9" s="2168" t="s">
        <v>296</v>
      </c>
      <c r="C9" s="2168"/>
      <c r="D9" s="2168"/>
      <c r="E9" s="240">
        <f>E10</f>
        <v>2410695</v>
      </c>
      <c r="F9" s="240">
        <f t="shared" ref="F9" si="2">F10</f>
        <v>2410695</v>
      </c>
      <c r="G9" s="1112">
        <f t="shared" si="1"/>
        <v>1</v>
      </c>
    </row>
    <row r="10" spans="1:7" ht="24" x14ac:dyDescent="0.2">
      <c r="A10" s="241">
        <v>921</v>
      </c>
      <c r="B10" s="242"/>
      <c r="C10" s="243"/>
      <c r="D10" s="244" t="s">
        <v>297</v>
      </c>
      <c r="E10" s="245">
        <f>E11+E13+E15</f>
        <v>2410695</v>
      </c>
      <c r="F10" s="245">
        <f t="shared" ref="F10" si="3">F11+F13+F15</f>
        <v>2410695</v>
      </c>
      <c r="G10" s="1113">
        <f t="shared" si="1"/>
        <v>1</v>
      </c>
    </row>
    <row r="11" spans="1:7" ht="12" x14ac:dyDescent="0.2">
      <c r="A11" s="2169"/>
      <c r="B11" s="246">
        <v>92109</v>
      </c>
      <c r="C11" s="247"/>
      <c r="D11" s="248" t="s">
        <v>298</v>
      </c>
      <c r="E11" s="249">
        <f>E12</f>
        <v>1482250</v>
      </c>
      <c r="F11" s="249">
        <f t="shared" ref="F11" si="4">F12</f>
        <v>1482250</v>
      </c>
      <c r="G11" s="1114">
        <f t="shared" si="1"/>
        <v>1</v>
      </c>
    </row>
    <row r="12" spans="1:7" ht="24" x14ac:dyDescent="0.2">
      <c r="A12" s="2170"/>
      <c r="B12" s="250"/>
      <c r="C12" s="251">
        <v>2480</v>
      </c>
      <c r="D12" s="252" t="s">
        <v>299</v>
      </c>
      <c r="E12" s="253">
        <v>1482250</v>
      </c>
      <c r="F12" s="254">
        <v>1482250</v>
      </c>
      <c r="G12" s="1115">
        <f t="shared" si="1"/>
        <v>1</v>
      </c>
    </row>
    <row r="13" spans="1:7" ht="12" x14ac:dyDescent="0.2">
      <c r="A13" s="2170"/>
      <c r="B13" s="246">
        <v>92116</v>
      </c>
      <c r="C13" s="247"/>
      <c r="D13" s="248" t="s">
        <v>300</v>
      </c>
      <c r="E13" s="249">
        <f>E14</f>
        <v>412115</v>
      </c>
      <c r="F13" s="249">
        <f t="shared" ref="F13" si="5">F14</f>
        <v>412115</v>
      </c>
      <c r="G13" s="1114">
        <f t="shared" si="1"/>
        <v>1</v>
      </c>
    </row>
    <row r="14" spans="1:7" ht="24" x14ac:dyDescent="0.2">
      <c r="A14" s="2170"/>
      <c r="B14" s="250"/>
      <c r="C14" s="251">
        <v>2480</v>
      </c>
      <c r="D14" s="252" t="s">
        <v>299</v>
      </c>
      <c r="E14" s="253">
        <f>412115</f>
        <v>412115</v>
      </c>
      <c r="F14" s="254">
        <v>412115</v>
      </c>
      <c r="G14" s="1115">
        <f t="shared" si="1"/>
        <v>1</v>
      </c>
    </row>
    <row r="15" spans="1:7" ht="12" x14ac:dyDescent="0.2">
      <c r="A15" s="2170"/>
      <c r="B15" s="246">
        <v>92118</v>
      </c>
      <c r="C15" s="255"/>
      <c r="D15" s="256" t="s">
        <v>301</v>
      </c>
      <c r="E15" s="257">
        <f>E16</f>
        <v>516330</v>
      </c>
      <c r="F15" s="257">
        <f t="shared" ref="F15" si="6">F16</f>
        <v>516330</v>
      </c>
      <c r="G15" s="1114">
        <f t="shared" si="1"/>
        <v>1</v>
      </c>
    </row>
    <row r="16" spans="1:7" ht="24.75" thickBot="1" x14ac:dyDescent="0.25">
      <c r="A16" s="2171"/>
      <c r="B16" s="258"/>
      <c r="C16" s="259">
        <v>2480</v>
      </c>
      <c r="D16" s="260" t="s">
        <v>299</v>
      </c>
      <c r="E16" s="261">
        <v>516330</v>
      </c>
      <c r="F16" s="262">
        <v>516330</v>
      </c>
      <c r="G16" s="1116">
        <f t="shared" si="1"/>
        <v>1</v>
      </c>
    </row>
    <row r="17" spans="1:7" ht="22.5" customHeight="1" x14ac:dyDescent="0.2">
      <c r="A17" s="263" t="s">
        <v>122</v>
      </c>
      <c r="B17" s="2172" t="s">
        <v>302</v>
      </c>
      <c r="C17" s="2172"/>
      <c r="D17" s="2172"/>
      <c r="E17" s="264">
        <f>E18+E21+E30+E33</f>
        <v>1490280</v>
      </c>
      <c r="F17" s="264">
        <f t="shared" ref="F17" si="7">F18+F21+F30+F33</f>
        <v>1437268.83</v>
      </c>
      <c r="G17" s="1128">
        <f t="shared" si="1"/>
        <v>0.96442871809324426</v>
      </c>
    </row>
    <row r="18" spans="1:7" ht="12" x14ac:dyDescent="0.2">
      <c r="A18" s="265">
        <v>600</v>
      </c>
      <c r="B18" s="266"/>
      <c r="C18" s="266"/>
      <c r="D18" s="265" t="s">
        <v>303</v>
      </c>
      <c r="E18" s="267">
        <f>E19</f>
        <v>300000</v>
      </c>
      <c r="F18" s="267">
        <f t="shared" ref="F18:F19" si="8">F19</f>
        <v>292960.27</v>
      </c>
      <c r="G18" s="1113">
        <f t="shared" si="1"/>
        <v>0.97653423333333345</v>
      </c>
    </row>
    <row r="19" spans="1:7" ht="12" x14ac:dyDescent="0.2">
      <c r="A19" s="2173"/>
      <c r="B19" s="268">
        <v>60004</v>
      </c>
      <c r="C19" s="268"/>
      <c r="D19" s="268" t="s">
        <v>304</v>
      </c>
      <c r="E19" s="269">
        <f>E20</f>
        <v>300000</v>
      </c>
      <c r="F19" s="270">
        <f t="shared" si="8"/>
        <v>292960.27</v>
      </c>
      <c r="G19" s="1114">
        <f t="shared" si="1"/>
        <v>0.97653423333333345</v>
      </c>
    </row>
    <row r="20" spans="1:7" ht="48" x14ac:dyDescent="0.2">
      <c r="A20" s="2174"/>
      <c r="B20" s="271"/>
      <c r="C20" s="272">
        <v>2310</v>
      </c>
      <c r="D20" s="273" t="s">
        <v>305</v>
      </c>
      <c r="E20" s="274">
        <v>300000</v>
      </c>
      <c r="F20" s="275">
        <v>292960.27</v>
      </c>
      <c r="G20" s="1115">
        <f t="shared" si="1"/>
        <v>0.97653423333333345</v>
      </c>
    </row>
    <row r="21" spans="1:7" ht="12" x14ac:dyDescent="0.2">
      <c r="A21" s="265">
        <v>801</v>
      </c>
      <c r="B21" s="265"/>
      <c r="C21" s="265"/>
      <c r="D21" s="277" t="s">
        <v>33</v>
      </c>
      <c r="E21" s="278">
        <f>E24+E26+E22+E28</f>
        <v>1016250</v>
      </c>
      <c r="F21" s="278">
        <f t="shared" ref="F21" si="9">F24+F26+F22+F28</f>
        <v>1013913.16</v>
      </c>
      <c r="G21" s="1113">
        <f t="shared" si="1"/>
        <v>0.99770052644526452</v>
      </c>
    </row>
    <row r="22" spans="1:7" ht="12.75" x14ac:dyDescent="0.2">
      <c r="A22" s="280"/>
      <c r="B22" s="281">
        <v>80101</v>
      </c>
      <c r="C22" s="282"/>
      <c r="D22" s="283" t="s">
        <v>77</v>
      </c>
      <c r="E22" s="284">
        <f>E23</f>
        <v>2165</v>
      </c>
      <c r="F22" s="284">
        <f t="shared" ref="F22" si="10">F23</f>
        <v>2164.16</v>
      </c>
      <c r="G22" s="1114">
        <f t="shared" si="1"/>
        <v>0.99961200923787519</v>
      </c>
    </row>
    <row r="23" spans="1:7" ht="48" x14ac:dyDescent="0.2">
      <c r="A23" s="285"/>
      <c r="B23" s="286"/>
      <c r="C23" s="287">
        <v>2310</v>
      </c>
      <c r="D23" s="288" t="s">
        <v>305</v>
      </c>
      <c r="E23" s="289">
        <v>2165</v>
      </c>
      <c r="F23" s="289">
        <v>2164.16</v>
      </c>
      <c r="G23" s="1115">
        <f t="shared" si="1"/>
        <v>0.99961200923787519</v>
      </c>
    </row>
    <row r="24" spans="1:7" ht="12" x14ac:dyDescent="0.2">
      <c r="A24" s="2175"/>
      <c r="B24" s="268">
        <v>80104</v>
      </c>
      <c r="C24" s="268"/>
      <c r="D24" s="290" t="s">
        <v>81</v>
      </c>
      <c r="E24" s="291">
        <f>E25</f>
        <v>39585</v>
      </c>
      <c r="F24" s="291">
        <f t="shared" ref="F24" si="11">F25</f>
        <v>37249</v>
      </c>
      <c r="G24" s="1114">
        <f t="shared" si="1"/>
        <v>0.94098774788429962</v>
      </c>
    </row>
    <row r="25" spans="1:7" ht="48" x14ac:dyDescent="0.2">
      <c r="A25" s="2175"/>
      <c r="B25" s="292"/>
      <c r="C25" s="272">
        <v>2310</v>
      </c>
      <c r="D25" s="273" t="s">
        <v>305</v>
      </c>
      <c r="E25" s="274">
        <v>39585</v>
      </c>
      <c r="F25" s="275">
        <v>37249</v>
      </c>
      <c r="G25" s="1117">
        <f t="shared" si="1"/>
        <v>0.94098774788429962</v>
      </c>
    </row>
    <row r="26" spans="1:7" ht="12" x14ac:dyDescent="0.2">
      <c r="A26" s="2175"/>
      <c r="B26" s="246">
        <v>80110</v>
      </c>
      <c r="C26" s="247"/>
      <c r="D26" s="248" t="s">
        <v>306</v>
      </c>
      <c r="E26" s="249">
        <f>E27</f>
        <v>972500</v>
      </c>
      <c r="F26" s="249">
        <f t="shared" ref="F26" si="12">F27</f>
        <v>972500</v>
      </c>
      <c r="G26" s="1114">
        <f t="shared" si="1"/>
        <v>1</v>
      </c>
    </row>
    <row r="27" spans="1:7" ht="48" x14ac:dyDescent="0.2">
      <c r="A27" s="2175"/>
      <c r="B27" s="293"/>
      <c r="C27" s="294">
        <v>2320</v>
      </c>
      <c r="D27" s="273" t="s">
        <v>307</v>
      </c>
      <c r="E27" s="295">
        <v>972500</v>
      </c>
      <c r="F27" s="254">
        <v>972500</v>
      </c>
      <c r="G27" s="1117">
        <f t="shared" si="1"/>
        <v>1</v>
      </c>
    </row>
    <row r="28" spans="1:7" ht="12" x14ac:dyDescent="0.2">
      <c r="A28" s="296"/>
      <c r="B28" s="297">
        <v>80195</v>
      </c>
      <c r="C28" s="298"/>
      <c r="D28" s="299" t="s">
        <v>11</v>
      </c>
      <c r="E28" s="300">
        <f>E29</f>
        <v>2000</v>
      </c>
      <c r="F28" s="301">
        <f>F29</f>
        <v>2000</v>
      </c>
      <c r="G28" s="1114">
        <f t="shared" si="1"/>
        <v>1</v>
      </c>
    </row>
    <row r="29" spans="1:7" ht="48" x14ac:dyDescent="0.2">
      <c r="A29" s="302"/>
      <c r="B29" s="303"/>
      <c r="C29" s="304">
        <v>2710</v>
      </c>
      <c r="D29" s="288" t="s">
        <v>308</v>
      </c>
      <c r="E29" s="305">
        <v>2000</v>
      </c>
      <c r="F29" s="306">
        <v>2000</v>
      </c>
      <c r="G29" s="1117">
        <f t="shared" si="1"/>
        <v>1</v>
      </c>
    </row>
    <row r="30" spans="1:7" ht="12" x14ac:dyDescent="0.2">
      <c r="A30" s="241">
        <v>851</v>
      </c>
      <c r="B30" s="242"/>
      <c r="C30" s="243"/>
      <c r="D30" s="307" t="s">
        <v>309</v>
      </c>
      <c r="E30" s="308">
        <f>E31</f>
        <v>24030</v>
      </c>
      <c r="F30" s="308">
        <f t="shared" ref="F30" si="13">F31</f>
        <v>24030</v>
      </c>
      <c r="G30" s="1113">
        <f t="shared" si="1"/>
        <v>1</v>
      </c>
    </row>
    <row r="31" spans="1:7" ht="12" x14ac:dyDescent="0.2">
      <c r="A31" s="309"/>
      <c r="B31" s="310">
        <v>85154</v>
      </c>
      <c r="C31" s="311"/>
      <c r="D31" s="312" t="s">
        <v>310</v>
      </c>
      <c r="E31" s="313">
        <f>SUM(E32:E32)</f>
        <v>24030</v>
      </c>
      <c r="F31" s="313">
        <f t="shared" ref="F31" si="14">SUM(F32:F32)</f>
        <v>24030</v>
      </c>
      <c r="G31" s="1114">
        <f t="shared" si="1"/>
        <v>1</v>
      </c>
    </row>
    <row r="32" spans="1:7" ht="48" x14ac:dyDescent="0.2">
      <c r="A32" s="314"/>
      <c r="B32" s="315"/>
      <c r="C32" s="316">
        <v>2710</v>
      </c>
      <c r="D32" s="288" t="s">
        <v>308</v>
      </c>
      <c r="E32" s="317">
        <v>24030</v>
      </c>
      <c r="F32" s="306">
        <v>24030</v>
      </c>
      <c r="G32" s="1117">
        <f t="shared" si="1"/>
        <v>1</v>
      </c>
    </row>
    <row r="33" spans="1:7" ht="24" x14ac:dyDescent="0.2">
      <c r="A33" s="318">
        <v>900</v>
      </c>
      <c r="B33" s="319"/>
      <c r="C33" s="320"/>
      <c r="D33" s="321" t="s">
        <v>311</v>
      </c>
      <c r="E33" s="322">
        <f>E34+E36</f>
        <v>150000</v>
      </c>
      <c r="F33" s="322">
        <f t="shared" ref="F33" si="15">F34+F36</f>
        <v>106365.4</v>
      </c>
      <c r="G33" s="1113">
        <f t="shared" si="1"/>
        <v>0.70910266666666666</v>
      </c>
    </row>
    <row r="34" spans="1:7" ht="12" x14ac:dyDescent="0.2">
      <c r="A34" s="2164"/>
      <c r="B34" s="323">
        <v>90002</v>
      </c>
      <c r="C34" s="324"/>
      <c r="D34" s="325" t="s">
        <v>312</v>
      </c>
      <c r="E34" s="326">
        <f>E35</f>
        <v>30000</v>
      </c>
      <c r="F34" s="326">
        <f t="shared" ref="F34" si="16">F35</f>
        <v>3115.4</v>
      </c>
      <c r="G34" s="1114">
        <f t="shared" si="1"/>
        <v>0.10384666666666667</v>
      </c>
    </row>
    <row r="35" spans="1:7" ht="48" x14ac:dyDescent="0.2">
      <c r="A35" s="2164"/>
      <c r="B35" s="327"/>
      <c r="C35" s="328">
        <v>2320</v>
      </c>
      <c r="D35" s="329" t="s">
        <v>313</v>
      </c>
      <c r="E35" s="330">
        <v>30000</v>
      </c>
      <c r="F35" s="306">
        <v>3115.4</v>
      </c>
      <c r="G35" s="1117">
        <f t="shared" si="1"/>
        <v>0.10384666666666667</v>
      </c>
    </row>
    <row r="36" spans="1:7" ht="12" x14ac:dyDescent="0.2">
      <c r="A36" s="2164"/>
      <c r="B36" s="331">
        <v>90013</v>
      </c>
      <c r="C36" s="332"/>
      <c r="D36" s="312" t="s">
        <v>314</v>
      </c>
      <c r="E36" s="313">
        <f>E37</f>
        <v>120000</v>
      </c>
      <c r="F36" s="313">
        <f t="shared" ref="F36" si="17">F37</f>
        <v>103250</v>
      </c>
      <c r="G36" s="1114">
        <f t="shared" si="1"/>
        <v>0.86041666666666672</v>
      </c>
    </row>
    <row r="37" spans="1:7" ht="48" x14ac:dyDescent="0.2">
      <c r="A37" s="2165"/>
      <c r="B37" s="315"/>
      <c r="C37" s="333">
        <v>2310</v>
      </c>
      <c r="D37" s="288" t="s">
        <v>305</v>
      </c>
      <c r="E37" s="317">
        <v>120000</v>
      </c>
      <c r="F37" s="254">
        <v>103250</v>
      </c>
      <c r="G37" s="1117">
        <f t="shared" si="1"/>
        <v>0.86041666666666672</v>
      </c>
    </row>
    <row r="38" spans="1:7" s="1127" customFormat="1" ht="24.75" customHeight="1" x14ac:dyDescent="0.25">
      <c r="A38" s="1125" t="s">
        <v>123</v>
      </c>
      <c r="B38" s="2178" t="s">
        <v>315</v>
      </c>
      <c r="C38" s="2178"/>
      <c r="D38" s="2179"/>
      <c r="E38" s="1126">
        <f>E39+E42</f>
        <v>589855.35</v>
      </c>
      <c r="F38" s="1126">
        <f t="shared" ref="F38" si="18">F39+F42</f>
        <v>582037.88</v>
      </c>
      <c r="G38" s="1119">
        <f t="shared" si="1"/>
        <v>0.98674680156753691</v>
      </c>
    </row>
    <row r="39" spans="1:7" ht="12" x14ac:dyDescent="0.2">
      <c r="A39" s="334">
        <v>700</v>
      </c>
      <c r="B39" s="335"/>
      <c r="C39" s="336"/>
      <c r="D39" s="337" t="s">
        <v>73</v>
      </c>
      <c r="E39" s="338">
        <f>E40</f>
        <v>439855.35</v>
      </c>
      <c r="F39" s="338">
        <f t="shared" ref="F39:F40" si="19">F40</f>
        <v>432037.88</v>
      </c>
      <c r="G39" s="1113">
        <f t="shared" si="1"/>
        <v>0.98222717991266906</v>
      </c>
    </row>
    <row r="40" spans="1:7" ht="12" x14ac:dyDescent="0.2">
      <c r="A40" s="2180"/>
      <c r="B40" s="339">
        <v>70001</v>
      </c>
      <c r="C40" s="340"/>
      <c r="D40" s="341" t="s">
        <v>316</v>
      </c>
      <c r="E40" s="342">
        <f>E41</f>
        <v>439855.35</v>
      </c>
      <c r="F40" s="342">
        <f t="shared" si="19"/>
        <v>432037.88</v>
      </c>
      <c r="G40" s="1114">
        <f t="shared" ref="G40:G57" si="20">F40/E40</f>
        <v>0.98222717991266906</v>
      </c>
    </row>
    <row r="41" spans="1:7" ht="24" x14ac:dyDescent="0.2">
      <c r="A41" s="2181"/>
      <c r="B41" s="343"/>
      <c r="C41" s="344">
        <v>2650</v>
      </c>
      <c r="D41" s="345" t="s">
        <v>317</v>
      </c>
      <c r="E41" s="346">
        <v>439855.35</v>
      </c>
      <c r="F41" s="254">
        <v>432037.88</v>
      </c>
      <c r="G41" s="1117">
        <f t="shared" si="20"/>
        <v>0.98222717991266906</v>
      </c>
    </row>
    <row r="42" spans="1:7" ht="12" x14ac:dyDescent="0.2">
      <c r="A42" s="241">
        <v>852</v>
      </c>
      <c r="B42" s="242"/>
      <c r="C42" s="243"/>
      <c r="D42" s="244" t="s">
        <v>37</v>
      </c>
      <c r="E42" s="245">
        <f>E43</f>
        <v>150000</v>
      </c>
      <c r="F42" s="245">
        <f t="shared" ref="F42:F43" si="21">F43</f>
        <v>150000</v>
      </c>
      <c r="G42" s="1113">
        <f t="shared" si="20"/>
        <v>1</v>
      </c>
    </row>
    <row r="43" spans="1:7" ht="12" x14ac:dyDescent="0.2">
      <c r="A43" s="309"/>
      <c r="B43" s="347">
        <v>85232</v>
      </c>
      <c r="C43" s="247"/>
      <c r="D43" s="248" t="s">
        <v>318</v>
      </c>
      <c r="E43" s="249">
        <f>E44</f>
        <v>150000</v>
      </c>
      <c r="F43" s="249">
        <f t="shared" si="21"/>
        <v>150000</v>
      </c>
      <c r="G43" s="1114">
        <f t="shared" si="20"/>
        <v>1</v>
      </c>
    </row>
    <row r="44" spans="1:7" ht="24" x14ac:dyDescent="0.2">
      <c r="A44" s="348"/>
      <c r="B44" s="293"/>
      <c r="C44" s="294">
        <v>2650</v>
      </c>
      <c r="D44" s="345" t="s">
        <v>317</v>
      </c>
      <c r="E44" s="295">
        <v>150000</v>
      </c>
      <c r="F44" s="254">
        <v>150000</v>
      </c>
      <c r="G44" s="1117">
        <f t="shared" si="20"/>
        <v>1</v>
      </c>
    </row>
    <row r="45" spans="1:7" ht="33" customHeight="1" thickBot="1" x14ac:dyDescent="0.25">
      <c r="A45" s="237" t="s">
        <v>319</v>
      </c>
      <c r="B45" s="2167" t="s">
        <v>320</v>
      </c>
      <c r="C45" s="2167"/>
      <c r="D45" s="2167"/>
      <c r="E45" s="238">
        <f>E46+E54</f>
        <v>2333787.34</v>
      </c>
      <c r="F45" s="238">
        <f>F46+F54</f>
        <v>2306192.2000000002</v>
      </c>
      <c r="G45" s="1123">
        <f t="shared" si="20"/>
        <v>0.98817581211148409</v>
      </c>
    </row>
    <row r="46" spans="1:7" ht="24" customHeight="1" x14ac:dyDescent="0.2">
      <c r="A46" s="349" t="s">
        <v>120</v>
      </c>
      <c r="B46" s="2182" t="s">
        <v>296</v>
      </c>
      <c r="C46" s="2182"/>
      <c r="D46" s="2182"/>
      <c r="E46" s="240">
        <f>E47</f>
        <v>1705896.84</v>
      </c>
      <c r="F46" s="240">
        <f t="shared" ref="F46" si="22">F47</f>
        <v>1704188.78</v>
      </c>
      <c r="G46" s="1124">
        <f t="shared" si="20"/>
        <v>0.99899873195145839</v>
      </c>
    </row>
    <row r="47" spans="1:7" ht="12" x14ac:dyDescent="0.2">
      <c r="A47" s="350">
        <v>801</v>
      </c>
      <c r="B47" s="242"/>
      <c r="C47" s="243"/>
      <c r="D47" s="244" t="s">
        <v>33</v>
      </c>
      <c r="E47" s="308">
        <f>E48+E50+E52</f>
        <v>1705896.84</v>
      </c>
      <c r="F47" s="308">
        <f t="shared" ref="F47" si="23">F48+F50+F52</f>
        <v>1704188.78</v>
      </c>
      <c r="G47" s="1113">
        <f t="shared" si="20"/>
        <v>0.99899873195145839</v>
      </c>
    </row>
    <row r="48" spans="1:7" ht="12" x14ac:dyDescent="0.2">
      <c r="A48" s="2183"/>
      <c r="B48" s="246">
        <v>80104</v>
      </c>
      <c r="C48" s="247"/>
      <c r="D48" s="248" t="s">
        <v>81</v>
      </c>
      <c r="E48" s="249">
        <f>E49</f>
        <v>1293495.52</v>
      </c>
      <c r="F48" s="249">
        <f t="shared" ref="F48" si="24">F49</f>
        <v>1291941.8</v>
      </c>
      <c r="G48" s="1114">
        <f t="shared" si="20"/>
        <v>0.9987988207334495</v>
      </c>
    </row>
    <row r="49" spans="1:7" ht="24" x14ac:dyDescent="0.2">
      <c r="A49" s="2184"/>
      <c r="B49" s="351"/>
      <c r="C49" s="251">
        <v>2540</v>
      </c>
      <c r="D49" s="252" t="s">
        <v>321</v>
      </c>
      <c r="E49" s="253">
        <v>1293495.52</v>
      </c>
      <c r="F49" s="254">
        <v>1291941.8</v>
      </c>
      <c r="G49" s="1117">
        <f t="shared" si="20"/>
        <v>0.9987988207334495</v>
      </c>
    </row>
    <row r="50" spans="1:7" ht="12" x14ac:dyDescent="0.2">
      <c r="A50" s="2184"/>
      <c r="B50" s="246">
        <v>80110</v>
      </c>
      <c r="C50" s="247"/>
      <c r="D50" s="248" t="s">
        <v>306</v>
      </c>
      <c r="E50" s="249">
        <f>E51</f>
        <v>386865</v>
      </c>
      <c r="F50" s="249">
        <f t="shared" ref="F50" si="25">F51</f>
        <v>386710.66</v>
      </c>
      <c r="G50" s="1114">
        <f t="shared" si="20"/>
        <v>0.99960104946169848</v>
      </c>
    </row>
    <row r="51" spans="1:7" ht="24" x14ac:dyDescent="0.2">
      <c r="A51" s="2184"/>
      <c r="B51" s="351"/>
      <c r="C51" s="251">
        <v>2540</v>
      </c>
      <c r="D51" s="252" t="s">
        <v>321</v>
      </c>
      <c r="E51" s="253">
        <v>386865</v>
      </c>
      <c r="F51" s="254">
        <v>386710.66</v>
      </c>
      <c r="G51" s="1117">
        <f t="shared" si="20"/>
        <v>0.99960104946169848</v>
      </c>
    </row>
    <row r="52" spans="1:7" ht="72" x14ac:dyDescent="0.2">
      <c r="A52" s="2184"/>
      <c r="B52" s="246">
        <v>80149</v>
      </c>
      <c r="C52" s="247"/>
      <c r="D52" s="248" t="s">
        <v>322</v>
      </c>
      <c r="E52" s="249">
        <f>E53</f>
        <v>25536.32</v>
      </c>
      <c r="F52" s="249">
        <f t="shared" ref="F52" si="26">F53</f>
        <v>25536.32</v>
      </c>
      <c r="G52" s="1114">
        <f t="shared" si="20"/>
        <v>1</v>
      </c>
    </row>
    <row r="53" spans="1:7" ht="24" x14ac:dyDescent="0.2">
      <c r="A53" s="2185"/>
      <c r="B53" s="351"/>
      <c r="C53" s="251">
        <v>2540</v>
      </c>
      <c r="D53" s="252" t="s">
        <v>321</v>
      </c>
      <c r="E53" s="253">
        <v>25536.32</v>
      </c>
      <c r="F53" s="254">
        <v>25536.32</v>
      </c>
      <c r="G53" s="1117">
        <f t="shared" si="20"/>
        <v>1</v>
      </c>
    </row>
    <row r="54" spans="1:7" ht="27" customHeight="1" x14ac:dyDescent="0.2">
      <c r="A54" s="352" t="s">
        <v>122</v>
      </c>
      <c r="B54" s="2186" t="s">
        <v>323</v>
      </c>
      <c r="C54" s="2186"/>
      <c r="D54" s="2186"/>
      <c r="E54" s="353">
        <f>E55+E61+E73+E81+E86+E66+E78+E58</f>
        <v>627890.5</v>
      </c>
      <c r="F54" s="353">
        <f>F55+F61+F73+F81+F86+F66+F78+F58</f>
        <v>602003.42000000004</v>
      </c>
      <c r="G54" s="1120">
        <f t="shared" si="20"/>
        <v>0.95877134627773475</v>
      </c>
    </row>
    <row r="55" spans="1:7" ht="12" x14ac:dyDescent="0.2">
      <c r="A55" s="354" t="s">
        <v>8</v>
      </c>
      <c r="B55" s="242"/>
      <c r="C55" s="243"/>
      <c r="D55" s="244" t="s">
        <v>9</v>
      </c>
      <c r="E55" s="245">
        <f>E56</f>
        <v>20000</v>
      </c>
      <c r="F55" s="245">
        <f t="shared" ref="F55:F56" si="27">F56</f>
        <v>20000</v>
      </c>
      <c r="G55" s="1113">
        <f t="shared" si="20"/>
        <v>1</v>
      </c>
    </row>
    <row r="56" spans="1:7" ht="12" x14ac:dyDescent="0.2">
      <c r="A56" s="2187"/>
      <c r="B56" s="355" t="s">
        <v>324</v>
      </c>
      <c r="C56" s="247"/>
      <c r="D56" s="248" t="s">
        <v>325</v>
      </c>
      <c r="E56" s="249">
        <f>E57</f>
        <v>20000</v>
      </c>
      <c r="F56" s="249">
        <f t="shared" si="27"/>
        <v>20000</v>
      </c>
      <c r="G56" s="1114">
        <f t="shared" si="20"/>
        <v>1</v>
      </c>
    </row>
    <row r="57" spans="1:7" ht="60" x14ac:dyDescent="0.2">
      <c r="A57" s="2188"/>
      <c r="B57" s="315"/>
      <c r="C57" s="294">
        <v>2830</v>
      </c>
      <c r="D57" s="273" t="s">
        <v>326</v>
      </c>
      <c r="E57" s="295">
        <v>20000</v>
      </c>
      <c r="F57" s="254">
        <v>20000</v>
      </c>
      <c r="G57" s="1117">
        <f t="shared" si="20"/>
        <v>1</v>
      </c>
    </row>
    <row r="58" spans="1:7" ht="12" x14ac:dyDescent="0.2">
      <c r="A58" s="265">
        <v>600</v>
      </c>
      <c r="B58" s="266"/>
      <c r="C58" s="266"/>
      <c r="D58" s="265" t="s">
        <v>303</v>
      </c>
      <c r="E58" s="393">
        <f>E59</f>
        <v>0</v>
      </c>
      <c r="F58" s="393">
        <f t="shared" ref="F58:F59" si="28">F59</f>
        <v>0</v>
      </c>
      <c r="G58" s="1113">
        <v>0</v>
      </c>
    </row>
    <row r="59" spans="1:7" ht="12" x14ac:dyDescent="0.2">
      <c r="A59" s="2189"/>
      <c r="B59" s="268">
        <v>60004</v>
      </c>
      <c r="C59" s="268"/>
      <c r="D59" s="268" t="s">
        <v>304</v>
      </c>
      <c r="E59" s="342">
        <f>E60</f>
        <v>0</v>
      </c>
      <c r="F59" s="342">
        <f t="shared" si="28"/>
        <v>0</v>
      </c>
      <c r="G59" s="1114">
        <v>0</v>
      </c>
    </row>
    <row r="60" spans="1:7" ht="36" x14ac:dyDescent="0.2">
      <c r="A60" s="2190"/>
      <c r="B60" s="343"/>
      <c r="C60" s="356">
        <v>2820</v>
      </c>
      <c r="D60" s="357" t="s">
        <v>327</v>
      </c>
      <c r="E60" s="346">
        <v>0</v>
      </c>
      <c r="F60" s="254">
        <v>0</v>
      </c>
      <c r="G60" s="1117">
        <v>0</v>
      </c>
    </row>
    <row r="61" spans="1:7" ht="24" x14ac:dyDescent="0.2">
      <c r="A61" s="358">
        <v>754</v>
      </c>
      <c r="B61" s="358"/>
      <c r="C61" s="358"/>
      <c r="D61" s="359" t="s">
        <v>328</v>
      </c>
      <c r="E61" s="360">
        <f>E62+E64</f>
        <v>50000</v>
      </c>
      <c r="F61" s="360">
        <f t="shared" ref="F61" si="29">F62+F64</f>
        <v>50000</v>
      </c>
      <c r="G61" s="1129">
        <f t="shared" ref="G61:G89" si="30">F61/E61</f>
        <v>1</v>
      </c>
    </row>
    <row r="62" spans="1:7" ht="12" x14ac:dyDescent="0.2">
      <c r="A62" s="2191"/>
      <c r="B62" s="268">
        <v>75412</v>
      </c>
      <c r="C62" s="268"/>
      <c r="D62" s="361" t="s">
        <v>329</v>
      </c>
      <c r="E62" s="291">
        <f>E63</f>
        <v>30000</v>
      </c>
      <c r="F62" s="291">
        <f t="shared" ref="F62" si="31">F63</f>
        <v>30000</v>
      </c>
      <c r="G62" s="1114">
        <f t="shared" si="30"/>
        <v>1</v>
      </c>
    </row>
    <row r="63" spans="1:7" ht="36" x14ac:dyDescent="0.2">
      <c r="A63" s="2192"/>
      <c r="B63" s="362"/>
      <c r="C63" s="363">
        <v>2820</v>
      </c>
      <c r="D63" s="364" t="s">
        <v>327</v>
      </c>
      <c r="E63" s="365">
        <v>30000</v>
      </c>
      <c r="F63" s="365">
        <v>30000</v>
      </c>
      <c r="G63" s="1117">
        <f t="shared" si="30"/>
        <v>1</v>
      </c>
    </row>
    <row r="64" spans="1:7" ht="12" x14ac:dyDescent="0.2">
      <c r="A64" s="2192"/>
      <c r="B64" s="268">
        <v>75415</v>
      </c>
      <c r="C64" s="339"/>
      <c r="D64" s="299" t="s">
        <v>330</v>
      </c>
      <c r="E64" s="284">
        <f>E65</f>
        <v>20000</v>
      </c>
      <c r="F64" s="284">
        <f t="shared" ref="F64" si="32">F65</f>
        <v>20000</v>
      </c>
      <c r="G64" s="1114">
        <f t="shared" si="30"/>
        <v>1</v>
      </c>
    </row>
    <row r="65" spans="1:7" ht="72" x14ac:dyDescent="0.2">
      <c r="A65" s="2192"/>
      <c r="B65" s="362"/>
      <c r="C65" s="363">
        <v>2360</v>
      </c>
      <c r="D65" s="366" t="s">
        <v>331</v>
      </c>
      <c r="E65" s="367">
        <v>20000</v>
      </c>
      <c r="F65" s="368">
        <v>20000</v>
      </c>
      <c r="G65" s="1117">
        <f t="shared" si="30"/>
        <v>1</v>
      </c>
    </row>
    <row r="66" spans="1:7" ht="12.75" x14ac:dyDescent="0.2">
      <c r="A66" s="369">
        <v>801</v>
      </c>
      <c r="B66" s="265"/>
      <c r="C66" s="334"/>
      <c r="D66" s="337" t="s">
        <v>33</v>
      </c>
      <c r="E66" s="267">
        <f>E67+E69</f>
        <v>216890.5</v>
      </c>
      <c r="F66" s="267">
        <f t="shared" ref="F66" si="33">F67+F69</f>
        <v>203178.14</v>
      </c>
      <c r="G66" s="1113">
        <f t="shared" si="30"/>
        <v>0.93677749832288648</v>
      </c>
    </row>
    <row r="67" spans="1:7" s="371" customFormat="1" ht="51" x14ac:dyDescent="0.2">
      <c r="A67" s="285"/>
      <c r="B67" s="281">
        <v>80153</v>
      </c>
      <c r="C67" s="370"/>
      <c r="D67" s="13" t="s">
        <v>34</v>
      </c>
      <c r="E67" s="284">
        <f>E68</f>
        <v>7672.5</v>
      </c>
      <c r="F67" s="284">
        <f>F68</f>
        <v>7184.7</v>
      </c>
      <c r="G67" s="1114">
        <f t="shared" si="30"/>
        <v>0.93642228739002931</v>
      </c>
    </row>
    <row r="68" spans="1:7" s="371" customFormat="1" ht="36" x14ac:dyDescent="0.2">
      <c r="A68" s="285"/>
      <c r="B68" s="286"/>
      <c r="C68" s="363">
        <v>2820</v>
      </c>
      <c r="D68" s="364" t="s">
        <v>327</v>
      </c>
      <c r="E68" s="372">
        <v>7672.5</v>
      </c>
      <c r="F68" s="372">
        <v>7184.7</v>
      </c>
      <c r="G68" s="1117">
        <f t="shared" si="30"/>
        <v>0.93642228739002931</v>
      </c>
    </row>
    <row r="69" spans="1:7" ht="12.75" x14ac:dyDescent="0.2">
      <c r="A69" s="373"/>
      <c r="B69" s="374">
        <v>80195</v>
      </c>
      <c r="C69" s="339"/>
      <c r="D69" s="299" t="s">
        <v>11</v>
      </c>
      <c r="E69" s="284">
        <f>E70+E71+E72</f>
        <v>209218</v>
      </c>
      <c r="F69" s="284">
        <f t="shared" ref="F69" si="34">F70+F71+F72</f>
        <v>195993.44</v>
      </c>
      <c r="G69" s="1114">
        <f t="shared" si="30"/>
        <v>0.93679052471584667</v>
      </c>
    </row>
    <row r="70" spans="1:7" ht="96" x14ac:dyDescent="0.2">
      <c r="A70" s="373"/>
      <c r="B70" s="375"/>
      <c r="C70" s="356">
        <v>2007</v>
      </c>
      <c r="D70" s="345" t="s">
        <v>332</v>
      </c>
      <c r="E70" s="376">
        <v>152993.44</v>
      </c>
      <c r="F70" s="276">
        <v>152993.44</v>
      </c>
      <c r="G70" s="1117">
        <f t="shared" si="30"/>
        <v>1</v>
      </c>
    </row>
    <row r="71" spans="1:7" ht="96" x14ac:dyDescent="0.2">
      <c r="A71" s="373"/>
      <c r="B71" s="375"/>
      <c r="C71" s="356">
        <v>2009</v>
      </c>
      <c r="D71" s="345" t="s">
        <v>332</v>
      </c>
      <c r="E71" s="376">
        <v>29724.560000000001</v>
      </c>
      <c r="F71" s="276">
        <v>18000</v>
      </c>
      <c r="G71" s="1117">
        <f t="shared" si="30"/>
        <v>0.60555984680681563</v>
      </c>
    </row>
    <row r="72" spans="1:7" ht="72" x14ac:dyDescent="0.2">
      <c r="A72" s="377"/>
      <c r="B72" s="378"/>
      <c r="C72" s="356">
        <v>2360</v>
      </c>
      <c r="D72" s="345" t="s">
        <v>331</v>
      </c>
      <c r="E72" s="376">
        <v>26500</v>
      </c>
      <c r="F72" s="276">
        <v>25000</v>
      </c>
      <c r="G72" s="1117">
        <f t="shared" si="30"/>
        <v>0.94339622641509435</v>
      </c>
    </row>
    <row r="73" spans="1:7" ht="12" x14ac:dyDescent="0.2">
      <c r="A73" s="379">
        <v>851</v>
      </c>
      <c r="B73" s="380"/>
      <c r="C73" s="381"/>
      <c r="D73" s="307" t="s">
        <v>309</v>
      </c>
      <c r="E73" s="308">
        <f>E74+E76</f>
        <v>58000</v>
      </c>
      <c r="F73" s="308">
        <f t="shared" ref="F73" si="35">F74+F76</f>
        <v>52312</v>
      </c>
      <c r="G73" s="1113">
        <f t="shared" si="30"/>
        <v>0.90193103448275858</v>
      </c>
    </row>
    <row r="74" spans="1:7" ht="12" x14ac:dyDescent="0.2">
      <c r="A74" s="382"/>
      <c r="B74" s="383">
        <v>85154</v>
      </c>
      <c r="C74" s="247"/>
      <c r="D74" s="248" t="s">
        <v>310</v>
      </c>
      <c r="E74" s="249">
        <f>E75</f>
        <v>48000</v>
      </c>
      <c r="F74" s="249">
        <f t="shared" ref="F74" si="36">F75</f>
        <v>42312</v>
      </c>
      <c r="G74" s="1114">
        <f t="shared" si="30"/>
        <v>0.88149999999999995</v>
      </c>
    </row>
    <row r="75" spans="1:7" ht="80.25" customHeight="1" x14ac:dyDescent="0.2">
      <c r="A75" s="384"/>
      <c r="B75" s="303"/>
      <c r="C75" s="385">
        <v>2360</v>
      </c>
      <c r="D75" s="366" t="s">
        <v>331</v>
      </c>
      <c r="E75" s="261">
        <v>48000</v>
      </c>
      <c r="F75" s="254">
        <v>42312</v>
      </c>
      <c r="G75" s="1117">
        <f t="shared" si="30"/>
        <v>0.88149999999999995</v>
      </c>
    </row>
    <row r="76" spans="1:7" ht="12" x14ac:dyDescent="0.2">
      <c r="A76" s="386"/>
      <c r="B76" s="339">
        <v>85195</v>
      </c>
      <c r="C76" s="340"/>
      <c r="D76" s="299" t="s">
        <v>11</v>
      </c>
      <c r="E76" s="342">
        <f>E77</f>
        <v>10000</v>
      </c>
      <c r="F76" s="342">
        <f t="shared" ref="F76" si="37">F77</f>
        <v>10000</v>
      </c>
      <c r="G76" s="1114">
        <f t="shared" si="30"/>
        <v>1</v>
      </c>
    </row>
    <row r="77" spans="1:7" ht="78.75" customHeight="1" x14ac:dyDescent="0.2">
      <c r="A77" s="386"/>
      <c r="B77" s="387"/>
      <c r="C77" s="388">
        <v>2360</v>
      </c>
      <c r="D77" s="389" t="s">
        <v>331</v>
      </c>
      <c r="E77" s="390">
        <v>10000</v>
      </c>
      <c r="F77" s="306">
        <v>10000</v>
      </c>
      <c r="G77" s="1117">
        <f t="shared" si="30"/>
        <v>1</v>
      </c>
    </row>
    <row r="78" spans="1:7" ht="24" x14ac:dyDescent="0.2">
      <c r="A78" s="334">
        <v>853</v>
      </c>
      <c r="B78" s="391"/>
      <c r="C78" s="392"/>
      <c r="D78" s="337" t="s">
        <v>333</v>
      </c>
      <c r="E78" s="393">
        <f>E79</f>
        <v>4600</v>
      </c>
      <c r="F78" s="393">
        <f t="shared" ref="F78:F79" si="38">F79</f>
        <v>4600</v>
      </c>
      <c r="G78" s="1113">
        <f t="shared" si="30"/>
        <v>1</v>
      </c>
    </row>
    <row r="79" spans="1:7" ht="12" x14ac:dyDescent="0.2">
      <c r="A79" s="2193"/>
      <c r="B79" s="339">
        <v>85395</v>
      </c>
      <c r="C79" s="340"/>
      <c r="D79" s="299" t="s">
        <v>11</v>
      </c>
      <c r="E79" s="342">
        <f>E80</f>
        <v>4600</v>
      </c>
      <c r="F79" s="342">
        <f t="shared" si="38"/>
        <v>4600</v>
      </c>
      <c r="G79" s="1114">
        <f t="shared" si="30"/>
        <v>1</v>
      </c>
    </row>
    <row r="80" spans="1:7" ht="78.75" customHeight="1" x14ac:dyDescent="0.2">
      <c r="A80" s="2194"/>
      <c r="B80" s="343"/>
      <c r="C80" s="294">
        <v>2360</v>
      </c>
      <c r="D80" s="273" t="s">
        <v>331</v>
      </c>
      <c r="E80" s="346">
        <v>4600</v>
      </c>
      <c r="F80" s="254">
        <v>4600</v>
      </c>
      <c r="G80" s="1117">
        <f t="shared" si="30"/>
        <v>1</v>
      </c>
    </row>
    <row r="81" spans="1:7" ht="24" x14ac:dyDescent="0.2">
      <c r="A81" s="1140">
        <v>921</v>
      </c>
      <c r="B81" s="1141"/>
      <c r="C81" s="1142"/>
      <c r="D81" s="1143" t="s">
        <v>297</v>
      </c>
      <c r="E81" s="1144">
        <f>E84+E82</f>
        <v>108400</v>
      </c>
      <c r="F81" s="1144">
        <f t="shared" ref="F81" si="39">F84+F82</f>
        <v>106523.28</v>
      </c>
      <c r="G81" s="1145">
        <f t="shared" si="30"/>
        <v>0.98268708487084866</v>
      </c>
    </row>
    <row r="82" spans="1:7" ht="12" x14ac:dyDescent="0.2">
      <c r="A82" s="394"/>
      <c r="B82" s="395">
        <v>92105</v>
      </c>
      <c r="C82" s="396"/>
      <c r="D82" s="397" t="s">
        <v>334</v>
      </c>
      <c r="E82" s="398">
        <f>E83</f>
        <v>8400</v>
      </c>
      <c r="F82" s="398">
        <f t="shared" ref="F82" si="40">F83</f>
        <v>6523.28</v>
      </c>
      <c r="G82" s="1114">
        <f t="shared" si="30"/>
        <v>0.77658095238095237</v>
      </c>
    </row>
    <row r="83" spans="1:7" ht="72" x14ac:dyDescent="0.2">
      <c r="A83" s="399"/>
      <c r="B83" s="400"/>
      <c r="C83" s="251">
        <v>2360</v>
      </c>
      <c r="D83" s="252" t="s">
        <v>331</v>
      </c>
      <c r="E83" s="401">
        <v>8400</v>
      </c>
      <c r="F83" s="254">
        <v>6523.28</v>
      </c>
      <c r="G83" s="1117">
        <f t="shared" si="30"/>
        <v>0.77658095238095237</v>
      </c>
    </row>
    <row r="84" spans="1:7" ht="12" x14ac:dyDescent="0.2">
      <c r="A84" s="399"/>
      <c r="B84" s="297">
        <v>92120</v>
      </c>
      <c r="C84" s="402"/>
      <c r="D84" s="403" t="s">
        <v>335</v>
      </c>
      <c r="E84" s="398">
        <f>E85</f>
        <v>100000</v>
      </c>
      <c r="F84" s="398">
        <f t="shared" ref="F84" si="41">F85</f>
        <v>100000</v>
      </c>
      <c r="G84" s="1114">
        <f t="shared" si="30"/>
        <v>1</v>
      </c>
    </row>
    <row r="85" spans="1:7" ht="72" x14ac:dyDescent="0.2">
      <c r="A85" s="404"/>
      <c r="B85" s="405"/>
      <c r="C85" s="388">
        <v>2720</v>
      </c>
      <c r="D85" s="389" t="s">
        <v>336</v>
      </c>
      <c r="E85" s="406">
        <v>100000</v>
      </c>
      <c r="F85" s="254">
        <v>100000</v>
      </c>
      <c r="G85" s="1117">
        <f t="shared" si="30"/>
        <v>1</v>
      </c>
    </row>
    <row r="86" spans="1:7" ht="12" x14ac:dyDescent="0.2">
      <c r="A86" s="241">
        <v>926</v>
      </c>
      <c r="B86" s="407"/>
      <c r="C86" s="408"/>
      <c r="D86" s="409" t="s">
        <v>337</v>
      </c>
      <c r="E86" s="410">
        <f>E87</f>
        <v>170000</v>
      </c>
      <c r="F86" s="410">
        <f t="shared" ref="F86:F87" si="42">F87</f>
        <v>165390</v>
      </c>
      <c r="G86" s="1113">
        <f t="shared" si="30"/>
        <v>0.97288235294117642</v>
      </c>
    </row>
    <row r="87" spans="1:7" ht="12" x14ac:dyDescent="0.2">
      <c r="A87" s="314"/>
      <c r="B87" s="383">
        <v>92695</v>
      </c>
      <c r="C87" s="411"/>
      <c r="D87" s="412" t="s">
        <v>11</v>
      </c>
      <c r="E87" s="413">
        <f>E88</f>
        <v>170000</v>
      </c>
      <c r="F87" s="413">
        <f t="shared" si="42"/>
        <v>165390</v>
      </c>
      <c r="G87" s="1114">
        <f t="shared" si="30"/>
        <v>0.97288235294117642</v>
      </c>
    </row>
    <row r="88" spans="1:7" ht="72.75" thickBot="1" x14ac:dyDescent="0.25">
      <c r="A88" s="414"/>
      <c r="B88" s="415"/>
      <c r="C88" s="251">
        <v>2360</v>
      </c>
      <c r="D88" s="252" t="s">
        <v>331</v>
      </c>
      <c r="E88" s="253">
        <v>170000</v>
      </c>
      <c r="F88" s="254">
        <v>165390</v>
      </c>
      <c r="G88" s="1117">
        <f t="shared" si="30"/>
        <v>0.97288235294117642</v>
      </c>
    </row>
    <row r="89" spans="1:7" ht="23.25" customHeight="1" thickBot="1" x14ac:dyDescent="0.25">
      <c r="A89" s="2195" t="s">
        <v>288</v>
      </c>
      <c r="B89" s="2196"/>
      <c r="C89" s="2196"/>
      <c r="D89" s="2197"/>
      <c r="E89" s="416">
        <f>E45+E8</f>
        <v>6824617.6899999995</v>
      </c>
      <c r="F89" s="416">
        <f>F45+F8</f>
        <v>6736193.9100000001</v>
      </c>
      <c r="G89" s="1118">
        <f t="shared" si="30"/>
        <v>0.98704340902061583</v>
      </c>
    </row>
    <row r="90" spans="1:7" ht="36.75" customHeight="1" x14ac:dyDescent="0.2">
      <c r="A90" s="2176" t="s">
        <v>338</v>
      </c>
      <c r="B90" s="2176"/>
      <c r="C90" s="2176"/>
      <c r="D90" s="2176"/>
      <c r="E90" s="2176"/>
      <c r="F90" s="2176"/>
      <c r="G90" s="2177"/>
    </row>
    <row r="91" spans="1:7" ht="24" x14ac:dyDescent="0.2">
      <c r="A91" s="417" t="s">
        <v>0</v>
      </c>
      <c r="B91" s="418" t="s">
        <v>1</v>
      </c>
      <c r="C91" s="419" t="s">
        <v>2</v>
      </c>
      <c r="D91" s="420" t="s">
        <v>291</v>
      </c>
      <c r="E91" s="421" t="s">
        <v>339</v>
      </c>
      <c r="F91" s="422" t="s">
        <v>514</v>
      </c>
      <c r="G91" s="834" t="s">
        <v>91</v>
      </c>
    </row>
    <row r="92" spans="1:7" ht="34.5" customHeight="1" thickBot="1" x14ac:dyDescent="0.25">
      <c r="A92" s="237" t="s">
        <v>293</v>
      </c>
      <c r="B92" s="2167" t="s">
        <v>294</v>
      </c>
      <c r="C92" s="2167"/>
      <c r="D92" s="2167"/>
      <c r="E92" s="423">
        <f>E93</f>
        <v>577518.85</v>
      </c>
      <c r="F92" s="423">
        <f t="shared" ref="F92" si="43">F93</f>
        <v>538772.94999999995</v>
      </c>
      <c r="G92" s="1123">
        <f t="shared" ref="G92:G117" si="44">F92/E92</f>
        <v>0.93290972234066472</v>
      </c>
    </row>
    <row r="93" spans="1:7" ht="24" customHeight="1" x14ac:dyDescent="0.2">
      <c r="A93" s="424" t="s">
        <v>120</v>
      </c>
      <c r="B93" s="2201" t="s">
        <v>302</v>
      </c>
      <c r="C93" s="2201"/>
      <c r="D93" s="2201"/>
      <c r="E93" s="425">
        <f>E100+E94+E97+E103</f>
        <v>577518.85</v>
      </c>
      <c r="F93" s="425">
        <f t="shared" ref="F93" si="45">F100+F94+F97+F103</f>
        <v>538772.94999999995</v>
      </c>
      <c r="G93" s="1124">
        <f t="shared" si="44"/>
        <v>0.93290972234066472</v>
      </c>
    </row>
    <row r="94" spans="1:7" ht="12" x14ac:dyDescent="0.2">
      <c r="A94" s="1131">
        <v>600</v>
      </c>
      <c r="B94" s="1132"/>
      <c r="C94" s="1133"/>
      <c r="D94" s="1134" t="s">
        <v>340</v>
      </c>
      <c r="E94" s="1135">
        <f>E95</f>
        <v>261476</v>
      </c>
      <c r="F94" s="1135">
        <f t="shared" ref="F94:F95" si="46">F95</f>
        <v>256112.21</v>
      </c>
      <c r="G94" s="1129">
        <f t="shared" si="44"/>
        <v>0.97948649206810567</v>
      </c>
    </row>
    <row r="95" spans="1:7" ht="12" x14ac:dyDescent="0.2">
      <c r="A95" s="2202"/>
      <c r="B95" s="426">
        <v>60014</v>
      </c>
      <c r="C95" s="427"/>
      <c r="D95" s="428" t="s">
        <v>341</v>
      </c>
      <c r="E95" s="429">
        <f>E96</f>
        <v>261476</v>
      </c>
      <c r="F95" s="429">
        <f t="shared" si="46"/>
        <v>256112.21</v>
      </c>
      <c r="G95" s="1114">
        <f t="shared" si="44"/>
        <v>0.97948649206810567</v>
      </c>
    </row>
    <row r="96" spans="1:7" ht="48" x14ac:dyDescent="0.2">
      <c r="A96" s="2165"/>
      <c r="B96" s="343"/>
      <c r="C96" s="344">
        <v>6300</v>
      </c>
      <c r="D96" s="345" t="s">
        <v>305</v>
      </c>
      <c r="E96" s="346">
        <v>261476</v>
      </c>
      <c r="F96" s="254">
        <v>256112.21</v>
      </c>
      <c r="G96" s="1117">
        <f t="shared" si="44"/>
        <v>0.97948649206810567</v>
      </c>
    </row>
    <row r="97" spans="1:7" ht="12" x14ac:dyDescent="0.2">
      <c r="A97" s="1136">
        <v>851</v>
      </c>
      <c r="B97" s="1137"/>
      <c r="C97" s="1138"/>
      <c r="D97" s="450" t="s">
        <v>309</v>
      </c>
      <c r="E97" s="279">
        <f>E98</f>
        <v>25000</v>
      </c>
      <c r="F97" s="279">
        <f t="shared" ref="F97" si="47">F98</f>
        <v>0</v>
      </c>
      <c r="G97" s="1129">
        <f t="shared" si="44"/>
        <v>0</v>
      </c>
    </row>
    <row r="98" spans="1:7" ht="12" x14ac:dyDescent="0.2">
      <c r="A98" s="430"/>
      <c r="B98" s="431">
        <v>85111</v>
      </c>
      <c r="C98" s="340"/>
      <c r="D98" s="299" t="s">
        <v>342</v>
      </c>
      <c r="E98" s="300">
        <f t="shared" ref="E98:F98" si="48">E99</f>
        <v>25000</v>
      </c>
      <c r="F98" s="301">
        <f t="shared" si="48"/>
        <v>0</v>
      </c>
      <c r="G98" s="1114">
        <f t="shared" si="44"/>
        <v>0</v>
      </c>
    </row>
    <row r="99" spans="1:7" ht="48" x14ac:dyDescent="0.2">
      <c r="A99" s="432"/>
      <c r="B99" s="343"/>
      <c r="C99" s="344">
        <v>6220</v>
      </c>
      <c r="D99" s="345" t="s">
        <v>343</v>
      </c>
      <c r="E99" s="433">
        <v>25000</v>
      </c>
      <c r="F99" s="254">
        <v>0</v>
      </c>
      <c r="G99" s="1117">
        <f t="shared" si="44"/>
        <v>0</v>
      </c>
    </row>
    <row r="100" spans="1:7" ht="24" x14ac:dyDescent="0.2">
      <c r="A100" s="1139">
        <v>900</v>
      </c>
      <c r="B100" s="1132"/>
      <c r="C100" s="1133"/>
      <c r="D100" s="1134" t="s">
        <v>311</v>
      </c>
      <c r="E100" s="1135">
        <f>E101</f>
        <v>244042.85</v>
      </c>
      <c r="F100" s="1135">
        <f t="shared" ref="F100:F104" si="49">F101</f>
        <v>244042.85</v>
      </c>
      <c r="G100" s="1129">
        <f t="shared" si="44"/>
        <v>1</v>
      </c>
    </row>
    <row r="101" spans="1:7" ht="12" x14ac:dyDescent="0.2">
      <c r="A101" s="434"/>
      <c r="B101" s="426">
        <v>90013</v>
      </c>
      <c r="C101" s="427"/>
      <c r="D101" s="428" t="s">
        <v>314</v>
      </c>
      <c r="E101" s="429">
        <f>E102</f>
        <v>244042.85</v>
      </c>
      <c r="F101" s="429">
        <f t="shared" si="49"/>
        <v>244042.85</v>
      </c>
      <c r="G101" s="1114">
        <f t="shared" si="44"/>
        <v>1</v>
      </c>
    </row>
    <row r="102" spans="1:7" ht="48" x14ac:dyDescent="0.2">
      <c r="A102" s="435"/>
      <c r="B102" s="343"/>
      <c r="C102" s="344">
        <v>6300</v>
      </c>
      <c r="D102" s="345" t="s">
        <v>305</v>
      </c>
      <c r="E102" s="346">
        <v>244042.85</v>
      </c>
      <c r="F102" s="254">
        <v>244042.85</v>
      </c>
      <c r="G102" s="1117">
        <f t="shared" si="44"/>
        <v>1</v>
      </c>
    </row>
    <row r="103" spans="1:7" ht="24" x14ac:dyDescent="0.2">
      <c r="A103" s="1139">
        <v>921</v>
      </c>
      <c r="B103" s="1132"/>
      <c r="C103" s="1133"/>
      <c r="D103" s="1134" t="s">
        <v>297</v>
      </c>
      <c r="E103" s="1135">
        <f>E104</f>
        <v>47000</v>
      </c>
      <c r="F103" s="1135">
        <f t="shared" si="49"/>
        <v>38617.89</v>
      </c>
      <c r="G103" s="1129">
        <f t="shared" si="44"/>
        <v>0.8216572340425532</v>
      </c>
    </row>
    <row r="104" spans="1:7" ht="12" x14ac:dyDescent="0.2">
      <c r="A104" s="434"/>
      <c r="B104" s="426">
        <v>92109</v>
      </c>
      <c r="C104" s="427"/>
      <c r="D104" s="248" t="s">
        <v>298</v>
      </c>
      <c r="E104" s="429">
        <f>E105</f>
        <v>47000</v>
      </c>
      <c r="F104" s="429">
        <f t="shared" si="49"/>
        <v>38617.89</v>
      </c>
      <c r="G104" s="1114">
        <f t="shared" si="44"/>
        <v>0.8216572340425532</v>
      </c>
    </row>
    <row r="105" spans="1:7" ht="48" x14ac:dyDescent="0.2">
      <c r="A105" s="435"/>
      <c r="B105" s="343"/>
      <c r="C105" s="344">
        <v>6220</v>
      </c>
      <c r="D105" s="345" t="s">
        <v>343</v>
      </c>
      <c r="E105" s="346">
        <v>47000</v>
      </c>
      <c r="F105" s="254">
        <v>38617.89</v>
      </c>
      <c r="G105" s="1117">
        <f t="shared" si="44"/>
        <v>0.8216572340425532</v>
      </c>
    </row>
    <row r="106" spans="1:7" ht="31.5" customHeight="1" thickBot="1" x14ac:dyDescent="0.25">
      <c r="A106" s="436" t="s">
        <v>319</v>
      </c>
      <c r="B106" s="2203" t="s">
        <v>320</v>
      </c>
      <c r="C106" s="2203"/>
      <c r="D106" s="2203"/>
      <c r="E106" s="437">
        <f>E107</f>
        <v>147000</v>
      </c>
      <c r="F106" s="1122">
        <f t="shared" ref="F106" si="50">F107</f>
        <v>144075.12</v>
      </c>
      <c r="G106" s="1123">
        <f t="shared" si="44"/>
        <v>0.98010285714285716</v>
      </c>
    </row>
    <row r="107" spans="1:7" ht="21" customHeight="1" x14ac:dyDescent="0.2">
      <c r="A107" s="438" t="s">
        <v>120</v>
      </c>
      <c r="B107" s="2204" t="s">
        <v>302</v>
      </c>
      <c r="C107" s="2204"/>
      <c r="D107" s="2204"/>
      <c r="E107" s="439">
        <f>E111+E108</f>
        <v>147000</v>
      </c>
      <c r="F107" s="439">
        <f>F108+F111</f>
        <v>144075.12</v>
      </c>
      <c r="G107" s="1121">
        <f t="shared" si="44"/>
        <v>0.98010285714285716</v>
      </c>
    </row>
    <row r="108" spans="1:7" s="445" customFormat="1" ht="28.5" customHeight="1" x14ac:dyDescent="0.25">
      <c r="A108" s="440">
        <v>754</v>
      </c>
      <c r="B108" s="441"/>
      <c r="C108" s="442"/>
      <c r="D108" s="443" t="s">
        <v>344</v>
      </c>
      <c r="E108" s="444">
        <f>E109</f>
        <v>9000</v>
      </c>
      <c r="F108" s="444">
        <f t="shared" ref="F108:F109" si="51">F109</f>
        <v>9000</v>
      </c>
      <c r="G108" s="1129">
        <f t="shared" si="44"/>
        <v>1</v>
      </c>
    </row>
    <row r="109" spans="1:7" s="445" customFormat="1" ht="18.75" customHeight="1" x14ac:dyDescent="0.25">
      <c r="A109" s="438"/>
      <c r="B109" s="446">
        <v>75412</v>
      </c>
      <c r="C109" s="446"/>
      <c r="D109" s="446" t="s">
        <v>329</v>
      </c>
      <c r="E109" s="447">
        <f>E110</f>
        <v>9000</v>
      </c>
      <c r="F109" s="447">
        <f t="shared" si="51"/>
        <v>9000</v>
      </c>
      <c r="G109" s="1114">
        <f t="shared" si="44"/>
        <v>1</v>
      </c>
    </row>
    <row r="110" spans="1:7" s="445" customFormat="1" ht="60" x14ac:dyDescent="0.25">
      <c r="A110" s="438"/>
      <c r="B110" s="292"/>
      <c r="C110" s="448">
        <v>6230</v>
      </c>
      <c r="D110" s="449" t="s">
        <v>345</v>
      </c>
      <c r="E110" s="439">
        <v>9000</v>
      </c>
      <c r="F110" s="439">
        <v>9000</v>
      </c>
      <c r="G110" s="1117">
        <f t="shared" si="44"/>
        <v>1</v>
      </c>
    </row>
    <row r="111" spans="1:7" ht="24" x14ac:dyDescent="0.2">
      <c r="A111" s="440">
        <v>900</v>
      </c>
      <c r="B111" s="440"/>
      <c r="C111" s="450"/>
      <c r="D111" s="265" t="s">
        <v>346</v>
      </c>
      <c r="E111" s="1130">
        <f>E112+E114</f>
        <v>138000</v>
      </c>
      <c r="F111" s="1130">
        <f t="shared" ref="F111" si="52">F112+F114</f>
        <v>135075.12</v>
      </c>
      <c r="G111" s="1129">
        <f t="shared" si="44"/>
        <v>0.97880521739130433</v>
      </c>
    </row>
    <row r="112" spans="1:7" ht="12" x14ac:dyDescent="0.2">
      <c r="A112" s="451"/>
      <c r="B112" s="452">
        <v>90001</v>
      </c>
      <c r="C112" s="452"/>
      <c r="D112" s="282" t="s">
        <v>347</v>
      </c>
      <c r="E112" s="342">
        <f>E113</f>
        <v>69000</v>
      </c>
      <c r="F112" s="342">
        <f t="shared" ref="F112" si="53">F113</f>
        <v>66304.12</v>
      </c>
      <c r="G112" s="1114">
        <f t="shared" si="44"/>
        <v>0.96092927536231876</v>
      </c>
    </row>
    <row r="113" spans="1:7" ht="60" x14ac:dyDescent="0.2">
      <c r="A113" s="453"/>
      <c r="B113" s="343"/>
      <c r="C113" s="454">
        <v>6230</v>
      </c>
      <c r="D113" s="455" t="s">
        <v>345</v>
      </c>
      <c r="E113" s="346">
        <v>69000</v>
      </c>
      <c r="F113" s="254">
        <v>66304.12</v>
      </c>
      <c r="G113" s="1117">
        <f t="shared" si="44"/>
        <v>0.96092927536231876</v>
      </c>
    </row>
    <row r="114" spans="1:7" ht="24" x14ac:dyDescent="0.2">
      <c r="A114" s="453"/>
      <c r="B114" s="452">
        <v>90005</v>
      </c>
      <c r="C114" s="452"/>
      <c r="D114" s="282" t="s">
        <v>348</v>
      </c>
      <c r="E114" s="342">
        <f>E115</f>
        <v>69000</v>
      </c>
      <c r="F114" s="342">
        <f t="shared" ref="F114" si="54">F115</f>
        <v>68771</v>
      </c>
      <c r="G114" s="1114">
        <f t="shared" si="44"/>
        <v>0.9966811594202899</v>
      </c>
    </row>
    <row r="115" spans="1:7" ht="60" x14ac:dyDescent="0.2">
      <c r="A115" s="453"/>
      <c r="B115" s="456"/>
      <c r="C115" s="448">
        <v>6230</v>
      </c>
      <c r="D115" s="449" t="s">
        <v>345</v>
      </c>
      <c r="E115" s="346">
        <v>69000</v>
      </c>
      <c r="F115" s="254">
        <v>68771</v>
      </c>
      <c r="G115" s="1117">
        <f t="shared" si="44"/>
        <v>0.9966811594202899</v>
      </c>
    </row>
    <row r="116" spans="1:7" ht="20.25" customHeight="1" x14ac:dyDescent="0.2">
      <c r="A116" s="2205" t="s">
        <v>288</v>
      </c>
      <c r="B116" s="2206"/>
      <c r="C116" s="2206"/>
      <c r="D116" s="2207"/>
      <c r="E116" s="457">
        <f>E92+E106</f>
        <v>724518.85</v>
      </c>
      <c r="F116" s="457">
        <f>F92+F106</f>
        <v>682848.07</v>
      </c>
      <c r="G116" s="1119">
        <f t="shared" si="44"/>
        <v>0.94248489186996309</v>
      </c>
    </row>
    <row r="117" spans="1:7" ht="27.75" customHeight="1" x14ac:dyDescent="0.2">
      <c r="A117" s="2198" t="s">
        <v>349</v>
      </c>
      <c r="B117" s="2199"/>
      <c r="C117" s="2199"/>
      <c r="D117" s="2200"/>
      <c r="E117" s="458">
        <f>E116+E89</f>
        <v>7549136.5399999991</v>
      </c>
      <c r="F117" s="458">
        <f>F116+F89</f>
        <v>7419041.9800000004</v>
      </c>
      <c r="G117" s="1119">
        <f t="shared" si="44"/>
        <v>0.98276696158419219</v>
      </c>
    </row>
  </sheetData>
  <mergeCells count="31">
    <mergeCell ref="A117:D117"/>
    <mergeCell ref="B92:D92"/>
    <mergeCell ref="B93:D93"/>
    <mergeCell ref="A95:A96"/>
    <mergeCell ref="B106:D106"/>
    <mergeCell ref="B107:D107"/>
    <mergeCell ref="A116:D116"/>
    <mergeCell ref="A90:G90"/>
    <mergeCell ref="B38:D38"/>
    <mergeCell ref="A40:A41"/>
    <mergeCell ref="B45:D45"/>
    <mergeCell ref="B46:D46"/>
    <mergeCell ref="A48:A53"/>
    <mergeCell ref="B54:D54"/>
    <mergeCell ref="A56:A57"/>
    <mergeCell ref="A59:A60"/>
    <mergeCell ref="A62:A65"/>
    <mergeCell ref="A79:A80"/>
    <mergeCell ref="A89:D89"/>
    <mergeCell ref="D1:G1"/>
    <mergeCell ref="A34:A37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4:A27"/>
  </mergeCells>
  <pageMargins left="0.70866141732283472" right="0" top="0.74803149606299213" bottom="0.35433070866141736" header="0.31496062992125984" footer="0.11811023622047245"/>
  <pageSetup paperSize="9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11</vt:i4>
      </vt:variant>
    </vt:vector>
  </HeadingPairs>
  <TitlesOfParts>
    <vt:vector size="27" baseType="lpstr">
      <vt:lpstr>Zał. nr 1</vt:lpstr>
      <vt:lpstr>Zał. nr 2</vt:lpstr>
      <vt:lpstr>Zał. nr 3 </vt:lpstr>
      <vt:lpstr>Zał. nr 4.</vt:lpstr>
      <vt:lpstr>Zał. nr 5,</vt:lpstr>
      <vt:lpstr>cd.zał. nr 5</vt:lpstr>
      <vt:lpstr>Zał. nr 6.</vt:lpstr>
      <vt:lpstr>Zał. nr 7</vt:lpstr>
      <vt:lpstr>Zał. nr 8</vt:lpstr>
      <vt:lpstr>zał.nr 9.</vt:lpstr>
      <vt:lpstr>Zał. nr 10</vt:lpstr>
      <vt:lpstr>Zał. nr 11</vt:lpstr>
      <vt:lpstr>Zal. nr 12 przedsz.</vt:lpstr>
      <vt:lpstr>Tabela nr 1.</vt:lpstr>
      <vt:lpstr>zał. nr 13 odpady komunalne</vt:lpstr>
      <vt:lpstr>Zał. nr 14 wynagr.</vt:lpstr>
      <vt:lpstr>'Tabela nr 1.'!Tytuły_wydruku</vt:lpstr>
      <vt:lpstr>'Zal. nr 12 przedsz.'!Tytuły_wydruku</vt:lpstr>
      <vt:lpstr>'Zał. nr 1'!Tytuły_wydruku</vt:lpstr>
      <vt:lpstr>'zał. nr 13 odpady komunalne'!Tytuły_wydruku</vt:lpstr>
      <vt:lpstr>'Zał. nr 14 wynagr.'!Tytuły_wydruku</vt:lpstr>
      <vt:lpstr>'Zał. nr 2'!Tytuły_wydruku</vt:lpstr>
      <vt:lpstr>'Zał. nr 4.'!Tytuły_wydruku</vt:lpstr>
      <vt:lpstr>'Zał. nr 5,'!Tytuły_wydruku</vt:lpstr>
      <vt:lpstr>'Zał. nr 7'!Tytuły_wydruku</vt:lpstr>
      <vt:lpstr>'Zał. nr 8'!Tytuły_wydruku</vt:lpstr>
      <vt:lpstr>'zał.nr 9.'!Tytuły_wydruku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2019-03-12T15:16:10Z</cp:lastPrinted>
  <dcterms:created xsi:type="dcterms:W3CDTF">2018-12-19T05:10:37Z</dcterms:created>
  <dcterms:modified xsi:type="dcterms:W3CDTF">2019-03-21T11:07:27Z</dcterms:modified>
</cp:coreProperties>
</file>