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activeTab="1"/>
  </bookViews>
  <sheets>
    <sheet name="Wybrany_WPF_ zał. Nr 1" sheetId="2" r:id="rId1"/>
    <sheet name="Zał. Nr 2 do WPF" sheetId="1" r:id="rId2"/>
  </sheets>
  <externalReferences>
    <externalReference r:id="rId3"/>
  </externalReferences>
  <definedNames>
    <definedName name="_xlnm._FilterDatabase" localSheetId="0" hidden="1">'Wybrany_WPF_ zał. Nr 1'!$A$9:$A$110</definedName>
    <definedName name="KwartalRb">[1]metodologia!$B$5</definedName>
    <definedName name="_xlnm.Print_Area" localSheetId="0">'Wybrany_WPF_ zał. Nr 1'!$B$8:$U$118</definedName>
    <definedName name="Rok_bazowy">[1]DaneZrodlowe!$N$1</definedName>
    <definedName name="RokRb">[1]metodologia!$B$4</definedName>
    <definedName name="SzczegolowoscDanych">[1]metodologia!$J$6</definedName>
    <definedName name="_xlnm.Print_Titles" localSheetId="0">'Wybrany_WPF_ zał. Nr 1'!$B:$D,'Wybrany_WPF_ zał. Nr 1'!$8:$9</definedName>
    <definedName name="_xlnm.Print_Titles" localSheetId="1">'Zał. Nr 2 do WPF'!$5:$7</definedName>
    <definedName name="WydatkiPar">[1]metodologia!$J$7</definedName>
    <definedName name="WydatkiParBud">[1]metodologia!$J$8</definedName>
    <definedName name="Z_9360F695_77C0_4418_82C5_829A762C44E9_.wvu.Cols" localSheetId="0" hidden="1">'Wybrany_WPF_ zał. Nr 1'!$A:$A,'Wybrany_WPF_ zał. Nr 1'!$C:$C</definedName>
    <definedName name="Z_9360F695_77C0_4418_82C5_829A762C44E9_.wvu.FilterData" localSheetId="0" hidden="1">'Wybrany_WPF_ zał. Nr 1'!$A$9:$A$110</definedName>
    <definedName name="Z_9360F695_77C0_4418_82C5_829A762C44E9_.wvu.PrintArea" localSheetId="0" hidden="1">'Wybrany_WPF_ zał. Nr 1'!$B$8:$U$110</definedName>
    <definedName name="Z_9360F695_77C0_4418_82C5_829A762C44E9_.wvu.PrintTitles" localSheetId="0" hidden="1">'Wybrany_WPF_ zał. Nr 1'!$B:$D,'Wybrany_WPF_ zał. Nr 1'!$8:$9</definedName>
  </definedNames>
  <calcPr calcId="145621"/>
</workbook>
</file>

<file path=xl/calcChain.xml><?xml version="1.0" encoding="utf-8"?>
<calcChain xmlns="http://schemas.openxmlformats.org/spreadsheetml/2006/main">
  <c r="I24" i="1" l="1"/>
  <c r="I19" i="1"/>
  <c r="I17" i="1"/>
  <c r="I15" i="1"/>
  <c r="K104" i="2" l="1"/>
  <c r="K72" i="2"/>
  <c r="K73" i="2"/>
  <c r="K71" i="2"/>
  <c r="K70" i="2"/>
  <c r="J70" i="2"/>
  <c r="K68" i="2"/>
  <c r="K67" i="2"/>
  <c r="K66" i="2"/>
  <c r="J63" i="2"/>
  <c r="J58" i="2"/>
  <c r="J57" i="2"/>
  <c r="J55" i="2"/>
  <c r="K79" i="2"/>
  <c r="K80" i="2"/>
  <c r="K78" i="2"/>
  <c r="J54" i="2"/>
  <c r="K52" i="2"/>
  <c r="K51" i="2"/>
  <c r="J52" i="2"/>
  <c r="J51" i="2"/>
  <c r="K42" i="2"/>
  <c r="K41" i="2"/>
  <c r="K36" i="2"/>
  <c r="K35" i="2"/>
  <c r="K32" i="2"/>
  <c r="J41" i="2"/>
  <c r="J32" i="2"/>
  <c r="J31" i="2"/>
  <c r="K30" i="2"/>
  <c r="K27" i="2"/>
  <c r="K26" i="2"/>
  <c r="J26" i="2"/>
  <c r="K22" i="2"/>
  <c r="K21" i="2"/>
  <c r="J30" i="2"/>
  <c r="J21" i="2" s="1"/>
  <c r="K12" i="2"/>
  <c r="K13" i="2"/>
  <c r="K14" i="2"/>
  <c r="K15" i="2"/>
  <c r="K16" i="2"/>
  <c r="K17" i="2"/>
  <c r="K18" i="2"/>
  <c r="K19" i="2"/>
  <c r="K20" i="2"/>
  <c r="K11" i="2"/>
  <c r="J10" i="2"/>
  <c r="K10" i="2" s="1"/>
  <c r="H9" i="1"/>
  <c r="I9" i="1"/>
  <c r="H17" i="1"/>
  <c r="H15" i="1" s="1"/>
  <c r="H10" i="1" s="1"/>
  <c r="U114" i="2"/>
  <c r="T114" i="2"/>
  <c r="S114" i="2"/>
  <c r="R114" i="2"/>
  <c r="Q114" i="2"/>
  <c r="P114" i="2"/>
  <c r="O114" i="2"/>
  <c r="N114" i="2"/>
  <c r="M114" i="2"/>
  <c r="L114" i="2"/>
  <c r="I114" i="2"/>
  <c r="H114" i="2"/>
  <c r="G114" i="2"/>
  <c r="F114" i="2"/>
  <c r="E114" i="2"/>
  <c r="U113" i="2"/>
  <c r="T113" i="2"/>
  <c r="S113" i="2"/>
  <c r="R113" i="2"/>
  <c r="Q113" i="2"/>
  <c r="P113" i="2"/>
  <c r="O113" i="2"/>
  <c r="N113" i="2"/>
  <c r="M113" i="2"/>
  <c r="L113" i="2"/>
  <c r="I113" i="2"/>
  <c r="H113" i="2"/>
  <c r="G113" i="2"/>
  <c r="F113" i="2"/>
  <c r="E113" i="2"/>
  <c r="U112" i="2"/>
  <c r="T112" i="2"/>
  <c r="T162" i="2" s="1"/>
  <c r="S112" i="2"/>
  <c r="S162" i="2" s="1"/>
  <c r="R112" i="2"/>
  <c r="R162" i="2" s="1"/>
  <c r="Q112" i="2"/>
  <c r="P112" i="2"/>
  <c r="P162" i="2" s="1"/>
  <c r="O112" i="2"/>
  <c r="O162" i="2" s="1"/>
  <c r="N112" i="2"/>
  <c r="N162" i="2" s="1"/>
  <c r="M112" i="2"/>
  <c r="L112" i="2"/>
  <c r="L162" i="2" s="1"/>
  <c r="I112" i="2"/>
  <c r="I162" i="2" s="1"/>
  <c r="H112" i="2"/>
  <c r="G112" i="2"/>
  <c r="F112" i="2"/>
  <c r="E112" i="2"/>
  <c r="U110" i="2"/>
  <c r="T110" i="2"/>
  <c r="S110" i="2"/>
  <c r="R110" i="2"/>
  <c r="Q110" i="2"/>
  <c r="P110" i="2"/>
  <c r="O110" i="2"/>
  <c r="N110" i="2"/>
  <c r="M110" i="2"/>
  <c r="L110" i="2"/>
  <c r="I110" i="2"/>
  <c r="H110" i="2"/>
  <c r="G110" i="2"/>
  <c r="F110" i="2"/>
  <c r="E110" i="2"/>
  <c r="U109" i="2"/>
  <c r="T109" i="2"/>
  <c r="S109" i="2"/>
  <c r="R109" i="2"/>
  <c r="Q109" i="2"/>
  <c r="P109" i="2"/>
  <c r="O109" i="2"/>
  <c r="N109" i="2"/>
  <c r="M109" i="2"/>
  <c r="L109" i="2"/>
  <c r="I109" i="2"/>
  <c r="H109" i="2"/>
  <c r="G109" i="2"/>
  <c r="F109" i="2"/>
  <c r="E109" i="2"/>
  <c r="U108" i="2"/>
  <c r="T108" i="2"/>
  <c r="S108" i="2"/>
  <c r="R108" i="2"/>
  <c r="Q108" i="2"/>
  <c r="P108" i="2"/>
  <c r="O108" i="2"/>
  <c r="N108" i="2"/>
  <c r="M108" i="2"/>
  <c r="L108" i="2"/>
  <c r="I108" i="2"/>
  <c r="H108" i="2"/>
  <c r="G108" i="2"/>
  <c r="F108" i="2"/>
  <c r="E108" i="2"/>
  <c r="U107" i="2"/>
  <c r="T107" i="2"/>
  <c r="S107" i="2"/>
  <c r="R107" i="2"/>
  <c r="Q107" i="2"/>
  <c r="P107" i="2"/>
  <c r="O107" i="2"/>
  <c r="N107" i="2"/>
  <c r="M107" i="2"/>
  <c r="L107" i="2"/>
  <c r="I107" i="2"/>
  <c r="H107" i="2"/>
  <c r="G107" i="2"/>
  <c r="F107" i="2"/>
  <c r="E107" i="2"/>
  <c r="U106" i="2"/>
  <c r="T106" i="2"/>
  <c r="S106" i="2"/>
  <c r="S161" i="2" s="1"/>
  <c r="R106" i="2"/>
  <c r="R161" i="2" s="1"/>
  <c r="Q106" i="2"/>
  <c r="P106" i="2"/>
  <c r="O106" i="2"/>
  <c r="O161" i="2" s="1"/>
  <c r="N106" i="2"/>
  <c r="N161" i="2" s="1"/>
  <c r="M106" i="2"/>
  <c r="L106" i="2"/>
  <c r="I106" i="2"/>
  <c r="I161" i="2" s="1"/>
  <c r="H106" i="2"/>
  <c r="G106" i="2"/>
  <c r="F106" i="2"/>
  <c r="E106" i="2"/>
  <c r="U105" i="2"/>
  <c r="T105" i="2"/>
  <c r="U133" i="2" s="1"/>
  <c r="S105" i="2"/>
  <c r="T133" i="2" s="1"/>
  <c r="R105" i="2"/>
  <c r="S133" i="2" s="1"/>
  <c r="Q105" i="2"/>
  <c r="R133" i="2" s="1"/>
  <c r="P105" i="2"/>
  <c r="Q133" i="2" s="1"/>
  <c r="O105" i="2"/>
  <c r="P133" i="2" s="1"/>
  <c r="N105" i="2"/>
  <c r="O133" i="2" s="1"/>
  <c r="M105" i="2"/>
  <c r="N133" i="2" s="1"/>
  <c r="L105" i="2"/>
  <c r="M133" i="2" s="1"/>
  <c r="I105" i="2"/>
  <c r="L133" i="2" s="1"/>
  <c r="H105" i="2"/>
  <c r="I133" i="2" s="1"/>
  <c r="G105" i="2"/>
  <c r="F105" i="2"/>
  <c r="E105" i="2"/>
  <c r="U104" i="2"/>
  <c r="T104" i="2"/>
  <c r="S104" i="2"/>
  <c r="R104" i="2"/>
  <c r="Q104" i="2"/>
  <c r="P104" i="2"/>
  <c r="O104" i="2"/>
  <c r="N104" i="2"/>
  <c r="M104" i="2"/>
  <c r="L104" i="2"/>
  <c r="I104" i="2"/>
  <c r="H104" i="2"/>
  <c r="G104" i="2"/>
  <c r="F104" i="2"/>
  <c r="E104" i="2"/>
  <c r="U102" i="2"/>
  <c r="T102" i="2"/>
  <c r="S102" i="2"/>
  <c r="R102" i="2"/>
  <c r="Q102" i="2"/>
  <c r="P102" i="2"/>
  <c r="O102" i="2"/>
  <c r="N102" i="2"/>
  <c r="M102" i="2"/>
  <c r="L102" i="2"/>
  <c r="I102" i="2"/>
  <c r="H102" i="2"/>
  <c r="G102" i="2"/>
  <c r="F102" i="2"/>
  <c r="E102" i="2"/>
  <c r="U101" i="2"/>
  <c r="T101" i="2"/>
  <c r="S101" i="2"/>
  <c r="R101" i="2"/>
  <c r="Q101" i="2"/>
  <c r="P101" i="2"/>
  <c r="O101" i="2"/>
  <c r="N101" i="2"/>
  <c r="M101" i="2"/>
  <c r="L101" i="2"/>
  <c r="I101" i="2"/>
  <c r="H101" i="2"/>
  <c r="G101" i="2"/>
  <c r="F101" i="2"/>
  <c r="E101" i="2"/>
  <c r="U100" i="2"/>
  <c r="T100" i="2"/>
  <c r="S100" i="2"/>
  <c r="R100" i="2"/>
  <c r="Q100" i="2"/>
  <c r="P100" i="2"/>
  <c r="O100" i="2"/>
  <c r="N100" i="2"/>
  <c r="M100" i="2"/>
  <c r="L100" i="2"/>
  <c r="I100" i="2"/>
  <c r="H100" i="2"/>
  <c r="G100" i="2"/>
  <c r="F100" i="2"/>
  <c r="E100" i="2"/>
  <c r="U99" i="2"/>
  <c r="T99" i="2"/>
  <c r="S99" i="2"/>
  <c r="R99" i="2"/>
  <c r="Q99" i="2"/>
  <c r="P99" i="2"/>
  <c r="O99" i="2"/>
  <c r="N99" i="2"/>
  <c r="M99" i="2"/>
  <c r="L99" i="2"/>
  <c r="I99" i="2"/>
  <c r="H99" i="2"/>
  <c r="G99" i="2"/>
  <c r="F99" i="2"/>
  <c r="E99" i="2"/>
  <c r="U98" i="2"/>
  <c r="U130" i="2" s="1"/>
  <c r="T98" i="2"/>
  <c r="T130" i="2" s="1"/>
  <c r="S98" i="2"/>
  <c r="S130" i="2" s="1"/>
  <c r="R98" i="2"/>
  <c r="R130" i="2" s="1"/>
  <c r="Q98" i="2"/>
  <c r="Q130" i="2" s="1"/>
  <c r="P98" i="2"/>
  <c r="P130" i="2" s="1"/>
  <c r="O98" i="2"/>
  <c r="O130" i="2" s="1"/>
  <c r="N98" i="2"/>
  <c r="N130" i="2" s="1"/>
  <c r="M98" i="2"/>
  <c r="M130" i="2" s="1"/>
  <c r="L98" i="2"/>
  <c r="I98" i="2"/>
  <c r="H98" i="2"/>
  <c r="G98" i="2"/>
  <c r="F98" i="2"/>
  <c r="E98" i="2"/>
  <c r="U97" i="2"/>
  <c r="T97" i="2"/>
  <c r="S97" i="2"/>
  <c r="R97" i="2"/>
  <c r="Q97" i="2"/>
  <c r="P97" i="2"/>
  <c r="O97" i="2"/>
  <c r="N97" i="2"/>
  <c r="M97" i="2"/>
  <c r="L97" i="2"/>
  <c r="I97" i="2"/>
  <c r="H97" i="2"/>
  <c r="G97" i="2"/>
  <c r="F97" i="2"/>
  <c r="E97" i="2"/>
  <c r="U96" i="2"/>
  <c r="U159" i="2" s="1"/>
  <c r="T96" i="2"/>
  <c r="S96" i="2"/>
  <c r="T134" i="2" s="1"/>
  <c r="R96" i="2"/>
  <c r="S134" i="2" s="1"/>
  <c r="Q96" i="2"/>
  <c r="P96" i="2"/>
  <c r="O96" i="2"/>
  <c r="P134" i="2" s="1"/>
  <c r="N96" i="2"/>
  <c r="O134" i="2" s="1"/>
  <c r="M96" i="2"/>
  <c r="L96" i="2"/>
  <c r="I96" i="2"/>
  <c r="L134" i="2" s="1"/>
  <c r="H96" i="2"/>
  <c r="I193" i="2" s="1"/>
  <c r="G96" i="2"/>
  <c r="F96" i="2"/>
  <c r="E96" i="2"/>
  <c r="U94" i="2"/>
  <c r="T94" i="2"/>
  <c r="S94" i="2"/>
  <c r="R94" i="2"/>
  <c r="Q94" i="2"/>
  <c r="P94" i="2"/>
  <c r="O94" i="2"/>
  <c r="N94" i="2"/>
  <c r="M94" i="2"/>
  <c r="L94" i="2"/>
  <c r="I94" i="2"/>
  <c r="H94" i="2"/>
  <c r="G94" i="2"/>
  <c r="F94" i="2"/>
  <c r="E94" i="2"/>
  <c r="U93" i="2"/>
  <c r="T93" i="2"/>
  <c r="T158" i="2" s="1"/>
  <c r="S93" i="2"/>
  <c r="S158" i="2" s="1"/>
  <c r="R93" i="2"/>
  <c r="R158" i="2" s="1"/>
  <c r="Q93" i="2"/>
  <c r="P93" i="2"/>
  <c r="P158" i="2" s="1"/>
  <c r="O93" i="2"/>
  <c r="O158" i="2" s="1"/>
  <c r="N93" i="2"/>
  <c r="N158" i="2" s="1"/>
  <c r="M93" i="2"/>
  <c r="L93" i="2"/>
  <c r="L158" i="2" s="1"/>
  <c r="I93" i="2"/>
  <c r="I158" i="2" s="1"/>
  <c r="H93" i="2"/>
  <c r="G93" i="2"/>
  <c r="F93" i="2"/>
  <c r="E93" i="2"/>
  <c r="U92" i="2"/>
  <c r="T92" i="2"/>
  <c r="S92" i="2"/>
  <c r="R92" i="2"/>
  <c r="Q92" i="2"/>
  <c r="P92" i="2"/>
  <c r="O92" i="2"/>
  <c r="N92" i="2"/>
  <c r="M92" i="2"/>
  <c r="L92" i="2"/>
  <c r="I92" i="2"/>
  <c r="H92" i="2"/>
  <c r="G92" i="2"/>
  <c r="F92" i="2"/>
  <c r="E92" i="2"/>
  <c r="U91" i="2"/>
  <c r="U157" i="2" s="1"/>
  <c r="T91" i="2"/>
  <c r="T157" i="2" s="1"/>
  <c r="S91" i="2"/>
  <c r="R91" i="2"/>
  <c r="R157" i="2" s="1"/>
  <c r="Q91" i="2"/>
  <c r="Q157" i="2" s="1"/>
  <c r="P91" i="2"/>
  <c r="P157" i="2" s="1"/>
  <c r="O91" i="2"/>
  <c r="N91" i="2"/>
  <c r="N157" i="2" s="1"/>
  <c r="M91" i="2"/>
  <c r="M157" i="2" s="1"/>
  <c r="L91" i="2"/>
  <c r="L157" i="2" s="1"/>
  <c r="I91" i="2"/>
  <c r="H91" i="2"/>
  <c r="G91" i="2"/>
  <c r="F91" i="2"/>
  <c r="E91" i="2"/>
  <c r="U90" i="2"/>
  <c r="T90" i="2"/>
  <c r="S90" i="2"/>
  <c r="R90" i="2"/>
  <c r="Q90" i="2"/>
  <c r="P90" i="2"/>
  <c r="O90" i="2"/>
  <c r="N90" i="2"/>
  <c r="M90" i="2"/>
  <c r="L90" i="2"/>
  <c r="I90" i="2"/>
  <c r="H90" i="2"/>
  <c r="G90" i="2"/>
  <c r="F90" i="2"/>
  <c r="E90" i="2"/>
  <c r="U89" i="2"/>
  <c r="T89" i="2"/>
  <c r="T156" i="2" s="1"/>
  <c r="S89" i="2"/>
  <c r="S156" i="2" s="1"/>
  <c r="R89" i="2"/>
  <c r="R156" i="2" s="1"/>
  <c r="Q89" i="2"/>
  <c r="P89" i="2"/>
  <c r="P156" i="2" s="1"/>
  <c r="O89" i="2"/>
  <c r="O156" i="2" s="1"/>
  <c r="N89" i="2"/>
  <c r="N156" i="2" s="1"/>
  <c r="M89" i="2"/>
  <c r="L89" i="2"/>
  <c r="L156" i="2" s="1"/>
  <c r="I89" i="2"/>
  <c r="I156" i="2" s="1"/>
  <c r="H89" i="2"/>
  <c r="G89" i="2"/>
  <c r="F89" i="2"/>
  <c r="E89" i="2"/>
  <c r="U88" i="2"/>
  <c r="T88" i="2"/>
  <c r="S88" i="2"/>
  <c r="R88" i="2"/>
  <c r="Q88" i="2"/>
  <c r="P88" i="2"/>
  <c r="O88" i="2"/>
  <c r="N88" i="2"/>
  <c r="M88" i="2"/>
  <c r="L88" i="2"/>
  <c r="I88" i="2"/>
  <c r="H88" i="2"/>
  <c r="G88" i="2"/>
  <c r="F88" i="2"/>
  <c r="E88" i="2"/>
  <c r="U87" i="2"/>
  <c r="U155" i="2" s="1"/>
  <c r="T87" i="2"/>
  <c r="T155" i="2" s="1"/>
  <c r="S87" i="2"/>
  <c r="R87" i="2"/>
  <c r="R155" i="2" s="1"/>
  <c r="Q87" i="2"/>
  <c r="Q155" i="2" s="1"/>
  <c r="P87" i="2"/>
  <c r="P155" i="2" s="1"/>
  <c r="O87" i="2"/>
  <c r="N87" i="2"/>
  <c r="N155" i="2" s="1"/>
  <c r="M87" i="2"/>
  <c r="M155" i="2" s="1"/>
  <c r="L87" i="2"/>
  <c r="L155" i="2" s="1"/>
  <c r="I87" i="2"/>
  <c r="H87" i="2"/>
  <c r="G87" i="2"/>
  <c r="F87" i="2"/>
  <c r="E87" i="2"/>
  <c r="U86" i="2"/>
  <c r="T86" i="2"/>
  <c r="S86" i="2"/>
  <c r="R86" i="2"/>
  <c r="Q86" i="2"/>
  <c r="P86" i="2"/>
  <c r="O86" i="2"/>
  <c r="N86" i="2"/>
  <c r="M86" i="2"/>
  <c r="L86" i="2"/>
  <c r="I86" i="2"/>
  <c r="H86" i="2"/>
  <c r="G86" i="2"/>
  <c r="F86" i="2"/>
  <c r="E86" i="2"/>
  <c r="U85" i="2"/>
  <c r="T85" i="2"/>
  <c r="S85" i="2"/>
  <c r="R85" i="2"/>
  <c r="Q85" i="2"/>
  <c r="P85" i="2"/>
  <c r="O85" i="2"/>
  <c r="N85" i="2"/>
  <c r="M85" i="2"/>
  <c r="L85" i="2"/>
  <c r="I85" i="2"/>
  <c r="H85" i="2"/>
  <c r="G85" i="2"/>
  <c r="F85" i="2"/>
  <c r="E85" i="2"/>
  <c r="U84" i="2"/>
  <c r="T84" i="2"/>
  <c r="S84" i="2"/>
  <c r="R84" i="2"/>
  <c r="Q84" i="2"/>
  <c r="P84" i="2"/>
  <c r="O84" i="2"/>
  <c r="N84" i="2"/>
  <c r="M84" i="2"/>
  <c r="L84" i="2"/>
  <c r="I84" i="2"/>
  <c r="H84" i="2"/>
  <c r="G84" i="2"/>
  <c r="F84" i="2"/>
  <c r="E84" i="2"/>
  <c r="U83" i="2"/>
  <c r="T83" i="2"/>
  <c r="S83" i="2"/>
  <c r="R83" i="2"/>
  <c r="Q83" i="2"/>
  <c r="P83" i="2"/>
  <c r="O83" i="2"/>
  <c r="N83" i="2"/>
  <c r="M83" i="2"/>
  <c r="L83" i="2"/>
  <c r="I83" i="2"/>
  <c r="H83" i="2"/>
  <c r="G83" i="2"/>
  <c r="F83" i="2"/>
  <c r="E83" i="2"/>
  <c r="U82" i="2"/>
  <c r="T82" i="2"/>
  <c r="S82" i="2"/>
  <c r="R82" i="2"/>
  <c r="Q82" i="2"/>
  <c r="P82" i="2"/>
  <c r="O82" i="2"/>
  <c r="N82" i="2"/>
  <c r="M82" i="2"/>
  <c r="L82" i="2"/>
  <c r="I82" i="2"/>
  <c r="H82" i="2"/>
  <c r="G82" i="2"/>
  <c r="F82" i="2"/>
  <c r="E82" i="2"/>
  <c r="U81" i="2"/>
  <c r="T81" i="2"/>
  <c r="S81" i="2"/>
  <c r="R81" i="2"/>
  <c r="Q81" i="2"/>
  <c r="P81" i="2"/>
  <c r="O81" i="2"/>
  <c r="N81" i="2"/>
  <c r="M81" i="2"/>
  <c r="L81" i="2"/>
  <c r="I81" i="2"/>
  <c r="H81" i="2"/>
  <c r="G81" i="2"/>
  <c r="F81" i="2"/>
  <c r="E81" i="2"/>
  <c r="U80" i="2"/>
  <c r="T80" i="2"/>
  <c r="S80" i="2"/>
  <c r="R80" i="2"/>
  <c r="Q80" i="2"/>
  <c r="P80" i="2"/>
  <c r="O80" i="2"/>
  <c r="N80" i="2"/>
  <c r="M80" i="2"/>
  <c r="L80" i="2"/>
  <c r="I80" i="2"/>
  <c r="H80" i="2"/>
  <c r="G80" i="2"/>
  <c r="F80" i="2"/>
  <c r="E80" i="2"/>
  <c r="U79" i="2"/>
  <c r="U150" i="2" s="1"/>
  <c r="T79" i="2"/>
  <c r="T150" i="2" s="1"/>
  <c r="S79" i="2"/>
  <c r="R79" i="2"/>
  <c r="R150" i="2" s="1"/>
  <c r="Q79" i="2"/>
  <c r="Q150" i="2" s="1"/>
  <c r="P79" i="2"/>
  <c r="P150" i="2" s="1"/>
  <c r="O79" i="2"/>
  <c r="N79" i="2"/>
  <c r="N150" i="2" s="1"/>
  <c r="M79" i="2"/>
  <c r="M150" i="2" s="1"/>
  <c r="L79" i="2"/>
  <c r="L150" i="2" s="1"/>
  <c r="I79" i="2"/>
  <c r="H79" i="2"/>
  <c r="G79" i="2"/>
  <c r="F79" i="2"/>
  <c r="E79" i="2"/>
  <c r="U78" i="2"/>
  <c r="U149" i="2" s="1"/>
  <c r="T78" i="2"/>
  <c r="T149" i="2" s="1"/>
  <c r="S78" i="2"/>
  <c r="S149" i="2" s="1"/>
  <c r="R78" i="2"/>
  <c r="Q78" i="2"/>
  <c r="Q149" i="2" s="1"/>
  <c r="P78" i="2"/>
  <c r="P149" i="2" s="1"/>
  <c r="O78" i="2"/>
  <c r="O149" i="2" s="1"/>
  <c r="N78" i="2"/>
  <c r="N149" i="2" s="1"/>
  <c r="M78" i="2"/>
  <c r="M149" i="2" s="1"/>
  <c r="L78" i="2"/>
  <c r="L149" i="2" s="1"/>
  <c r="I78" i="2"/>
  <c r="I149" i="2" s="1"/>
  <c r="H78" i="2"/>
  <c r="G78" i="2"/>
  <c r="F78" i="2"/>
  <c r="E78" i="2"/>
  <c r="U77" i="2"/>
  <c r="T77" i="2"/>
  <c r="S77" i="2"/>
  <c r="R77" i="2"/>
  <c r="Q77" i="2"/>
  <c r="P77" i="2"/>
  <c r="O77" i="2"/>
  <c r="N77" i="2"/>
  <c r="M77" i="2"/>
  <c r="L77" i="2"/>
  <c r="I77" i="2"/>
  <c r="H77" i="2"/>
  <c r="G77" i="2"/>
  <c r="F77" i="2"/>
  <c r="E77" i="2"/>
  <c r="U76" i="2"/>
  <c r="U148" i="2" s="1"/>
  <c r="T76" i="2"/>
  <c r="S76" i="2"/>
  <c r="S148" i="2" s="1"/>
  <c r="R76" i="2"/>
  <c r="R148" i="2" s="1"/>
  <c r="Q76" i="2"/>
  <c r="Q148" i="2" s="1"/>
  <c r="P76" i="2"/>
  <c r="O76" i="2"/>
  <c r="O148" i="2" s="1"/>
  <c r="N76" i="2"/>
  <c r="N148" i="2" s="1"/>
  <c r="M76" i="2"/>
  <c r="M148" i="2" s="1"/>
  <c r="L76" i="2"/>
  <c r="I76" i="2"/>
  <c r="I148" i="2" s="1"/>
  <c r="H76" i="2"/>
  <c r="G76" i="2"/>
  <c r="F76" i="2"/>
  <c r="E76" i="2"/>
  <c r="U75" i="2"/>
  <c r="U147" i="2" s="1"/>
  <c r="T75" i="2"/>
  <c r="T147" i="2" s="1"/>
  <c r="S75" i="2"/>
  <c r="R75" i="2"/>
  <c r="R147" i="2" s="1"/>
  <c r="Q75" i="2"/>
  <c r="Q147" i="2" s="1"/>
  <c r="P75" i="2"/>
  <c r="P147" i="2" s="1"/>
  <c r="O75" i="2"/>
  <c r="N75" i="2"/>
  <c r="N147" i="2" s="1"/>
  <c r="M75" i="2"/>
  <c r="M147" i="2" s="1"/>
  <c r="L75" i="2"/>
  <c r="L147" i="2" s="1"/>
  <c r="I75" i="2"/>
  <c r="H75" i="2"/>
  <c r="G75" i="2"/>
  <c r="F75" i="2"/>
  <c r="E75" i="2"/>
  <c r="U73" i="2"/>
  <c r="T73" i="2"/>
  <c r="S73" i="2"/>
  <c r="R73" i="2"/>
  <c r="Q73" i="2"/>
  <c r="P73" i="2"/>
  <c r="O73" i="2"/>
  <c r="N73" i="2"/>
  <c r="M73" i="2"/>
  <c r="L73" i="2"/>
  <c r="I73" i="2"/>
  <c r="H73" i="2"/>
  <c r="G73" i="2"/>
  <c r="F73" i="2"/>
  <c r="E73" i="2"/>
  <c r="U72" i="2"/>
  <c r="T72" i="2"/>
  <c r="S72" i="2"/>
  <c r="R72" i="2"/>
  <c r="Q72" i="2"/>
  <c r="P72" i="2"/>
  <c r="O72" i="2"/>
  <c r="N72" i="2"/>
  <c r="M72" i="2"/>
  <c r="L72" i="2"/>
  <c r="I72" i="2"/>
  <c r="H72" i="2"/>
  <c r="G72" i="2"/>
  <c r="F72" i="2"/>
  <c r="E72" i="2"/>
  <c r="U71" i="2"/>
  <c r="T71" i="2"/>
  <c r="S71" i="2"/>
  <c r="R71" i="2"/>
  <c r="Q71" i="2"/>
  <c r="P71" i="2"/>
  <c r="O71" i="2"/>
  <c r="N71" i="2"/>
  <c r="M71" i="2"/>
  <c r="L71" i="2"/>
  <c r="I71" i="2"/>
  <c r="H71" i="2"/>
  <c r="G71" i="2"/>
  <c r="F71" i="2"/>
  <c r="E71" i="2"/>
  <c r="U70" i="2"/>
  <c r="T70" i="2"/>
  <c r="S70" i="2"/>
  <c r="R70" i="2"/>
  <c r="Q70" i="2"/>
  <c r="P70" i="2"/>
  <c r="O70" i="2"/>
  <c r="N70" i="2"/>
  <c r="M70" i="2"/>
  <c r="L70" i="2"/>
  <c r="I70" i="2"/>
  <c r="H70" i="2"/>
  <c r="G70" i="2"/>
  <c r="F70" i="2"/>
  <c r="E70" i="2"/>
  <c r="U69" i="2"/>
  <c r="T69" i="2"/>
  <c r="S69" i="2"/>
  <c r="R69" i="2"/>
  <c r="Q69" i="2"/>
  <c r="P69" i="2"/>
  <c r="O69" i="2"/>
  <c r="N69" i="2"/>
  <c r="M69" i="2"/>
  <c r="L69" i="2"/>
  <c r="I69" i="2"/>
  <c r="H69" i="2"/>
  <c r="G69" i="2"/>
  <c r="F69" i="2"/>
  <c r="E69" i="2"/>
  <c r="U68" i="2"/>
  <c r="T68" i="2"/>
  <c r="S68" i="2"/>
  <c r="R68" i="2"/>
  <c r="Q68" i="2"/>
  <c r="P68" i="2"/>
  <c r="O68" i="2"/>
  <c r="N68" i="2"/>
  <c r="M68" i="2"/>
  <c r="L68" i="2"/>
  <c r="I68" i="2"/>
  <c r="H68" i="2"/>
  <c r="G68" i="2"/>
  <c r="F68" i="2"/>
  <c r="E68" i="2"/>
  <c r="U67" i="2"/>
  <c r="T67" i="2"/>
  <c r="S67" i="2"/>
  <c r="R67" i="2"/>
  <c r="Q67" i="2"/>
  <c r="P67" i="2"/>
  <c r="O67" i="2"/>
  <c r="N67" i="2"/>
  <c r="M67" i="2"/>
  <c r="L67" i="2"/>
  <c r="I67" i="2"/>
  <c r="H67" i="2"/>
  <c r="G67" i="2"/>
  <c r="F67" i="2"/>
  <c r="E67" i="2"/>
  <c r="U66" i="2"/>
  <c r="T66" i="2"/>
  <c r="S66" i="2"/>
  <c r="R66" i="2"/>
  <c r="Q66" i="2"/>
  <c r="P66" i="2"/>
  <c r="O66" i="2"/>
  <c r="N66" i="2"/>
  <c r="M66" i="2"/>
  <c r="L66" i="2"/>
  <c r="I66" i="2"/>
  <c r="H66" i="2"/>
  <c r="G66" i="2"/>
  <c r="F66" i="2"/>
  <c r="E66" i="2"/>
  <c r="U64" i="2"/>
  <c r="T64" i="2"/>
  <c r="S64" i="2"/>
  <c r="R64" i="2"/>
  <c r="Q64" i="2"/>
  <c r="P64" i="2"/>
  <c r="O64" i="2"/>
  <c r="N64" i="2"/>
  <c r="M64" i="2"/>
  <c r="L64" i="2"/>
  <c r="I64" i="2"/>
  <c r="H64" i="2"/>
  <c r="G64" i="2"/>
  <c r="F64" i="2"/>
  <c r="E64" i="2"/>
  <c r="U63" i="2"/>
  <c r="T63" i="2"/>
  <c r="S63" i="2"/>
  <c r="S145" i="2" s="1"/>
  <c r="R63" i="2"/>
  <c r="R146" i="2" s="1"/>
  <c r="Q63" i="2"/>
  <c r="P63" i="2"/>
  <c r="O63" i="2"/>
  <c r="O145" i="2" s="1"/>
  <c r="N63" i="2"/>
  <c r="N146" i="2" s="1"/>
  <c r="M63" i="2"/>
  <c r="L63" i="2"/>
  <c r="I63" i="2"/>
  <c r="I145" i="2" s="1"/>
  <c r="H63" i="2"/>
  <c r="G63" i="2"/>
  <c r="F63" i="2"/>
  <c r="E63" i="2"/>
  <c r="S62" i="2"/>
  <c r="O62" i="2"/>
  <c r="I62" i="2"/>
  <c r="U60" i="2"/>
  <c r="T60" i="2"/>
  <c r="S60" i="2"/>
  <c r="R60" i="2"/>
  <c r="Q60" i="2"/>
  <c r="P60" i="2"/>
  <c r="O60" i="2"/>
  <c r="N60" i="2"/>
  <c r="M60" i="2"/>
  <c r="L60" i="2"/>
  <c r="I60" i="2"/>
  <c r="U59" i="2"/>
  <c r="T59" i="2"/>
  <c r="S59" i="2"/>
  <c r="R59" i="2"/>
  <c r="Q59" i="2"/>
  <c r="P59" i="2"/>
  <c r="O59" i="2"/>
  <c r="N59" i="2"/>
  <c r="M59" i="2"/>
  <c r="L59" i="2"/>
  <c r="I59" i="2"/>
  <c r="U57" i="2"/>
  <c r="U117" i="2" s="1"/>
  <c r="T57" i="2"/>
  <c r="T62" i="2" s="1"/>
  <c r="S57" i="2"/>
  <c r="S61" i="2" s="1"/>
  <c r="R57" i="2"/>
  <c r="R118" i="2" s="1"/>
  <c r="Q57" i="2"/>
  <c r="Q117" i="2" s="1"/>
  <c r="P57" i="2"/>
  <c r="P62" i="2" s="1"/>
  <c r="O57" i="2"/>
  <c r="O61" i="2" s="1"/>
  <c r="N57" i="2"/>
  <c r="N118" i="2" s="1"/>
  <c r="M57" i="2"/>
  <c r="M117" i="2" s="1"/>
  <c r="L57" i="2"/>
  <c r="L62" i="2" s="1"/>
  <c r="I57" i="2"/>
  <c r="I61" i="2" s="1"/>
  <c r="H57" i="2"/>
  <c r="G57" i="2"/>
  <c r="F57" i="2"/>
  <c r="E57" i="2"/>
  <c r="U56" i="2"/>
  <c r="T56" i="2"/>
  <c r="S56" i="2"/>
  <c r="R56" i="2"/>
  <c r="Q56" i="2"/>
  <c r="P56" i="2"/>
  <c r="O56" i="2"/>
  <c r="N56" i="2"/>
  <c r="M56" i="2"/>
  <c r="L56" i="2"/>
  <c r="I56" i="2"/>
  <c r="H56" i="2"/>
  <c r="G56" i="2"/>
  <c r="F56" i="2"/>
  <c r="E56" i="2"/>
  <c r="U55" i="2"/>
  <c r="T55" i="2"/>
  <c r="S55" i="2"/>
  <c r="R55" i="2"/>
  <c r="Q55" i="2"/>
  <c r="P55" i="2"/>
  <c r="O55" i="2"/>
  <c r="N55" i="2"/>
  <c r="M55" i="2"/>
  <c r="L55" i="2"/>
  <c r="I55" i="2"/>
  <c r="H55" i="2"/>
  <c r="G55" i="2"/>
  <c r="F55" i="2"/>
  <c r="E55" i="2"/>
  <c r="U54" i="2"/>
  <c r="T54" i="2"/>
  <c r="S54" i="2"/>
  <c r="R54" i="2"/>
  <c r="Q54" i="2"/>
  <c r="P54" i="2"/>
  <c r="O54" i="2"/>
  <c r="N54" i="2"/>
  <c r="M54" i="2"/>
  <c r="L54" i="2"/>
  <c r="I54" i="2"/>
  <c r="H54" i="2"/>
  <c r="G54" i="2"/>
  <c r="F54" i="2"/>
  <c r="E54" i="2"/>
  <c r="U52" i="2"/>
  <c r="U116" i="2" s="1"/>
  <c r="T52" i="2"/>
  <c r="T116" i="2" s="1"/>
  <c r="S52" i="2"/>
  <c r="S116" i="2" s="1"/>
  <c r="R52" i="2"/>
  <c r="R116" i="2" s="1"/>
  <c r="Q52" i="2"/>
  <c r="Q116" i="2" s="1"/>
  <c r="P52" i="2"/>
  <c r="P116" i="2" s="1"/>
  <c r="O52" i="2"/>
  <c r="O116" i="2" s="1"/>
  <c r="N52" i="2"/>
  <c r="N116" i="2" s="1"/>
  <c r="M52" i="2"/>
  <c r="M116" i="2" s="1"/>
  <c r="L52" i="2"/>
  <c r="L116" i="2" s="1"/>
  <c r="I52" i="2"/>
  <c r="I116" i="2" s="1"/>
  <c r="H52" i="2"/>
  <c r="G52" i="2"/>
  <c r="F52" i="2"/>
  <c r="E52" i="2"/>
  <c r="U51" i="2"/>
  <c r="T51" i="2"/>
  <c r="S51" i="2"/>
  <c r="R51" i="2"/>
  <c r="Q51" i="2"/>
  <c r="P51" i="2"/>
  <c r="O51" i="2"/>
  <c r="N51" i="2"/>
  <c r="M51" i="2"/>
  <c r="L51" i="2"/>
  <c r="I51" i="2"/>
  <c r="H51" i="2"/>
  <c r="G51" i="2"/>
  <c r="F51" i="2"/>
  <c r="E51" i="2"/>
  <c r="U49" i="2"/>
  <c r="U185" i="2" s="1"/>
  <c r="T49" i="2"/>
  <c r="T185" i="2" s="1"/>
  <c r="S49" i="2"/>
  <c r="S185" i="2" s="1"/>
  <c r="R49" i="2"/>
  <c r="R185" i="2" s="1"/>
  <c r="Q49" i="2"/>
  <c r="Q185" i="2" s="1"/>
  <c r="P49" i="2"/>
  <c r="P185" i="2" s="1"/>
  <c r="O49" i="2"/>
  <c r="O185" i="2" s="1"/>
  <c r="N49" i="2"/>
  <c r="N185" i="2" s="1"/>
  <c r="M49" i="2"/>
  <c r="M185" i="2" s="1"/>
  <c r="L49" i="2"/>
  <c r="L185" i="2" s="1"/>
  <c r="I49" i="2"/>
  <c r="I185" i="2" s="1"/>
  <c r="H49" i="2"/>
  <c r="G49" i="2"/>
  <c r="F49" i="2"/>
  <c r="E49" i="2"/>
  <c r="U48" i="2"/>
  <c r="T48" i="2"/>
  <c r="U132" i="2" s="1"/>
  <c r="S48" i="2"/>
  <c r="R48" i="2"/>
  <c r="Q48" i="2"/>
  <c r="P48" i="2"/>
  <c r="Q132" i="2" s="1"/>
  <c r="O48" i="2"/>
  <c r="N48" i="2"/>
  <c r="M48" i="2"/>
  <c r="L48" i="2"/>
  <c r="M132" i="2" s="1"/>
  <c r="I48" i="2"/>
  <c r="H48" i="2"/>
  <c r="G48" i="2"/>
  <c r="F48" i="2"/>
  <c r="E48" i="2"/>
  <c r="U47" i="2"/>
  <c r="T47" i="2"/>
  <c r="S47" i="2"/>
  <c r="R47" i="2"/>
  <c r="Q47" i="2"/>
  <c r="P47" i="2"/>
  <c r="O47" i="2"/>
  <c r="N47" i="2"/>
  <c r="M47" i="2"/>
  <c r="L47" i="2"/>
  <c r="I47" i="2"/>
  <c r="H47" i="2"/>
  <c r="G47" i="2"/>
  <c r="F47" i="2"/>
  <c r="E47" i="2"/>
  <c r="U46" i="2"/>
  <c r="T46" i="2"/>
  <c r="S46" i="2"/>
  <c r="R46" i="2"/>
  <c r="Q46" i="2"/>
  <c r="P46" i="2"/>
  <c r="O46" i="2"/>
  <c r="N46" i="2"/>
  <c r="M46" i="2"/>
  <c r="L46" i="2"/>
  <c r="I46" i="2"/>
  <c r="H46" i="2"/>
  <c r="G46" i="2"/>
  <c r="F46" i="2"/>
  <c r="E46" i="2"/>
  <c r="U45" i="2"/>
  <c r="T45" i="2"/>
  <c r="S45" i="2"/>
  <c r="R45" i="2"/>
  <c r="Q45" i="2"/>
  <c r="P45" i="2"/>
  <c r="O45" i="2"/>
  <c r="N45" i="2"/>
  <c r="M45" i="2"/>
  <c r="L45" i="2"/>
  <c r="I45" i="2"/>
  <c r="H45" i="2"/>
  <c r="G45" i="2"/>
  <c r="F45" i="2"/>
  <c r="E45" i="2"/>
  <c r="U44" i="2"/>
  <c r="T44" i="2"/>
  <c r="S44" i="2"/>
  <c r="R44" i="2"/>
  <c r="Q44" i="2"/>
  <c r="P44" i="2"/>
  <c r="O44" i="2"/>
  <c r="N44" i="2"/>
  <c r="M44" i="2"/>
  <c r="L44" i="2"/>
  <c r="I44" i="2"/>
  <c r="H44" i="2"/>
  <c r="G44" i="2"/>
  <c r="F44" i="2"/>
  <c r="E44" i="2"/>
  <c r="U43" i="2"/>
  <c r="T43" i="2"/>
  <c r="S43" i="2"/>
  <c r="R43" i="2"/>
  <c r="Q43" i="2"/>
  <c r="P43" i="2"/>
  <c r="O43" i="2"/>
  <c r="N43" i="2"/>
  <c r="M43" i="2"/>
  <c r="L43" i="2"/>
  <c r="I43" i="2"/>
  <c r="H43" i="2"/>
  <c r="G43" i="2"/>
  <c r="F43" i="2"/>
  <c r="E43" i="2"/>
  <c r="U42" i="2"/>
  <c r="T42" i="2"/>
  <c r="S42" i="2"/>
  <c r="R42" i="2"/>
  <c r="Q42" i="2"/>
  <c r="P42" i="2"/>
  <c r="O42" i="2"/>
  <c r="N42" i="2"/>
  <c r="M42" i="2"/>
  <c r="L42" i="2"/>
  <c r="I42" i="2"/>
  <c r="H42" i="2"/>
  <c r="G42" i="2"/>
  <c r="F42" i="2"/>
  <c r="E42" i="2"/>
  <c r="U41" i="2"/>
  <c r="T41" i="2"/>
  <c r="S41" i="2"/>
  <c r="R41" i="2"/>
  <c r="Q41" i="2"/>
  <c r="P41" i="2"/>
  <c r="O41" i="2"/>
  <c r="N41" i="2"/>
  <c r="M41" i="2"/>
  <c r="L41" i="2"/>
  <c r="I41" i="2"/>
  <c r="H41" i="2"/>
  <c r="G41" i="2"/>
  <c r="F41" i="2"/>
  <c r="E41" i="2"/>
  <c r="U40" i="2"/>
  <c r="T40" i="2"/>
  <c r="S40" i="2"/>
  <c r="R40" i="2"/>
  <c r="Q40" i="2"/>
  <c r="P40" i="2"/>
  <c r="O40" i="2"/>
  <c r="N40" i="2"/>
  <c r="M40" i="2"/>
  <c r="L40" i="2"/>
  <c r="I40" i="2"/>
  <c r="H40" i="2"/>
  <c r="G40" i="2"/>
  <c r="F40" i="2"/>
  <c r="E40" i="2"/>
  <c r="U39" i="2"/>
  <c r="U179" i="2" s="1"/>
  <c r="T39" i="2"/>
  <c r="T179" i="2" s="1"/>
  <c r="S39" i="2"/>
  <c r="R39" i="2"/>
  <c r="R179" i="2" s="1"/>
  <c r="Q39" i="2"/>
  <c r="Q179" i="2" s="1"/>
  <c r="P39" i="2"/>
  <c r="P179" i="2" s="1"/>
  <c r="O39" i="2"/>
  <c r="N39" i="2"/>
  <c r="N179" i="2" s="1"/>
  <c r="M39" i="2"/>
  <c r="M179" i="2" s="1"/>
  <c r="L39" i="2"/>
  <c r="L179" i="2" s="1"/>
  <c r="I39" i="2"/>
  <c r="H39" i="2"/>
  <c r="G39" i="2"/>
  <c r="F39" i="2"/>
  <c r="E39" i="2"/>
  <c r="U38" i="2"/>
  <c r="T38" i="2"/>
  <c r="S38" i="2"/>
  <c r="R38" i="2"/>
  <c r="Q38" i="2"/>
  <c r="P38" i="2"/>
  <c r="O38" i="2"/>
  <c r="N38" i="2"/>
  <c r="M38" i="2"/>
  <c r="L38" i="2"/>
  <c r="I38" i="2"/>
  <c r="H38" i="2"/>
  <c r="G38" i="2"/>
  <c r="F38" i="2"/>
  <c r="E38" i="2"/>
  <c r="U37" i="2"/>
  <c r="T37" i="2"/>
  <c r="T178" i="2" s="1"/>
  <c r="S37" i="2"/>
  <c r="S178" i="2" s="1"/>
  <c r="R37" i="2"/>
  <c r="R178" i="2" s="1"/>
  <c r="Q37" i="2"/>
  <c r="P37" i="2"/>
  <c r="P178" i="2" s="1"/>
  <c r="O37" i="2"/>
  <c r="O178" i="2" s="1"/>
  <c r="N37" i="2"/>
  <c r="N178" i="2" s="1"/>
  <c r="M37" i="2"/>
  <c r="L37" i="2"/>
  <c r="L178" i="2" s="1"/>
  <c r="I37" i="2"/>
  <c r="I178" i="2" s="1"/>
  <c r="H37" i="2"/>
  <c r="G37" i="2"/>
  <c r="F37" i="2"/>
  <c r="E37" i="2"/>
  <c r="U36" i="2"/>
  <c r="T36" i="2"/>
  <c r="S36" i="2"/>
  <c r="R36" i="2"/>
  <c r="Q36" i="2"/>
  <c r="P36" i="2"/>
  <c r="O36" i="2"/>
  <c r="N36" i="2"/>
  <c r="M36" i="2"/>
  <c r="L36" i="2"/>
  <c r="I36" i="2"/>
  <c r="H36" i="2"/>
  <c r="G36" i="2"/>
  <c r="F36" i="2"/>
  <c r="E36" i="2"/>
  <c r="U35" i="2"/>
  <c r="U177" i="2" s="1"/>
  <c r="T35" i="2"/>
  <c r="T177" i="2" s="1"/>
  <c r="S35" i="2"/>
  <c r="R35" i="2"/>
  <c r="R177" i="2" s="1"/>
  <c r="Q35" i="2"/>
  <c r="Q177" i="2" s="1"/>
  <c r="P35" i="2"/>
  <c r="P177" i="2" s="1"/>
  <c r="O35" i="2"/>
  <c r="N35" i="2"/>
  <c r="N177" i="2" s="1"/>
  <c r="M35" i="2"/>
  <c r="M177" i="2" s="1"/>
  <c r="L35" i="2"/>
  <c r="L177" i="2" s="1"/>
  <c r="I35" i="2"/>
  <c r="H35" i="2"/>
  <c r="G35" i="2"/>
  <c r="F35" i="2"/>
  <c r="E35" i="2"/>
  <c r="U34" i="2"/>
  <c r="T34" i="2"/>
  <c r="S34" i="2"/>
  <c r="R34" i="2"/>
  <c r="Q34" i="2"/>
  <c r="P34" i="2"/>
  <c r="O34" i="2"/>
  <c r="N34" i="2"/>
  <c r="M34" i="2"/>
  <c r="L34" i="2"/>
  <c r="I34" i="2"/>
  <c r="H34" i="2"/>
  <c r="G34" i="2"/>
  <c r="F34" i="2"/>
  <c r="E34" i="2"/>
  <c r="U33" i="2"/>
  <c r="T33" i="2"/>
  <c r="T176" i="2" s="1"/>
  <c r="S33" i="2"/>
  <c r="S176" i="2" s="1"/>
  <c r="R33" i="2"/>
  <c r="R176" i="2" s="1"/>
  <c r="Q33" i="2"/>
  <c r="P33" i="2"/>
  <c r="P176" i="2" s="1"/>
  <c r="O33" i="2"/>
  <c r="O176" i="2" s="1"/>
  <c r="N33" i="2"/>
  <c r="N176" i="2" s="1"/>
  <c r="M33" i="2"/>
  <c r="L33" i="2"/>
  <c r="L176" i="2" s="1"/>
  <c r="I33" i="2"/>
  <c r="I176" i="2" s="1"/>
  <c r="H33" i="2"/>
  <c r="G33" i="2"/>
  <c r="F33" i="2"/>
  <c r="E33" i="2"/>
  <c r="U32" i="2"/>
  <c r="T32" i="2"/>
  <c r="S32" i="2"/>
  <c r="R32" i="2"/>
  <c r="Q32" i="2"/>
  <c r="P32" i="2"/>
  <c r="O32" i="2"/>
  <c r="N32" i="2"/>
  <c r="M32" i="2"/>
  <c r="L32" i="2"/>
  <c r="I32" i="2"/>
  <c r="H32" i="2"/>
  <c r="G32" i="2"/>
  <c r="F32" i="2"/>
  <c r="E32" i="2"/>
  <c r="U31" i="2"/>
  <c r="U144" i="2" s="1"/>
  <c r="T31" i="2"/>
  <c r="S31" i="2"/>
  <c r="S136" i="2" s="1"/>
  <c r="R31" i="2"/>
  <c r="R144" i="2" s="1"/>
  <c r="Q31" i="2"/>
  <c r="Q144" i="2" s="1"/>
  <c r="P31" i="2"/>
  <c r="O31" i="2"/>
  <c r="O136" i="2" s="1"/>
  <c r="N31" i="2"/>
  <c r="N144" i="2" s="1"/>
  <c r="M31" i="2"/>
  <c r="M144" i="2" s="1"/>
  <c r="L31" i="2"/>
  <c r="L144" i="2" s="1"/>
  <c r="I31" i="2"/>
  <c r="I144" i="2" s="1"/>
  <c r="H31" i="2"/>
  <c r="G31" i="2"/>
  <c r="F31" i="2"/>
  <c r="E31" i="2"/>
  <c r="U30" i="2"/>
  <c r="T30" i="2"/>
  <c r="S30" i="2"/>
  <c r="R30" i="2"/>
  <c r="Q30" i="2"/>
  <c r="P30" i="2"/>
  <c r="O30" i="2"/>
  <c r="N30" i="2"/>
  <c r="M30" i="2"/>
  <c r="L30" i="2"/>
  <c r="I30" i="2"/>
  <c r="H30" i="2"/>
  <c r="G30" i="2"/>
  <c r="F30" i="2"/>
  <c r="E30" i="2"/>
  <c r="U29" i="2"/>
  <c r="T29" i="2"/>
  <c r="S29" i="2"/>
  <c r="R29" i="2"/>
  <c r="Q29" i="2"/>
  <c r="P29" i="2"/>
  <c r="O29" i="2"/>
  <c r="N29" i="2"/>
  <c r="M29" i="2"/>
  <c r="L29" i="2"/>
  <c r="I29" i="2"/>
  <c r="H29" i="2"/>
  <c r="G29" i="2"/>
  <c r="F29" i="2"/>
  <c r="E29" i="2"/>
  <c r="U28" i="2"/>
  <c r="T28" i="2"/>
  <c r="S28" i="2"/>
  <c r="R28" i="2"/>
  <c r="Q28" i="2"/>
  <c r="P28" i="2"/>
  <c r="O28" i="2"/>
  <c r="N28" i="2"/>
  <c r="M28" i="2"/>
  <c r="L28" i="2"/>
  <c r="I28" i="2"/>
  <c r="H28" i="2"/>
  <c r="G28" i="2"/>
  <c r="F28" i="2"/>
  <c r="E28" i="2"/>
  <c r="U27" i="2"/>
  <c r="U166" i="2" s="1"/>
  <c r="T27" i="2"/>
  <c r="T166" i="2" s="1"/>
  <c r="S27" i="2"/>
  <c r="R27" i="2"/>
  <c r="R166" i="2" s="1"/>
  <c r="Q27" i="2"/>
  <c r="Q166" i="2" s="1"/>
  <c r="P27" i="2"/>
  <c r="P166" i="2" s="1"/>
  <c r="O27" i="2"/>
  <c r="N27" i="2"/>
  <c r="N166" i="2" s="1"/>
  <c r="M27" i="2"/>
  <c r="M166" i="2" s="1"/>
  <c r="L27" i="2"/>
  <c r="L166" i="2" s="1"/>
  <c r="I27" i="2"/>
  <c r="H27" i="2"/>
  <c r="G27" i="2"/>
  <c r="F27" i="2"/>
  <c r="E27" i="2"/>
  <c r="U26" i="2"/>
  <c r="T26" i="2"/>
  <c r="S26" i="2"/>
  <c r="R26" i="2"/>
  <c r="Q26" i="2"/>
  <c r="P26" i="2"/>
  <c r="O26" i="2"/>
  <c r="N26" i="2"/>
  <c r="M26" i="2"/>
  <c r="L26" i="2"/>
  <c r="I26" i="2"/>
  <c r="H26" i="2"/>
  <c r="G26" i="2"/>
  <c r="F26" i="2"/>
  <c r="E26" i="2"/>
  <c r="U25" i="2"/>
  <c r="T25" i="2"/>
  <c r="S25" i="2"/>
  <c r="R25" i="2"/>
  <c r="Q25" i="2"/>
  <c r="P25" i="2"/>
  <c r="O25" i="2"/>
  <c r="N25" i="2"/>
  <c r="M25" i="2"/>
  <c r="L25" i="2"/>
  <c r="I25" i="2"/>
  <c r="H25" i="2"/>
  <c r="G25" i="2"/>
  <c r="F25" i="2"/>
  <c r="E25" i="2"/>
  <c r="U24" i="2"/>
  <c r="T24" i="2"/>
  <c r="S24" i="2"/>
  <c r="R24" i="2"/>
  <c r="Q24" i="2"/>
  <c r="P24" i="2"/>
  <c r="O24" i="2"/>
  <c r="N24" i="2"/>
  <c r="M24" i="2"/>
  <c r="L24" i="2"/>
  <c r="I24" i="2"/>
  <c r="H24" i="2"/>
  <c r="G24" i="2"/>
  <c r="F24" i="2"/>
  <c r="E24" i="2"/>
  <c r="U23" i="2"/>
  <c r="T23" i="2"/>
  <c r="S23" i="2"/>
  <c r="R23" i="2"/>
  <c r="Q23" i="2"/>
  <c r="P23" i="2"/>
  <c r="O23" i="2"/>
  <c r="N23" i="2"/>
  <c r="M23" i="2"/>
  <c r="L23" i="2"/>
  <c r="I23" i="2"/>
  <c r="H23" i="2"/>
  <c r="G23" i="2"/>
  <c r="F23" i="2"/>
  <c r="E23" i="2"/>
  <c r="U22" i="2"/>
  <c r="T22" i="2"/>
  <c r="S22" i="2"/>
  <c r="R22" i="2"/>
  <c r="Q22" i="2"/>
  <c r="P22" i="2"/>
  <c r="O22" i="2"/>
  <c r="N22" i="2"/>
  <c r="M22" i="2"/>
  <c r="L22" i="2"/>
  <c r="I22" i="2"/>
  <c r="H22" i="2"/>
  <c r="H190" i="2" s="1"/>
  <c r="G22" i="2"/>
  <c r="G190" i="2" s="1"/>
  <c r="F22" i="2"/>
  <c r="F190" i="2" s="1"/>
  <c r="E22" i="2"/>
  <c r="E190" i="2" s="1"/>
  <c r="U21" i="2"/>
  <c r="T21" i="2"/>
  <c r="S21" i="2"/>
  <c r="R21" i="2"/>
  <c r="Q21" i="2"/>
  <c r="P21" i="2"/>
  <c r="O21" i="2"/>
  <c r="N21" i="2"/>
  <c r="M21" i="2"/>
  <c r="L21" i="2"/>
  <c r="I21" i="2"/>
  <c r="H21" i="2"/>
  <c r="G21" i="2"/>
  <c r="F21" i="2"/>
  <c r="E21" i="2"/>
  <c r="U20" i="2"/>
  <c r="T20" i="2"/>
  <c r="S20" i="2"/>
  <c r="R20" i="2"/>
  <c r="Q20" i="2"/>
  <c r="P20" i="2"/>
  <c r="O20" i="2"/>
  <c r="N20" i="2"/>
  <c r="M20" i="2"/>
  <c r="L20" i="2"/>
  <c r="I20" i="2"/>
  <c r="H20" i="2"/>
  <c r="G20" i="2"/>
  <c r="F20" i="2"/>
  <c r="E20" i="2"/>
  <c r="U19" i="2"/>
  <c r="T19" i="2"/>
  <c r="S19" i="2"/>
  <c r="R19" i="2"/>
  <c r="Q19" i="2"/>
  <c r="P19" i="2"/>
  <c r="O19" i="2"/>
  <c r="N19" i="2"/>
  <c r="M19" i="2"/>
  <c r="L19" i="2"/>
  <c r="I19" i="2"/>
  <c r="H19" i="2"/>
  <c r="G19" i="2"/>
  <c r="F19" i="2"/>
  <c r="E19" i="2"/>
  <c r="U18" i="2"/>
  <c r="T18" i="2"/>
  <c r="T143" i="2" s="1"/>
  <c r="S18" i="2"/>
  <c r="R18" i="2"/>
  <c r="R143" i="2" s="1"/>
  <c r="Q18" i="2"/>
  <c r="Q141" i="2" s="1"/>
  <c r="P18" i="2"/>
  <c r="O18" i="2"/>
  <c r="O141" i="2" s="1"/>
  <c r="N18" i="2"/>
  <c r="N143" i="2" s="1"/>
  <c r="M18" i="2"/>
  <c r="M141" i="2" s="1"/>
  <c r="L18" i="2"/>
  <c r="I18" i="2"/>
  <c r="I142" i="2" s="1"/>
  <c r="H18" i="2"/>
  <c r="G18" i="2"/>
  <c r="F18" i="2"/>
  <c r="E18" i="2"/>
  <c r="U17" i="2"/>
  <c r="U138" i="2" s="1"/>
  <c r="T17" i="2"/>
  <c r="T138" i="2" s="1"/>
  <c r="S17" i="2"/>
  <c r="S138" i="2" s="1"/>
  <c r="R17" i="2"/>
  <c r="R138" i="2" s="1"/>
  <c r="Q17" i="2"/>
  <c r="Q138" i="2" s="1"/>
  <c r="P17" i="2"/>
  <c r="P138" i="2" s="1"/>
  <c r="O17" i="2"/>
  <c r="O138" i="2" s="1"/>
  <c r="N17" i="2"/>
  <c r="N138" i="2" s="1"/>
  <c r="M17" i="2"/>
  <c r="M138" i="2" s="1"/>
  <c r="L17" i="2"/>
  <c r="L138" i="2" s="1"/>
  <c r="I17" i="2"/>
  <c r="I138" i="2" s="1"/>
  <c r="H17" i="2"/>
  <c r="G17" i="2"/>
  <c r="F17" i="2"/>
  <c r="E17" i="2"/>
  <c r="U16" i="2"/>
  <c r="T16" i="2"/>
  <c r="S16" i="2"/>
  <c r="R16" i="2"/>
  <c r="Q16" i="2"/>
  <c r="P16" i="2"/>
  <c r="O16" i="2"/>
  <c r="N16" i="2"/>
  <c r="M16" i="2"/>
  <c r="L16" i="2"/>
  <c r="I16" i="2"/>
  <c r="H16" i="2"/>
  <c r="G16" i="2"/>
  <c r="F16" i="2"/>
  <c r="E16" i="2"/>
  <c r="U15" i="2"/>
  <c r="T15" i="2"/>
  <c r="S15" i="2"/>
  <c r="R15" i="2"/>
  <c r="Q15" i="2"/>
  <c r="P15" i="2"/>
  <c r="O15" i="2"/>
  <c r="N15" i="2"/>
  <c r="M15" i="2"/>
  <c r="L15" i="2"/>
  <c r="I15" i="2"/>
  <c r="H15" i="2"/>
  <c r="G15" i="2"/>
  <c r="F15" i="2"/>
  <c r="E15" i="2"/>
  <c r="U14" i="2"/>
  <c r="U137" i="2" s="1"/>
  <c r="T14" i="2"/>
  <c r="T137" i="2" s="1"/>
  <c r="S14" i="2"/>
  <c r="S137" i="2" s="1"/>
  <c r="R14" i="2"/>
  <c r="R137" i="2" s="1"/>
  <c r="Q14" i="2"/>
  <c r="Q137" i="2" s="1"/>
  <c r="P14" i="2"/>
  <c r="P137" i="2" s="1"/>
  <c r="O14" i="2"/>
  <c r="O137" i="2" s="1"/>
  <c r="N14" i="2"/>
  <c r="N137" i="2" s="1"/>
  <c r="M14" i="2"/>
  <c r="M137" i="2" s="1"/>
  <c r="L14" i="2"/>
  <c r="L137" i="2" s="1"/>
  <c r="I14" i="2"/>
  <c r="I137" i="2" s="1"/>
  <c r="H14" i="2"/>
  <c r="G14" i="2"/>
  <c r="F14" i="2"/>
  <c r="E14" i="2"/>
  <c r="U13" i="2"/>
  <c r="T13" i="2"/>
  <c r="S13" i="2"/>
  <c r="R13" i="2"/>
  <c r="Q13" i="2"/>
  <c r="P13" i="2"/>
  <c r="O13" i="2"/>
  <c r="N13" i="2"/>
  <c r="M13" i="2"/>
  <c r="L13" i="2"/>
  <c r="I13" i="2"/>
  <c r="H13" i="2"/>
  <c r="G13" i="2"/>
  <c r="F13" i="2"/>
  <c r="E13" i="2"/>
  <c r="U12" i="2"/>
  <c r="T12" i="2"/>
  <c r="S12" i="2"/>
  <c r="R12" i="2"/>
  <c r="Q12" i="2"/>
  <c r="P12" i="2"/>
  <c r="O12" i="2"/>
  <c r="N12" i="2"/>
  <c r="M12" i="2"/>
  <c r="L12" i="2"/>
  <c r="I12" i="2"/>
  <c r="H12" i="2"/>
  <c r="G12" i="2"/>
  <c r="F12" i="2"/>
  <c r="E12" i="2"/>
  <c r="U11" i="2"/>
  <c r="T11" i="2"/>
  <c r="S11" i="2"/>
  <c r="S139" i="2" s="1"/>
  <c r="R11" i="2"/>
  <c r="R140" i="2" s="1"/>
  <c r="Q11" i="2"/>
  <c r="Q140" i="2" s="1"/>
  <c r="P11" i="2"/>
  <c r="O11" i="2"/>
  <c r="O139" i="2" s="1"/>
  <c r="N11" i="2"/>
  <c r="M11" i="2"/>
  <c r="L11" i="2"/>
  <c r="I11" i="2"/>
  <c r="H11" i="2"/>
  <c r="H189" i="2" s="1"/>
  <c r="G11" i="2"/>
  <c r="F11" i="2"/>
  <c r="E11" i="2"/>
  <c r="U10" i="2"/>
  <c r="U191" i="2" s="1"/>
  <c r="T10" i="2"/>
  <c r="T131" i="2" s="1"/>
  <c r="S10" i="2"/>
  <c r="R10" i="2"/>
  <c r="R131" i="2" s="1"/>
  <c r="Q10" i="2"/>
  <c r="Q191" i="2" s="1"/>
  <c r="P10" i="2"/>
  <c r="P131" i="2" s="1"/>
  <c r="O10" i="2"/>
  <c r="N10" i="2"/>
  <c r="N131" i="2" s="1"/>
  <c r="M10" i="2"/>
  <c r="M191" i="2" s="1"/>
  <c r="L10" i="2"/>
  <c r="L131" i="2" s="1"/>
  <c r="I10" i="2"/>
  <c r="H10" i="2"/>
  <c r="G10" i="2"/>
  <c r="G191" i="2" s="1"/>
  <c r="F10" i="2"/>
  <c r="E10" i="2"/>
  <c r="I9" i="2"/>
  <c r="I58" i="2" s="1"/>
  <c r="D6" i="2"/>
  <c r="D5" i="2"/>
  <c r="D4" i="2"/>
  <c r="H8" i="1" l="1"/>
  <c r="I8" i="1" s="1"/>
  <c r="I10" i="1"/>
  <c r="L9" i="2"/>
  <c r="L58" i="2" s="1"/>
  <c r="H9" i="2"/>
  <c r="E191" i="2"/>
  <c r="I191" i="2"/>
  <c r="O191" i="2"/>
  <c r="S191" i="2"/>
  <c r="F189" i="2"/>
  <c r="L189" i="2"/>
  <c r="P189" i="2"/>
  <c r="T189" i="2"/>
  <c r="S141" i="2"/>
  <c r="S143" i="2"/>
  <c r="I169" i="2"/>
  <c r="I190" i="2"/>
  <c r="I168" i="2"/>
  <c r="I171" i="2"/>
  <c r="I170" i="2"/>
  <c r="I167" i="2"/>
  <c r="O169" i="2"/>
  <c r="O190" i="2"/>
  <c r="O168" i="2"/>
  <c r="O167" i="2"/>
  <c r="O171" i="2"/>
  <c r="O170" i="2"/>
  <c r="S169" i="2"/>
  <c r="S190" i="2"/>
  <c r="S168" i="2"/>
  <c r="S171" i="2"/>
  <c r="S170" i="2"/>
  <c r="S167" i="2"/>
  <c r="L164" i="2"/>
  <c r="L163" i="2"/>
  <c r="P164" i="2"/>
  <c r="P163" i="2"/>
  <c r="T164" i="2"/>
  <c r="T163" i="2"/>
  <c r="I165" i="2"/>
  <c r="I186" i="2"/>
  <c r="O165" i="2"/>
  <c r="O186" i="2"/>
  <c r="S165" i="2"/>
  <c r="S186" i="2"/>
  <c r="I173" i="2"/>
  <c r="I175" i="2"/>
  <c r="I172" i="2"/>
  <c r="I174" i="2"/>
  <c r="O173" i="2"/>
  <c r="O175" i="2"/>
  <c r="O172" i="2"/>
  <c r="O174" i="2"/>
  <c r="S173" i="2"/>
  <c r="S175" i="2"/>
  <c r="S172" i="2"/>
  <c r="S174" i="2"/>
  <c r="P144" i="2"/>
  <c r="T144" i="2"/>
  <c r="I181" i="2"/>
  <c r="I182" i="2"/>
  <c r="I180" i="2"/>
  <c r="O181" i="2"/>
  <c r="O182" i="2"/>
  <c r="O180" i="2"/>
  <c r="S181" i="2"/>
  <c r="S182" i="2"/>
  <c r="S180" i="2"/>
  <c r="N192" i="2"/>
  <c r="M183" i="2"/>
  <c r="M184" i="2"/>
  <c r="R192" i="2"/>
  <c r="Q183" i="2"/>
  <c r="Q184" i="2"/>
  <c r="U183" i="2"/>
  <c r="U184" i="2"/>
  <c r="L61" i="2"/>
  <c r="P61" i="2"/>
  <c r="T61" i="2"/>
  <c r="M62" i="2"/>
  <c r="Q62" i="2"/>
  <c r="U62" i="2"/>
  <c r="N152" i="2"/>
  <c r="N151" i="2"/>
  <c r="R152" i="2"/>
  <c r="R151" i="2"/>
  <c r="M153" i="2"/>
  <c r="M154" i="2"/>
  <c r="Q153" i="2"/>
  <c r="Q154" i="2"/>
  <c r="U153" i="2"/>
  <c r="U154" i="2"/>
  <c r="H193" i="2"/>
  <c r="M193" i="2"/>
  <c r="L159" i="2"/>
  <c r="Q193" i="2"/>
  <c r="P159" i="2"/>
  <c r="U193" i="2"/>
  <c r="T159" i="2"/>
  <c r="I160" i="2"/>
  <c r="O160" i="2"/>
  <c r="S160" i="2"/>
  <c r="M161" i="2"/>
  <c r="Q161" i="2"/>
  <c r="U161" i="2"/>
  <c r="N117" i="2"/>
  <c r="R117" i="2"/>
  <c r="I118" i="2"/>
  <c r="O118" i="2"/>
  <c r="S118" i="2"/>
  <c r="L129" i="2"/>
  <c r="P129" i="2"/>
  <c r="T129" i="2"/>
  <c r="I134" i="2"/>
  <c r="L135" i="2"/>
  <c r="P135" i="2"/>
  <c r="T135" i="2"/>
  <c r="M136" i="2"/>
  <c r="Q136" i="2"/>
  <c r="U136" i="2"/>
  <c r="L139" i="2"/>
  <c r="Q139" i="2"/>
  <c r="L140" i="2"/>
  <c r="I141" i="2"/>
  <c r="N142" i="2"/>
  <c r="I143" i="2"/>
  <c r="N145" i="2"/>
  <c r="S146" i="2"/>
  <c r="F191" i="2"/>
  <c r="L191" i="2"/>
  <c r="P191" i="2"/>
  <c r="T191" i="2"/>
  <c r="G189" i="2"/>
  <c r="M189" i="2"/>
  <c r="Q189" i="2"/>
  <c r="U189" i="2"/>
  <c r="L142" i="2"/>
  <c r="L141" i="2"/>
  <c r="P142" i="2"/>
  <c r="P141" i="2"/>
  <c r="T142" i="2"/>
  <c r="T141" i="2"/>
  <c r="L170" i="2"/>
  <c r="L190" i="2"/>
  <c r="L169" i="2"/>
  <c r="L168" i="2"/>
  <c r="L167" i="2"/>
  <c r="L171" i="2"/>
  <c r="P170" i="2"/>
  <c r="P190" i="2"/>
  <c r="P169" i="2"/>
  <c r="P171" i="2"/>
  <c r="P168" i="2"/>
  <c r="P167" i="2"/>
  <c r="T170" i="2"/>
  <c r="T190" i="2"/>
  <c r="T169" i="2"/>
  <c r="T168" i="2"/>
  <c r="T167" i="2"/>
  <c r="T171" i="2"/>
  <c r="M163" i="2"/>
  <c r="M164" i="2"/>
  <c r="Q163" i="2"/>
  <c r="Q164" i="2"/>
  <c r="U163" i="2"/>
  <c r="U164" i="2"/>
  <c r="L186" i="2"/>
  <c r="L165" i="2"/>
  <c r="P186" i="2"/>
  <c r="P165" i="2"/>
  <c r="T186" i="2"/>
  <c r="T165" i="2"/>
  <c r="L174" i="2"/>
  <c r="L173" i="2"/>
  <c r="L175" i="2"/>
  <c r="L172" i="2"/>
  <c r="P174" i="2"/>
  <c r="P173" i="2"/>
  <c r="P175" i="2"/>
  <c r="P172" i="2"/>
  <c r="T174" i="2"/>
  <c r="T175" i="2"/>
  <c r="T173" i="2"/>
  <c r="T172" i="2"/>
  <c r="L182" i="2"/>
  <c r="L180" i="2"/>
  <c r="L181" i="2"/>
  <c r="P182" i="2"/>
  <c r="P180" i="2"/>
  <c r="P181" i="2"/>
  <c r="T182" i="2"/>
  <c r="T180" i="2"/>
  <c r="T181" i="2"/>
  <c r="I192" i="2"/>
  <c r="N184" i="2"/>
  <c r="O192" i="2"/>
  <c r="N183" i="2"/>
  <c r="R184" i="2"/>
  <c r="S192" i="2"/>
  <c r="R183" i="2"/>
  <c r="M61" i="2"/>
  <c r="Q61" i="2"/>
  <c r="U61" i="2"/>
  <c r="N62" i="2"/>
  <c r="R62" i="2"/>
  <c r="I151" i="2"/>
  <c r="I152" i="2"/>
  <c r="O151" i="2"/>
  <c r="O152" i="2"/>
  <c r="S151" i="2"/>
  <c r="S152" i="2"/>
  <c r="N153" i="2"/>
  <c r="N154" i="2"/>
  <c r="R153" i="2"/>
  <c r="R154" i="2"/>
  <c r="N193" i="2"/>
  <c r="M159" i="2"/>
  <c r="R193" i="2"/>
  <c r="Q159" i="2"/>
  <c r="L160" i="2"/>
  <c r="P160" i="2"/>
  <c r="T160" i="2"/>
  <c r="I117" i="2"/>
  <c r="O117" i="2"/>
  <c r="S117" i="2"/>
  <c r="L118" i="2"/>
  <c r="P118" i="2"/>
  <c r="T118" i="2"/>
  <c r="M129" i="2"/>
  <c r="Q129" i="2"/>
  <c r="U129" i="2"/>
  <c r="M131" i="2"/>
  <c r="Q131" i="2"/>
  <c r="U131" i="2"/>
  <c r="N132" i="2"/>
  <c r="R132" i="2"/>
  <c r="M135" i="2"/>
  <c r="Q135" i="2"/>
  <c r="U135" i="2"/>
  <c r="N136" i="2"/>
  <c r="R136" i="2"/>
  <c r="M139" i="2"/>
  <c r="M140" i="2"/>
  <c r="R141" i="2"/>
  <c r="O142" i="2"/>
  <c r="L143" i="2"/>
  <c r="R145" i="2"/>
  <c r="N189" i="2"/>
  <c r="N139" i="2"/>
  <c r="R189" i="2"/>
  <c r="R139" i="2"/>
  <c r="M143" i="2"/>
  <c r="M142" i="2"/>
  <c r="Q143" i="2"/>
  <c r="Q142" i="2"/>
  <c r="U143" i="2"/>
  <c r="U142" i="2"/>
  <c r="M171" i="2"/>
  <c r="M167" i="2"/>
  <c r="M190" i="2"/>
  <c r="M170" i="2"/>
  <c r="M169" i="2"/>
  <c r="M168" i="2"/>
  <c r="Q171" i="2"/>
  <c r="Q167" i="2"/>
  <c r="Q190" i="2"/>
  <c r="Q170" i="2"/>
  <c r="Q169" i="2"/>
  <c r="Q168" i="2"/>
  <c r="U171" i="2"/>
  <c r="U167" i="2"/>
  <c r="U190" i="2"/>
  <c r="U170" i="2"/>
  <c r="U169" i="2"/>
  <c r="U168" i="2"/>
  <c r="N164" i="2"/>
  <c r="N163" i="2"/>
  <c r="R164" i="2"/>
  <c r="R163" i="2"/>
  <c r="M186" i="2"/>
  <c r="M165" i="2"/>
  <c r="Q186" i="2"/>
  <c r="Q165" i="2"/>
  <c r="U186" i="2"/>
  <c r="U165" i="2"/>
  <c r="M175" i="2"/>
  <c r="M174" i="2"/>
  <c r="M173" i="2"/>
  <c r="M172" i="2"/>
  <c r="Q175" i="2"/>
  <c r="Q174" i="2"/>
  <c r="Q173" i="2"/>
  <c r="Q172" i="2"/>
  <c r="U175" i="2"/>
  <c r="U173" i="2"/>
  <c r="U174" i="2"/>
  <c r="U172" i="2"/>
  <c r="M180" i="2"/>
  <c r="M181" i="2"/>
  <c r="M182" i="2"/>
  <c r="Q180" i="2"/>
  <c r="Q181" i="2"/>
  <c r="Q182" i="2"/>
  <c r="U180" i="2"/>
  <c r="U181" i="2"/>
  <c r="U182" i="2"/>
  <c r="F192" i="2"/>
  <c r="L192" i="2"/>
  <c r="I183" i="2"/>
  <c r="I184" i="2"/>
  <c r="P192" i="2"/>
  <c r="O183" i="2"/>
  <c r="O184" i="2"/>
  <c r="T192" i="2"/>
  <c r="S183" i="2"/>
  <c r="S184" i="2"/>
  <c r="N61" i="2"/>
  <c r="R61" i="2"/>
  <c r="L146" i="2"/>
  <c r="L145" i="2"/>
  <c r="P146" i="2"/>
  <c r="P145" i="2"/>
  <c r="T146" i="2"/>
  <c r="T145" i="2"/>
  <c r="L151" i="2"/>
  <c r="L152" i="2"/>
  <c r="P151" i="2"/>
  <c r="P152" i="2"/>
  <c r="T151" i="2"/>
  <c r="T152" i="2"/>
  <c r="I153" i="2"/>
  <c r="I154" i="2"/>
  <c r="O153" i="2"/>
  <c r="O154" i="2"/>
  <c r="S153" i="2"/>
  <c r="S154" i="2"/>
  <c r="O193" i="2"/>
  <c r="N159" i="2"/>
  <c r="S193" i="2"/>
  <c r="R159" i="2"/>
  <c r="M160" i="2"/>
  <c r="Q160" i="2"/>
  <c r="U160" i="2"/>
  <c r="L117" i="2"/>
  <c r="P117" i="2"/>
  <c r="T117" i="2"/>
  <c r="M118" i="2"/>
  <c r="Q118" i="2"/>
  <c r="U118" i="2"/>
  <c r="N129" i="2"/>
  <c r="R129" i="2"/>
  <c r="I132" i="2"/>
  <c r="O132" i="2"/>
  <c r="S132" i="2"/>
  <c r="M134" i="2"/>
  <c r="Q134" i="2"/>
  <c r="U134" i="2"/>
  <c r="N135" i="2"/>
  <c r="R135" i="2"/>
  <c r="I136" i="2"/>
  <c r="T139" i="2"/>
  <c r="N140" i="2"/>
  <c r="T140" i="2"/>
  <c r="N141" i="2"/>
  <c r="U141" i="2"/>
  <c r="R142" i="2"/>
  <c r="O143" i="2"/>
  <c r="I146" i="2"/>
  <c r="M9" i="2"/>
  <c r="H191" i="2"/>
  <c r="N191" i="2"/>
  <c r="R191" i="2"/>
  <c r="E189" i="2"/>
  <c r="I189" i="2"/>
  <c r="I140" i="2"/>
  <c r="O189" i="2"/>
  <c r="O140" i="2"/>
  <c r="S189" i="2"/>
  <c r="S140" i="2"/>
  <c r="N190" i="2"/>
  <c r="N168" i="2"/>
  <c r="N171" i="2"/>
  <c r="N167" i="2"/>
  <c r="N170" i="2"/>
  <c r="N169" i="2"/>
  <c r="R190" i="2"/>
  <c r="R168" i="2"/>
  <c r="R171" i="2"/>
  <c r="R167" i="2"/>
  <c r="R170" i="2"/>
  <c r="R169" i="2"/>
  <c r="I164" i="2"/>
  <c r="I163" i="2"/>
  <c r="O164" i="2"/>
  <c r="O163" i="2"/>
  <c r="S164" i="2"/>
  <c r="S163" i="2"/>
  <c r="N186" i="2"/>
  <c r="N165" i="2"/>
  <c r="R186" i="2"/>
  <c r="R165" i="2"/>
  <c r="I166" i="2"/>
  <c r="O166" i="2"/>
  <c r="S166" i="2"/>
  <c r="N172" i="2"/>
  <c r="N174" i="2"/>
  <c r="N175" i="2"/>
  <c r="N173" i="2"/>
  <c r="R172" i="2"/>
  <c r="R174" i="2"/>
  <c r="R175" i="2"/>
  <c r="R173" i="2"/>
  <c r="O144" i="2"/>
  <c r="S144" i="2"/>
  <c r="M176" i="2"/>
  <c r="Q176" i="2"/>
  <c r="U176" i="2"/>
  <c r="I177" i="2"/>
  <c r="O177" i="2"/>
  <c r="S177" i="2"/>
  <c r="M178" i="2"/>
  <c r="Q178" i="2"/>
  <c r="U178" i="2"/>
  <c r="I179" i="2"/>
  <c r="O179" i="2"/>
  <c r="S179" i="2"/>
  <c r="N180" i="2"/>
  <c r="N181" i="2"/>
  <c r="N182" i="2"/>
  <c r="R180" i="2"/>
  <c r="R181" i="2"/>
  <c r="R182" i="2"/>
  <c r="H192" i="2"/>
  <c r="M192" i="2"/>
  <c r="L183" i="2"/>
  <c r="L184" i="2"/>
  <c r="Q192" i="2"/>
  <c r="P183" i="2"/>
  <c r="P184" i="2"/>
  <c r="U192" i="2"/>
  <c r="T183" i="2"/>
  <c r="T184" i="2"/>
  <c r="M145" i="2"/>
  <c r="M146" i="2"/>
  <c r="Q145" i="2"/>
  <c r="Q146" i="2"/>
  <c r="U145" i="2"/>
  <c r="U146" i="2"/>
  <c r="I147" i="2"/>
  <c r="O147" i="2"/>
  <c r="S147" i="2"/>
  <c r="L148" i="2"/>
  <c r="P148" i="2"/>
  <c r="T148" i="2"/>
  <c r="R149" i="2"/>
  <c r="I150" i="2"/>
  <c r="O150" i="2"/>
  <c r="S150" i="2"/>
  <c r="M151" i="2"/>
  <c r="M152" i="2"/>
  <c r="Q151" i="2"/>
  <c r="Q152" i="2"/>
  <c r="U151" i="2"/>
  <c r="U152" i="2"/>
  <c r="L154" i="2"/>
  <c r="L153" i="2"/>
  <c r="P154" i="2"/>
  <c r="P153" i="2"/>
  <c r="T154" i="2"/>
  <c r="T153" i="2"/>
  <c r="I155" i="2"/>
  <c r="O155" i="2"/>
  <c r="S155" i="2"/>
  <c r="M156" i="2"/>
  <c r="Q156" i="2"/>
  <c r="U156" i="2"/>
  <c r="I157" i="2"/>
  <c r="O157" i="2"/>
  <c r="S157" i="2"/>
  <c r="M158" i="2"/>
  <c r="Q158" i="2"/>
  <c r="U158" i="2"/>
  <c r="F193" i="2"/>
  <c r="L193" i="2"/>
  <c r="I159" i="2"/>
  <c r="P193" i="2"/>
  <c r="O159" i="2"/>
  <c r="T193" i="2"/>
  <c r="S159" i="2"/>
  <c r="N160" i="2"/>
  <c r="R160" i="2"/>
  <c r="L161" i="2"/>
  <c r="P161" i="2"/>
  <c r="T161" i="2"/>
  <c r="M162" i="2"/>
  <c r="Q162" i="2"/>
  <c r="U162" i="2"/>
  <c r="I129" i="2"/>
  <c r="O129" i="2"/>
  <c r="S129" i="2"/>
  <c r="I131" i="2"/>
  <c r="O131" i="2"/>
  <c r="S131" i="2"/>
  <c r="L132" i="2"/>
  <c r="P132" i="2"/>
  <c r="T132" i="2"/>
  <c r="N134" i="2"/>
  <c r="R134" i="2"/>
  <c r="I135" i="2"/>
  <c r="O135" i="2"/>
  <c r="S135" i="2"/>
  <c r="L136" i="2"/>
  <c r="P136" i="2"/>
  <c r="T136" i="2"/>
  <c r="I139" i="2"/>
  <c r="P139" i="2"/>
  <c r="U139" i="2"/>
  <c r="P140" i="2"/>
  <c r="U140" i="2"/>
  <c r="S142" i="2"/>
  <c r="P143" i="2"/>
  <c r="O146" i="2"/>
  <c r="G17" i="1"/>
  <c r="G15" i="1" s="1"/>
  <c r="J17" i="1"/>
  <c r="J15" i="1" s="1"/>
  <c r="K17" i="1"/>
  <c r="K15" i="1" s="1"/>
  <c r="L17" i="1"/>
  <c r="L15" i="1" s="1"/>
  <c r="M17" i="1"/>
  <c r="M15" i="1" s="1"/>
  <c r="F17" i="1"/>
  <c r="F15" i="1" s="1"/>
  <c r="M58" i="2" l="1"/>
  <c r="N9" i="2"/>
  <c r="G9" i="2"/>
  <c r="H58" i="2"/>
  <c r="K11" i="1"/>
  <c r="J10" i="1"/>
  <c r="J9" i="1"/>
  <c r="G10" i="1"/>
  <c r="G9" i="1"/>
  <c r="M10" i="1"/>
  <c r="L13" i="1"/>
  <c r="K10" i="1"/>
  <c r="F10" i="1"/>
  <c r="M9" i="1"/>
  <c r="L9" i="1"/>
  <c r="K9" i="1"/>
  <c r="F9" i="1"/>
  <c r="F9" i="2" l="1"/>
  <c r="G58" i="2"/>
  <c r="N58" i="2"/>
  <c r="O9" i="2"/>
  <c r="L11" i="1"/>
  <c r="L10" i="1"/>
  <c r="J8" i="1"/>
  <c r="G8" i="1"/>
  <c r="K8" i="1"/>
  <c r="M8" i="1"/>
  <c r="F8" i="1"/>
  <c r="L8" i="1"/>
  <c r="O58" i="2" l="1"/>
  <c r="P9" i="2"/>
  <c r="F58" i="2"/>
  <c r="E9" i="2"/>
  <c r="E58" i="2" s="1"/>
  <c r="P58" i="2" l="1"/>
  <c r="Q9" i="2"/>
  <c r="Q58" i="2" l="1"/>
  <c r="R9" i="2"/>
  <c r="R58" i="2" l="1"/>
  <c r="S9" i="2"/>
  <c r="S58" i="2" l="1"/>
  <c r="T9" i="2"/>
  <c r="T58" i="2" l="1"/>
  <c r="U9" i="2"/>
  <c r="U58" i="2" s="1"/>
</calcChain>
</file>

<file path=xl/sharedStrings.xml><?xml version="1.0" encoding="utf-8"?>
<sst xmlns="http://schemas.openxmlformats.org/spreadsheetml/2006/main" count="1084" uniqueCount="462">
  <si>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</si>
  <si>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</si>
  <si>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</si>
  <si>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</si>
  <si>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</si>
  <si>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</si>
  <si>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</si>
  <si>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</si>
  <si>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</si>
  <si>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</si>
  <si>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</si>
  <si>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</si>
  <si>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</si>
  <si>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</si>
  <si>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</si>
  <si>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</si>
  <si>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</si>
  <si>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</si>
  <si>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</si>
  <si>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</si>
  <si>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</si>
  <si>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</si>
  <si>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</si>
  <si>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</si>
  <si>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</si>
  <si>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</si>
  <si>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</si>
  <si>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</si>
  <si>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Urząd Miejski w Rogoźnie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</si>
  <si>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</si>
  <si>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</si>
  <si>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</si>
  <si>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</si>
  <si>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</si>
  <si>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</si>
  <si>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</si>
  <si>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</si>
  <si>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</si>
  <si>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Cel: Poprawa bezpieczeństwa środowiskowego i ekologicznego</t>
  </si>
  <si>
    <t>Wykaz przedsiewzięć do Wieloletniej Prognozy Finansowej na lata 2015-2025</t>
  </si>
  <si>
    <t>1.3.2.</t>
  </si>
  <si>
    <t>1.3.2.1</t>
  </si>
  <si>
    <t>Budowa parkingu przy bloku nr 17 ul. Czarnkoweskiej - etap II
- poprawa bezpieczeństwa</t>
  </si>
  <si>
    <t>1.3.2.2</t>
  </si>
  <si>
    <t>1.3.2.3</t>
  </si>
  <si>
    <t>"Dofinansowanie zakupu samochodu ciężkiego 4x4 dla OSP Rogoźno - rok 2014</t>
  </si>
  <si>
    <t>Zestawienie wygenerowane na podstawie danych wprowadzonych do systemu BESTI@</t>
  </si>
  <si>
    <t>Układ WPF wg Rozporządzenia Ministra Finansów z dnia 10.01.2013 po zmianie z Dz.U. z 2013 r., poz. 1736 oraz Dz.U.2014, poz. 1127</t>
  </si>
  <si>
    <t>Nr Uchwały:</t>
  </si>
  <si>
    <t>Nazwa JST:</t>
  </si>
  <si>
    <t>WPF za lata:</t>
  </si>
  <si>
    <t xml:space="preserve">Wykonanie </t>
  </si>
  <si>
    <t>Plan 3 kw.</t>
  </si>
  <si>
    <t>X</t>
  </si>
  <si>
    <t>Lp.</t>
  </si>
  <si>
    <t>Nazwy serii (rysunki)</t>
  </si>
  <si>
    <t>Wyszczególnienie</t>
  </si>
  <si>
    <t>x</t>
  </si>
  <si>
    <t>Dochody ogółem</t>
  </si>
  <si>
    <t>1.1</t>
  </si>
  <si>
    <t xml:space="preserve"> Dochody bieżące</t>
  </si>
  <si>
    <t>Dochody bieżące</t>
  </si>
  <si>
    <t>1.1.1</t>
  </si>
  <si>
    <t xml:space="preserve">  dochody z tytułu udziału we wpływach z podatku dochodowego od osób fizycznych</t>
  </si>
  <si>
    <t>dochody z tytułu udziału we wpływach z podatku dochodowego od osób fizycznych</t>
  </si>
  <si>
    <t>1.1.2</t>
  </si>
  <si>
    <t xml:space="preserve">  dochody z tytułu udziału we wpływach z podatku dochodowego od osób prawnych</t>
  </si>
  <si>
    <t>dochody z tytułu udziału we wpływach z podatku dochodowego od osób prawnych</t>
  </si>
  <si>
    <t>1.1.3</t>
  </si>
  <si>
    <t xml:space="preserve">  podatki i opłaty</t>
  </si>
  <si>
    <t>podatki i opłaty</t>
  </si>
  <si>
    <t>1.1.3.1</t>
  </si>
  <si>
    <t xml:space="preserve">   z podatku od nieruchomości</t>
  </si>
  <si>
    <t>z podatku od nieruchomości</t>
  </si>
  <si>
    <t>1.1.4</t>
  </si>
  <si>
    <t xml:space="preserve">  z subwencji ogólnej</t>
  </si>
  <si>
    <t>z subwencji ogólnej</t>
  </si>
  <si>
    <t>1.1.5</t>
  </si>
  <si>
    <t xml:space="preserve">  z tytułu dotacji i środków przeznaczonych na cele bieżące</t>
  </si>
  <si>
    <t>z tytułu dotacji i środków przeznaczonych na cele bieżące</t>
  </si>
  <si>
    <t>1.2</t>
  </si>
  <si>
    <t xml:space="preserve">  Dochody majątkowe</t>
  </si>
  <si>
    <t>Dochody majątkowe, w tym</t>
  </si>
  <si>
    <t>1.2.1</t>
  </si>
  <si>
    <t xml:space="preserve">  ze sprzedaży majątku</t>
  </si>
  <si>
    <t>ze sprzedaży majątku</t>
  </si>
  <si>
    <t>1.2.2</t>
  </si>
  <si>
    <t xml:space="preserve">  z tytułu dotacji oraz środków przeznaczonych na inwestycje</t>
  </si>
  <si>
    <t>z tytułu dotacji oraz środków przeznaczonych na inwestycje</t>
  </si>
  <si>
    <t>Wydatki ogółem</t>
  </si>
  <si>
    <t>2.1</t>
  </si>
  <si>
    <t xml:space="preserve"> Wydatki bieżące</t>
  </si>
  <si>
    <t>Wydatki bieżące, w tym:</t>
  </si>
  <si>
    <t>2.1.1</t>
  </si>
  <si>
    <t xml:space="preserve">  z tytułu poręczeń i gwarancji</t>
  </si>
  <si>
    <t>z tytułu poręczeń i gwarancji</t>
  </si>
  <si>
    <t>2.1.1.1</t>
  </si>
  <si>
    <t xml:space="preserve">   w tym: gwarancje i poręczenia podlegające wyłączeniu z limitu spłaty zobowiązań, o którym mowa w art. 243 ustawy</t>
  </si>
  <si>
    <t>w tym: gwarancje i poręczenia podlegające wyłączeniu z limitu spłaty zobowiązań, o którym mowa w art. 243 ustawy</t>
  </si>
  <si>
    <t>2.1.2</t>
  </si>
  <si>
    <t xml:space="preserve">  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</si>
  <si>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</si>
  <si>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2.1.3</t>
  </si>
  <si>
    <t xml:space="preserve">  wydatki na obsługę długu, w tym:</t>
  </si>
  <si>
    <t>wydatki na obsługę długu, w tym:</t>
  </si>
  <si>
    <t>2.1.3.1</t>
  </si>
  <si>
    <t xml:space="preserve">   odsetki i dyskonto określone w art. 243 ust. 1 ustawy, w tym:</t>
  </si>
  <si>
    <t>odsetki i dyskonto określone w art. 243 ust. 1 ustawy, w tym:</t>
  </si>
  <si>
    <t>2.1.3.1.1</t>
  </si>
  <si>
    <t xml:space="preserve">   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</si>
  <si>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</si>
  <si>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</si>
  <si>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 xml:space="preserve">    odsetki i dyskonto podlegające wyłączeniu z limitu spłaty zobowiązań, o którym mowa w art. 243 ustawy, z tytułu zobowiązań  zaciągniętych na wkład krajowy</t>
  </si>
  <si>
    <t>odsetki i dyskonto podlegające wyłączeniu z limitu spłaty zobowiązań, o którym mowa w art. 243 ustawy, z tytułu zobowiązań  zaciągniętych na wkład krajowy</t>
  </si>
  <si>
    <t>2.2</t>
  </si>
  <si>
    <t xml:space="preserve"> Wydatki majątkowe</t>
  </si>
  <si>
    <t>Wydatki majątkowe</t>
  </si>
  <si>
    <t>Wynik budżetu</t>
  </si>
  <si>
    <t>Przychody budżetu</t>
  </si>
  <si>
    <t>4.1</t>
  </si>
  <si>
    <t xml:space="preserve"> Nadwyżka budżetowa z lat ubiegłych</t>
  </si>
  <si>
    <t>Nadwyżka budżetowa z lat ubiegłych</t>
  </si>
  <si>
    <t>4.1.1</t>
  </si>
  <si>
    <t xml:space="preserve">  w tym na pokrycie deficytu budżetu</t>
  </si>
  <si>
    <t>w tym na pokrycie deficytu budżetu</t>
  </si>
  <si>
    <t>4.2</t>
  </si>
  <si>
    <t xml:space="preserve"> Wolne środki, o których mowa w art. 217 ust.2 pkt 6 ustawy</t>
  </si>
  <si>
    <t>Wolne środki, o których mowa w art. 217 ust.2 pkt 6 ustawy</t>
  </si>
  <si>
    <t>4.2.1</t>
  </si>
  <si>
    <t xml:space="preserve">   w tym na pokrycie deficytu budżetu</t>
  </si>
  <si>
    <t>4.3</t>
  </si>
  <si>
    <t xml:space="preserve">  Kredyty, pożyczki, emisja papierów wartościowych</t>
  </si>
  <si>
    <t>Kredyty, pożyczki, emisja papierów wartościowych</t>
  </si>
  <si>
    <t>4.3.1</t>
  </si>
  <si>
    <t>4.4</t>
  </si>
  <si>
    <t xml:space="preserve"> Inne przychody niezwiązane z zaciągnięciem długu</t>
  </si>
  <si>
    <t>4.4.1</t>
  </si>
  <si>
    <t>Rozchody budżetu</t>
  </si>
  <si>
    <t>5.1</t>
  </si>
  <si>
    <t xml:space="preserve"> Spłaty rat kapitałowych kredytów i pożyczek oraz wykup papierów wartościowych</t>
  </si>
  <si>
    <t>Spłaty rat kapitałowych kredytów i pożyczek oraz wykup papierów wartościowych</t>
  </si>
  <si>
    <t>5.1.1</t>
  </si>
  <si>
    <t xml:space="preserve">  w tym łączna kwota przypadających na dany rok kwot ustawowych wyłączeń z limitu spłaty zobowiązań, o którym mowa w art. 243 ustawy, z tego:</t>
  </si>
  <si>
    <t>w tym łączna kwota przypadających na dany rok kwot ustawowych wyłączeń z limitu spłaty zobowiązań, o którym mowa w art. 243 ustawy, z tego:</t>
  </si>
  <si>
    <t>5.1.1.1</t>
  </si>
  <si>
    <t xml:space="preserve">   kwota przypadających na dany rok kwot ustawowych wyłączeń określonych w art. 243 ust. 3 ustawy</t>
  </si>
  <si>
    <t>kwota przypadających na dany rok kwot ustawowych wyłączeń określonych w art. 243 ust. 3 ustawy</t>
  </si>
  <si>
    <t>5.1.1.2</t>
  </si>
  <si>
    <t xml:space="preserve">   kwota przypadających na dany rok kwot ustawowych wyłączeń określonych w art. 243 ust. 3a ustawy</t>
  </si>
  <si>
    <t>kwota przypadających na dany rok kwot ustawowych wyłączeń określonych w art. 243 ust. 3a ustawy</t>
  </si>
  <si>
    <t>5.1.1.3</t>
  </si>
  <si>
    <t xml:space="preserve">   kwota przypadających na dany rok kwot ustawowych wyłączeń innych niż określone w art. 243 ustawy</t>
  </si>
  <si>
    <t>kwota przypadających na dany rok kwot ustawowych wyłączeń innych niż określone w art. 243 ustawy</t>
  </si>
  <si>
    <t>5.2</t>
  </si>
  <si>
    <t xml:space="preserve"> Inne rozchody niezwiązane ze spłatą długu</t>
  </si>
  <si>
    <t>Kwota długu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</si>
  <si>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</si>
  <si>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</si>
  <si>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8.1</t>
  </si>
  <si>
    <t xml:space="preserve"> Różnica między dochodami bieżącymi a  wydatkami bieżącymi</t>
  </si>
  <si>
    <t>Różnica między dochodami bieżącymi a  wydatkami bieżącymi</t>
  </si>
  <si>
    <t>8.2</t>
  </si>
  <si>
    <t xml:space="preserve"> Różnica między dochodami bieżącymi, skorygowanymi o środki a wydatkami bieżącymi, pomniejszonymi  o wydatki</t>
  </si>
  <si>
    <t>Różnica między dochodami bieżącymi, skorygowanymi o środki a wydatkami bieżącymi, pomniejszonymi  o wydatki</t>
  </si>
  <si>
    <t>Wskaźnik spłaty zobowiązań</t>
  </si>
  <si>
    <t>9.1</t>
  </si>
  <si>
    <t>(R+O) / D (bez wyłączeń)</t>
  </si>
  <si>
    <t>Wskaźnik planowanej łącznej kwoty spłaty zobowiązań, o której mowa w art. 243 ust. 1 ustawy do dochodów, bez uwzględnienia zobowiązań związku współtworzonego przez jednostkę samorządu terytorialnego  i bez uwzględnienia ustawowych wyłączeń przypadających na dany rok.</t>
  </si>
  <si>
    <t>9.2</t>
  </si>
  <si>
    <t>(R+O) / D (z wyłączeniami)</t>
  </si>
  <si>
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rok.</t>
  </si>
  <si>
    <t>9.3</t>
  </si>
  <si>
    <t xml:space="preserve"> Kwota zobowiązań związku współtworzonego przez jednostkę samorządu terytorialnego przypadających do spłaty w danym roku budżetowym, podlegająca doliczeniu zgodnie z art. 244 ustawy</t>
  </si>
  <si>
    <t>Kwota zobowiązań związku współtworzonego przez jednostkę samorządu terytorialnego przypadających do spłaty w danym roku budżetowym, podlegająca doliczeniu zgodnie z art. 244 ustawy</t>
  </si>
  <si>
    <t>9.4</t>
  </si>
  <si>
    <t>(R+O) / D (z wyłączeniami i zobowiązaniami związków)</t>
  </si>
  <si>
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</si>
  <si>
    <t>9.5</t>
  </si>
  <si>
    <t xml:space="preserve"> Wskaźnik dochodów bieżących powiększonych o dochody ze sprzedaży majątku oraz pomniejszonych o wydatki bieżące, do dochodów budżetu, ustalony dla danego roku (wskaźnik jednoroczny)</t>
  </si>
  <si>
    <t>Wskaźnik dochodów bieżących powiększonych o dochody ze sprzedaży majątku oraz pomniejszonych o wydatki bieżące, do dochodów budżetu, ustalony dla danego roku (wskaźnik jednoroczny)</t>
  </si>
  <si>
    <t>9.6</t>
  </si>
  <si>
    <t xml:space="preserve">Dopuszczalny wskaźnik spłaty zobowiązań z art. 243 ustawy, po uwzględnieniu ustawowych wyłączeń (planistyczny) </t>
  </si>
  <si>
    <t xml:space="preserve">Dopuszczalny wskaźnik spłaty zobowiązań określony w art. 243 ustawy, po uwzględnieniu ustawowych wyłączeń , obliczony w oparciu o plan 3 kwartału roku poprzedzającego pierwszy rok prognozy (wskaźnik ustalony w oparciu o średnią arytmetyczną z 3 poprzednich lat) </t>
  </si>
  <si>
    <t>9.6.1</t>
  </si>
  <si>
    <t xml:space="preserve">Dopuszczalny wskaźnik spłaty zobowiązań z art. 243 ustawy, po uwzględnieniu ustawowych wyłączeń (wykonanie) </t>
  </si>
  <si>
    <t xml:space="preserve">Dopuszczalny wskaźnik spłaty zobowiązań określony w art. 243 ustawy, po uwzględnieniu ustawowych wyłączeń, obliczony w oparciu o wykonanie roku poprzedzającego pierwszy rok prognozy (wskaźnik ustalony w oparciu o średnią arytmetyczną z 3 poprzednich lat) </t>
  </si>
  <si>
    <t>9.7</t>
  </si>
  <si>
    <t xml:space="preserve"> 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</si>
  <si>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</si>
  <si>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9.7.1</t>
  </si>
  <si>
    <t xml:space="preserve">  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</si>
  <si>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</si>
  <si>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Przeznaczenie prognozowanej nadwyżki budżetowej,  w tym na:</t>
  </si>
  <si>
    <t>10.1</t>
  </si>
  <si>
    <t xml:space="preserve"> Spłaty kredytów, pożyczek i wykup papierów wartościowych</t>
  </si>
  <si>
    <t>Spłaty kredytów, pożyczek i wykup papierów wartościowych</t>
  </si>
  <si>
    <t>Informacje uzupełniające o wybranych rodzajach wydatków budżetowych</t>
  </si>
  <si>
    <t>11.1</t>
  </si>
  <si>
    <t xml:space="preserve"> Wydatki bieżące na wynagrodzenia i składki od nich naliczane</t>
  </si>
  <si>
    <t>Wydatki bieżące na wynagrodzenia i składki od nich naliczane</t>
  </si>
  <si>
    <t>11.2</t>
  </si>
  <si>
    <t xml:space="preserve"> Wydatki związane z funkcjonowaniem organów jednostki samorządu terytorialnego</t>
  </si>
  <si>
    <t>Wydatki związane z funkcjonowaniem organów jednostki samorządu terytorialnego</t>
  </si>
  <si>
    <t>11.3</t>
  </si>
  <si>
    <t xml:space="preserve"> Wydatki objęte limitem, o którym mowa w art. 226 ust. 3 pkt 4 ustawy</t>
  </si>
  <si>
    <t>Wydatki objęte limitem, o którym mowa w art. 226 ust. 3 pkt 4 ustawy</t>
  </si>
  <si>
    <t>11.3.1</t>
  </si>
  <si>
    <t xml:space="preserve">   Wydatki bieżące na przedsięwzięcia</t>
  </si>
  <si>
    <t>bieżące</t>
  </si>
  <si>
    <t>11.3.2</t>
  </si>
  <si>
    <t xml:space="preserve">   Wydatki majątkowe na przedsięwzięcia</t>
  </si>
  <si>
    <t>majątkowe</t>
  </si>
  <si>
    <t>11.4</t>
  </si>
  <si>
    <t xml:space="preserve"> Wydatki inwestycyjne kontynuowane </t>
  </si>
  <si>
    <t xml:space="preserve">Wydatki inwestycyjne kontynuowane </t>
  </si>
  <si>
    <t>11.5</t>
  </si>
  <si>
    <t xml:space="preserve"> Nowe wydatki inwestycyjne</t>
  </si>
  <si>
    <t>Nowe wydatki inwestycyjne</t>
  </si>
  <si>
    <t>11.6</t>
  </si>
  <si>
    <t xml:space="preserve"> Wydatki majątkowe w formie dotacji </t>
  </si>
  <si>
    <t xml:space="preserve">Wydatki majątkowe w formie dotacji </t>
  </si>
  <si>
    <t>Finansowanie programów, projektów lub zadań realizowanych z udziałem środków, o których mowa w art. 5 ust. 1 pkt 2 i 3 ustawy</t>
  </si>
  <si>
    <t>12.1</t>
  </si>
  <si>
    <t xml:space="preserve"> Dochody bieżące  na programy, projekty lub zadania finansowane z udziałem środków, o których mowa w art. 5 ust. 1 pkt 2 i 3 ustawy</t>
  </si>
  <si>
    <t>Dochody bieżące  na programy, projekty lub zadania finansowane z udziałem środków, o których mowa w art. 5 ust. 1 pkt 2 i 3 ustawy</t>
  </si>
  <si>
    <t>12.1.1</t>
  </si>
  <si>
    <t xml:space="preserve">  -  w tym środki określone w art. 5 ust. 1 pkt 2 ustawy</t>
  </si>
  <si>
    <t>-  w tym środki określone w art. 5 ust. 1 pkt 2 ustawy</t>
  </si>
  <si>
    <t>12.1.1.1</t>
  </si>
  <si>
    <t xml:space="preserve">   - w tym środki określone w art. 5 ust. 1 pkt 2 ustawy wynikające wyłącznie z  zawartych umów na realizację programu, projektu lub zadania</t>
  </si>
  <si>
    <t>- w tym środki określone w art. 5 ust. 1 pkt 2 ustawy wynikające wyłącznie z  zawartych umów na realizację programu, projektu lub zadania</t>
  </si>
  <si>
    <t>12.2</t>
  </si>
  <si>
    <t xml:space="preserve"> Dochody majątkowe  na programy, projekty lub zadania finansowane z udziałem środków, o których mowa w art. 5 ust. 1 pkt 2 i 3 ustawy</t>
  </si>
  <si>
    <t>Dochody majątkowe  na programy, projekty lub zadania finansowane z udziałem środków, o których mowa w art. 5 ust. 1 pkt 2 i 3 ustawy</t>
  </si>
  <si>
    <t>12.2.1</t>
  </si>
  <si>
    <t xml:space="preserve">   -  w tym środki określone w art. 5 ust. 1 pkt 2 ustawy</t>
  </si>
  <si>
    <t>12.2.1.1</t>
  </si>
  <si>
    <t xml:space="preserve">    - w tym środki określone w art. 5 ust. 1 pkt 2 ustawy wynikające wyłącznie z zawartych umów na realizację programu, projektu lub zadania</t>
  </si>
  <si>
    <t>- w tym środki określone w art. 5 ust. 1 pkt 2 ustawy wynikające wyłącznie z zawartych umów na realizację programu, projektu lub zadania</t>
  </si>
  <si>
    <t>12.3</t>
  </si>
  <si>
    <t xml:space="preserve"> Wydatki bieżące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</si>
  <si>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</si>
  <si>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>12.3.1</t>
  </si>
  <si>
    <t xml:space="preserve">  -  w tym finansowane środkami określonymi w art. 5 ust. 1 pkt 2 ustawy </t>
  </si>
  <si>
    <t xml:space="preserve">-  w tym finansowane środkami określonymi w art. 5 ust. 1 pkt 2 ustawy </t>
  </si>
  <si>
    <t>12.3.2</t>
  </si>
  <si>
    <t xml:space="preserve">  Wydatki bieżące na realizację programu, projektu lub zadania wynikające wyłącznie z zawartych umów z podmiotem dysponującym środkami, o których mowa w art. 5 ust. 1 pkt 2 ustawy </t>
  </si>
  <si>
    <t xml:space="preserve">Wydatki bieżące na realizację programu, projektu lub zadania wynikające wyłącznie z zawartych umów z podmiotem dysponującym środkami, o których mowa w art. 5 ust. 1 pkt 2 ustawy </t>
  </si>
  <si>
    <t>12.4</t>
  </si>
  <si>
    <t xml:space="preserve"> Wydatki majątkowe na programy, projekty lub zadania finansowane z udziałem środków, o których mowa w art. 5 ust. 1 pkt 2 i 3 ustawy</t>
  </si>
  <si>
    <t>Wydatki majątkowe na programy, projekty lub zadania finansowane z udziałem środków, o których mowa w art. 5 ust. 1 pkt 2 i 3 ustawy</t>
  </si>
  <si>
    <t>12.4.1</t>
  </si>
  <si>
    <t xml:space="preserve">  -  w tym finansowane środkami określonymi w art. 5 ust. 1 pkt 2 ustawy</t>
  </si>
  <si>
    <t>-  w tym finansowane środkami określonymi w art. 5 ust. 1 pkt 2 ustawy</t>
  </si>
  <si>
    <t>12.4.2</t>
  </si>
  <si>
    <t xml:space="preserve">  Wydatki majątkowe na realizację programu, projektu lub zadania wynikające wyłącznie z zawartych umów z podmiotem dysponującym środkami, o których mowa w art. 5 ust. 1 pkt 2 ustawy </t>
  </si>
  <si>
    <t xml:space="preserve">Wydatki majątkowe na realizację programu, projektu lub zadania wynikające wyłącznie z zawartych umów z podmiotem dysponującym środkami, o których mowa w art. 5 ust. 1 pkt 2 ustawy </t>
  </si>
  <si>
    <t>12.5</t>
  </si>
  <si>
    <t xml:space="preserve"> Wydatki na wkład krajowy w związku z umową na realizację programu, projektu lub zadania finansowanego z udziałem środków, o których mowa w art. 5 ust. 1 pkt 2 ustawy bez względu na stopień finansowania tymi środkami </t>
  </si>
  <si>
    <t xml:space="preserve">Wydatki na wkład krajowy w związku z umową na realizację programu, projektu lub zadania finansowanego z udziałem środków, o których mowa w art. 5 ust. 1 pkt 2 ustawy bez względu na stopień finansowania tymi środkami </t>
  </si>
  <si>
    <t>12.5.1</t>
  </si>
  <si>
    <t xml:space="preserve">  w tym w związku z już zawartą umową na realizację programu, projektu lub zadania</t>
  </si>
  <si>
    <t>w tym w związku z już zawartą umową na realizację programu, projektu lub zadania</t>
  </si>
  <si>
    <t>12.6</t>
  </si>
  <si>
    <t xml:space="preserve"> Wydatki na wkład krajowy w związku z zawartą po dniu 1 stycznia 2013 r. umową na realizację programu, projektu lub zadania finansowanego w co najmniej 60% środkami, o których mowa w art. 5 ust. 1 pkt 2 ustawy</t>
  </si>
  <si>
    <t>Wydatki na wkład krajowy w związku z zawartą po dniu 1 stycznia 2013 r. umową na realizację programu, projektu lub zadania finansowanego w co najmniej 60% środkami, o których mowa w art. 5 ust. 1 pkt 2 ustawy</t>
  </si>
  <si>
    <t>12.6.1</t>
  </si>
  <si>
    <t>12.7</t>
  </si>
  <si>
    <t xml:space="preserve"> 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</si>
  <si>
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</si>
  <si>
    <t>12.7.1</t>
  </si>
  <si>
    <t>12.8</t>
  </si>
  <si>
    <t xml:space="preserve"> Przychody z tytułu kredytów, pożyczek, emisji papierów wartościowych powstające w związku z zawartą po dniu 1 stycznia 2013 r. umową na realizację programu, projektu lub zadania finansowanego w co najmniej 60% środkami, o których mowa w art. 5 ust. 1 pkt 2 ustawy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</si>
  <si>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ustawy</t>
  </si>
  <si>
    <t>12.8.1</t>
  </si>
  <si>
    <t xml:space="preserve">Kwoty dotyczące przejęcia i spłaty zobowiązań po samodzielnych publicznych zakładach opieki zdrowotnej oraz pokrycia ujemnego wyniku </t>
  </si>
  <si>
    <t>13.1</t>
  </si>
  <si>
    <t xml:space="preserve"> Kwota zobowiązań wynikających z przejęcia przez jednostkę samorządu terytorialnego zobowiązań po likwidowanych i przekształcanych samodzielnych zakładach opieki zdrowotnej</t>
  </si>
  <si>
    <t>Kwota zobowiązań wynikających z przejęcia przez jednostkę samorządu terytorialnego zobowiązań po likwidowanych i przekształcanych samodzielnych zakładach opieki zdrowotnej</t>
  </si>
  <si>
    <t>13.2</t>
  </si>
  <si>
    <t xml:space="preserve"> Dochody budżetowe z tytułu dotacji celowej z budżetu państwa, o której mowa w art. 196 ustawy z  dnia 15 kwietnia 2011 r.  o działalności leczniczej (Dz.U. Nr 112, poz. 654, z późn. zm.)</t>
  </si>
  <si>
    <t>Dochody budżetowe z tytułu dotacji celowej z budżetu państwa, o której mowa w art. 196 ustawy z  dnia 15 kwietnia 2011 r.  o działalności leczniczej (Dz.U. Nr 112, poz. 654, z późn. zm.)</t>
  </si>
  <si>
    <t>13.3</t>
  </si>
  <si>
    <t xml:space="preserve"> Wysokość zobowiązań podlegających umorzeniu, o którym mowa w art. 190 ustawy o działalności leczniczej</t>
  </si>
  <si>
    <t>Wysokość zobowiązań podlegających umorzeniu, o którym mowa w art. 190 ustawy o działalności leczniczej</t>
  </si>
  <si>
    <t>13.4</t>
  </si>
  <si>
    <t xml:space="preserve"> Wydatki na spłatę przejętych zobowiązań samodzielnego publicznego zakładu opieki zdrowotnej przekształconego na zasadach określonych w przepisach  o działalności leczniczej</t>
  </si>
  <si>
    <t>Wydatki na spłatę przejętych zobowiązań samodzielnego publicznego zakładu opieki zdrowotnej przekształconego na zasadach określonych w przepisach  o działalności leczniczej</t>
  </si>
  <si>
    <t>13.5</t>
  </si>
  <si>
    <t xml:space="preserve"> Wydatki na spłatę przejętych zobowiązań samodzielnego publicznego zakładu opieki zdrowotnej likwidowanego na zasadach określonych w przepisach  o działalności leczniczej</t>
  </si>
  <si>
    <t>Wydatki na spłatę przejętych zobowiązań samodzielnego publicznego zakładu opieki zdrowotnej likwidowanego na zasadach określonych w przepisach  o działalności leczniczej</t>
  </si>
  <si>
    <t>13.6</t>
  </si>
  <si>
    <t xml:space="preserve"> Wydatki na spłatę zobowiązań samodzielnego publicznego zakładu opieki zdrowotnej przejętych do końca 2011 r. na podstawie przepisów o zakładach opieki zdrowotnej</t>
  </si>
  <si>
    <t>Wydatki na spłatę zobowiązań samodzielnego publicznego zakładu opieki zdrowotnej przejętych do końca 2011 r. na podstawie przepisów o zakładach opieki zdrowotnej</t>
  </si>
  <si>
    <t>13.7</t>
  </si>
  <si>
    <t xml:space="preserve"> Wydatki bieżące na pokrycie ujemnego wyniku finansowego samodzielnego publicznego zakładu opieki zdrowotnej</t>
  </si>
  <si>
    <t>Wydatki bieżące na pokrycie ujemnego wyniku finansowego samodzielnego publicznego zakładu opieki zdrowotnej</t>
  </si>
  <si>
    <t>Dane uzupełniające o długu i jego spłacie</t>
  </si>
  <si>
    <t>14.1</t>
  </si>
  <si>
    <t xml:space="preserve"> Spłaty rat kapitałowych oraz wykup papierów wartościowych, o których mowa w pkt. 5.1., wynikające wyłącznie z tytułu zobowiązań już zaciągniętych</t>
  </si>
  <si>
    <t>Spłaty rat kapitałowych oraz wykup papierów wartościowych, o których mowa w pkt. 5.1., wynikające wyłącznie z tytułu zobowiązań już zaciągniętych</t>
  </si>
  <si>
    <t>14.2</t>
  </si>
  <si>
    <t xml:space="preserve"> Kwota długu, którego planowana spłata dokona się z wydatków budżetu</t>
  </si>
  <si>
    <t>Kwota długu, którego planowana spłata dokona się z wydatków budżetu</t>
  </si>
  <si>
    <t>14.3</t>
  </si>
  <si>
    <t xml:space="preserve"> Wydatki zmniejszające dług, w tym</t>
  </si>
  <si>
    <t>Wydatki zmniejszające dług, w tym</t>
  </si>
  <si>
    <t>14.3.1</t>
  </si>
  <si>
    <t xml:space="preserve">  spłata zobowiązań wymagalnych z lat poprzednich, innych niż w pkt 14.3.3</t>
  </si>
  <si>
    <t>spłata zobowiązań wymagalnych z lat poprzednich, innych niż w pkt 14.3.3</t>
  </si>
  <si>
    <t>14.3.2</t>
  </si>
  <si>
    <t xml:space="preserve">  związane z umowami zaliczanymi do tytułów dłużnych wliczanych do państwowego długu publicznego</t>
  </si>
  <si>
    <t>związane z umowami zaliczanymi do tytułów dłużnych wliczanych do państwowego długu publicznego</t>
  </si>
  <si>
    <t>14.3.3</t>
  </si>
  <si>
    <t xml:space="preserve">  wypłaty z tytułu wymagalnych poręczeń i gwarancji</t>
  </si>
  <si>
    <t>wypłaty z tytułu wymagalnych poręczeń i gwarancji</t>
  </si>
  <si>
    <t>14.4</t>
  </si>
  <si>
    <t xml:space="preserve"> Wynik operacji niekasowych wpływających na kwotę długu ( m.in. umorzenia, różnice kursowe)</t>
  </si>
  <si>
    <t>Wynik operacji niekasowych wpływających na kwotę długu ( m.in. umorzenia, różnice kursowe)</t>
  </si>
  <si>
    <t>Dane dotyczące emitowanych obligacji przychodowych</t>
  </si>
  <si>
    <t>15.1</t>
  </si>
  <si>
    <t xml:space="preserve"> Środki z przedsięwzięcia gromadzone na rachunku bankowym,  w tym:</t>
  </si>
  <si>
    <t>Środki z przedsięwzięcia gromadzone na rachunku bankowym,  w tym:</t>
  </si>
  <si>
    <t>15.1.1</t>
  </si>
  <si>
    <t xml:space="preserve">  środki na zaspokojenie roszczeń obligatariuszy</t>
  </si>
  <si>
    <t>środki na zaspokojenie roszczeń obligatariuszy</t>
  </si>
  <si>
    <t>15.2</t>
  </si>
  <si>
    <t>Wydatki bieżące z tytułu świadczenia emitenta należnego obligatariuszom,  nieuwzględniane  w limicie spłaty zobowiązań, o którym mowa w art. 243 ustawy</t>
  </si>
  <si>
    <r>
      <t xml:space="preserve">Stopień niezachowania relacji określonych w art. 242-244 ustawy 
</t>
    </r>
    <r>
      <rPr>
        <b/>
        <sz val="9"/>
        <color indexed="10"/>
        <rFont val="Times New Roman"/>
        <family val="1"/>
        <charset val="238"/>
      </rPr>
      <t>(dotyczy tylko JST objętych procedurą z art. 240a lub 240b)</t>
    </r>
  </si>
  <si>
    <t>16.1</t>
  </si>
  <si>
    <t>Stopień niezachowania relacji zrównoważenia wydatków bieżących, o której mowa w poz. 8.2</t>
  </si>
  <si>
    <t>16.2</t>
  </si>
  <si>
    <t>Stopień niezachowania wskaźnika spłaty zobowiązań, o którym mowa w poz. 9.7</t>
  </si>
  <si>
    <t>16.3</t>
  </si>
  <si>
    <t>Stopień niezachowania wskaźnika spłaty zobowiązań, o którym mowa w poz. 9.7.1</t>
  </si>
  <si>
    <t>Weryfikacja danych wykazanych w tabeli Wieloletnia Prognoza Finansowa</t>
  </si>
  <si>
    <t>Reguła formalna</t>
  </si>
  <si>
    <t>Reguła rachunkowa</t>
  </si>
  <si>
    <t>Reguła logiczna</t>
  </si>
  <si>
    <t>Reguły kontrolne</t>
  </si>
  <si>
    <t>[1.1] + [4.1] + [4.2] &gt;= ([2.1] - [2.1.2])</t>
  </si>
  <si>
    <t>Spełnienie wskaźnika z art. 242</t>
  </si>
  <si>
    <t>[13.3] = 0 (dla lat 2014 i wyższych)</t>
  </si>
  <si>
    <t>Umorzenie zobowiązań, o którym mowa w art. 190 ustawy o działalności leczniczej nie wykracza poza ustawowy okres</t>
  </si>
  <si>
    <t>[1] + [4] - [2] - [5] = 0</t>
  </si>
  <si>
    <t>Kontrola poprawności zbilansowania budżetu</t>
  </si>
  <si>
    <t>[6]"n" = [6]"n-1" + [4.3]"n" - [5.1]"n" +  ([14.2]"n"-[14.2]"n-1") + [14.4]</t>
  </si>
  <si>
    <t>Kontrola poprawności wyliczenia kwoty długu</t>
  </si>
  <si>
    <t xml:space="preserve">[14.2] "n" =  ( [14.2]  "n-1" -  [14.3] "n" ) </t>
  </si>
  <si>
    <r>
      <t xml:space="preserve">Analiza zmiany kwoty długu spłacanego wydatkami budżetu 
</t>
    </r>
    <r>
      <rPr>
        <b/>
        <sz val="9"/>
        <rFont val="Czcionka tekstu podstawowego"/>
        <charset val="238"/>
      </rPr>
      <t xml:space="preserve">- wartości różne od zera wymagają objaśnienia </t>
    </r>
    <r>
      <rPr>
        <sz val="9"/>
        <rFont val="Czcionka tekstu podstawowego"/>
        <charset val="238"/>
      </rPr>
      <t xml:space="preserve">
   - wartości większe od zera wskazują na powstanie w roku prognozy nowego długu tego typu
   - wartości mniejsze od zera co do zasady nie powinny wystąpić</t>
    </r>
  </si>
  <si>
    <t>[13.1] "n"  -  ( [13.3] + [13.4] + [13.5] + [13.6] ) "n"  =  [13.1] "n-1"</t>
  </si>
  <si>
    <t>Porównanie na koniec roku prognozy stanu zobowiązań przejętych przez jst po likwidowanych i przekształcanych SP ZOZ z wydatkami i umorzeniami poniesionymi na ten cel ze stanem zobowiązań z okresu N-1</t>
  </si>
  <si>
    <t>jeśli [3] &lt; 0 to sprawdź czy [4.1.1] + [4.2.1] + [4.3.1] + [4.4.1] + [3] = 0</t>
  </si>
  <si>
    <t>Kontrola poprawności wykazania źródeł pokrycia deficytu</t>
  </si>
  <si>
    <t>jeśli [3] &gt;= 0 to sprawdź czy [4.1.1]=0 i [4.2.1]=0 i [4.3.1]=0 i  [4.4.1] = 0</t>
  </si>
  <si>
    <t>Kontrola poprawności niewykazania źródeł pokrycia deficytu przy nadwyżce budżetu</t>
  </si>
  <si>
    <t>[1.1.3] &gt;=  [1.1.3.1]</t>
  </si>
  <si>
    <t>Reguła logiczna:  [1.1.3] &gt;=  [1.1.3.1]</t>
  </si>
  <si>
    <t>[1.1.5] &gt;= [13.2]</t>
  </si>
  <si>
    <t>Reguła logiczna:  [1.1.5] &gt;= [13.2]</t>
  </si>
  <si>
    <t>[1.1] &gt;=  ([1.1.1] + [1.1.2] + [1.1.3] + [1.1.4] + [1.1.5])</t>
  </si>
  <si>
    <t>Reguła logiczna:  [1.1] &gt;=  ([1.1.1] + [1.1.2] + [1.1.3] + [1.1.4] + [1.1.5])</t>
  </si>
  <si>
    <t>[1.1] &gt;= [12.1]</t>
  </si>
  <si>
    <t>Reguła logiczna:  [1.1] &gt;= [12.1]</t>
  </si>
  <si>
    <t>[1.2] &gt;= [1.2.1]</t>
  </si>
  <si>
    <t>Reguła logiczna:  [1.2] &gt;= [1.2.1]</t>
  </si>
  <si>
    <t>[1.2] &gt;= [1.2.2]</t>
  </si>
  <si>
    <t>Reguła logiczna:  [1.2] &gt;= [1.2.2]</t>
  </si>
  <si>
    <t>[1.2] &gt;= [12.2]</t>
  </si>
  <si>
    <t>Reguła logiczna:  [1.2] &gt;= [12.2]</t>
  </si>
  <si>
    <t>Reguła logiczna: jeżeli [3] &gt;0 to [10] = [3]</t>
  </si>
  <si>
    <t>[10] &gt;= [10.1]</t>
  </si>
  <si>
    <t>Reguła logiczna:  [10] &gt;= [10.1]</t>
  </si>
  <si>
    <t>jeśli [10] &gt; 0 to powinno być [10.1] &gt; 0</t>
  </si>
  <si>
    <t>Reguła logiczna:  jeżeli [10] &gt; 0 to [10.1] &gt;0</t>
  </si>
  <si>
    <t>[12.1] &gt;= [12.1.1]</t>
  </si>
  <si>
    <t>Reguła logiczna:  [12.1] &gt;= [12.1.1]</t>
  </si>
  <si>
    <t>[12.1.1] &gt;= [12.1.1.1]</t>
  </si>
  <si>
    <t>Reguła logiczna:  [12.1.1] &gt;= [12.1.1.1]</t>
  </si>
  <si>
    <t>[12.2] &gt;= [12.2.1]</t>
  </si>
  <si>
    <t>Reguła logiczna:  [12.2] &gt;= [12.2.1]</t>
  </si>
  <si>
    <t>[12.2.1] &gt;= [12.2.1.1]</t>
  </si>
  <si>
    <t>Reguła logiczna:  [12.2.1] &gt;= [12.2.1.1]</t>
  </si>
  <si>
    <t>[12.3] &gt;= [12.3.1]</t>
  </si>
  <si>
    <t>Reguła logiczna:  [12.3] &gt;= [12.3.1]</t>
  </si>
  <si>
    <t>[12.3] &gt;= [12.3.2]</t>
  </si>
  <si>
    <t>Reguła logiczna:  [12.3] &gt;= [12.3.2]</t>
  </si>
  <si>
    <t>[12.4] &gt;= [12.4.1]</t>
  </si>
  <si>
    <t>Reguła logiczna:  [12.4] &gt;= [12.4.1]</t>
  </si>
  <si>
    <t>[12.4] &gt;= [12.4.2]</t>
  </si>
  <si>
    <t>Reguła logiczna:  [12.4] &gt;= [12.4.2]</t>
  </si>
  <si>
    <t>Reguła logiczna:  [12.5] &gt;= [12.5.1]</t>
  </si>
  <si>
    <t>Reguła logiczna:  [12.6] &gt;= [12.6.1]</t>
  </si>
  <si>
    <t>Reguła logiczna:  [12.7] &gt;= [12.7.1]</t>
  </si>
  <si>
    <t>Reguła logiczna:  [12.8] &gt;= [12.8.1]</t>
  </si>
  <si>
    <t>[13.1] &gt;= [13.3]</t>
  </si>
  <si>
    <t>Reguła logiczna:  [13.1] &gt;= [13.3]</t>
  </si>
  <si>
    <t>[13.4] &gt;= [2.1.2]</t>
  </si>
  <si>
    <t>Reguła logiczna:  [13.4] &gt;= [2.1.2]</t>
  </si>
  <si>
    <t>[14.3] &gt;= [14.3.1] + [14.3.2] + [14.3.3]</t>
  </si>
  <si>
    <t>Reguła logiczna:  [14.3] &gt;= [14.3.1] + [14.3.2] + [14.3.3]</t>
  </si>
  <si>
    <t>Reguła logiczna:  [15.1] &gt;= [15.1.1]</t>
  </si>
  <si>
    <t>[2.1.1] &gt;= [2.1.1.1]</t>
  </si>
  <si>
    <t>Reguła logiczna:  [2.1.1] &gt;= [2.1.1.1]</t>
  </si>
  <si>
    <t>[2.1.1] &gt;= [14.3.3]</t>
  </si>
  <si>
    <t>Reguła logiczna:  [2.1.1] &gt;= [14.3.3]</t>
  </si>
  <si>
    <t xml:space="preserve">[2.1.3] &gt;= [2.1.3.1] </t>
  </si>
  <si>
    <t xml:space="preserve">Reguła logiczna:  [2.1.3] &gt;= [2.1.3.1] </t>
  </si>
  <si>
    <t xml:space="preserve">Reguła logiczna:  [2.1.3.1] &gt;= [2.1.3.1.1]+[2.1.3.1.2] </t>
  </si>
  <si>
    <t>[2.1] &gt;= ([2.1.1] + [2.1.2] + [2.1.3])</t>
  </si>
  <si>
    <t>Reguła logiczna:  [2.1] &gt;= ([2.1.1] + [2.1.2] + [2.1.3])</t>
  </si>
  <si>
    <t>[2.1] &gt;= [11.1]</t>
  </si>
  <si>
    <t>Reguła logiczna:  [2.1] &gt;= [11.1]</t>
  </si>
  <si>
    <t>[2.1] &gt;= [11.3.1]</t>
  </si>
  <si>
    <t>Reguła logiczna:  [2.1] &gt;= [11.3.1]</t>
  </si>
  <si>
    <t>[2.1] &gt;= [12.3]</t>
  </si>
  <si>
    <t>Reguła logiczna:  [2.1] &gt;= [12.3]</t>
  </si>
  <si>
    <t>[2.1] &gt;= [13.7]</t>
  </si>
  <si>
    <t>Reguła logiczna:  [2.1] &gt;= [13.7]</t>
  </si>
  <si>
    <t>[2.2] &gt;= [11.3.2]</t>
  </si>
  <si>
    <t>Reguła logiczna:  [2.2] &gt;= [11.3.2]</t>
  </si>
  <si>
    <t>[2.2] &gt;= [11.4] + [11.5]</t>
  </si>
  <si>
    <t>Reguła logiczna:  [2.2] &gt;= [11.4] + [11.5]</t>
  </si>
  <si>
    <t>[2.2] &gt;= [11.6]</t>
  </si>
  <si>
    <t>Reguła logiczna:  [2.2] &gt;= [11.6]</t>
  </si>
  <si>
    <t>[2.2] &gt;= [12.4]</t>
  </si>
  <si>
    <t>Reguła logiczna:  [2.2] &gt;= [12.4]</t>
  </si>
  <si>
    <t>[4.1] &gt;= [4.1.1]</t>
  </si>
  <si>
    <t>Reguła logiczna:  [4.1] &gt;= [4.1.1]</t>
  </si>
  <si>
    <t>[4.2] &gt;= [4.2.1]</t>
  </si>
  <si>
    <t>Reguła logiczna:  [4.2] &gt;= [4.2.1]</t>
  </si>
  <si>
    <t>[4.3] &gt;= [4.3.1]</t>
  </si>
  <si>
    <t>Reguła logiczna:  [4.3] &gt;= [4.3.1]</t>
  </si>
  <si>
    <t>[4.4] &gt;= [4.4.1]</t>
  </si>
  <si>
    <t>Reguła logiczna:  [4.4] &gt;= [4.4.1]</t>
  </si>
  <si>
    <t>[5.1] &gt;= [5.1.1]</t>
  </si>
  <si>
    <t>Reguła logiczna:  [5.1] &gt;= [5.1.1]</t>
  </si>
  <si>
    <t>[5.1] &gt;= [10.1]</t>
  </si>
  <si>
    <t>Reguła logiczna:  [5.1] &gt;= [10.1]</t>
  </si>
  <si>
    <t>[5.1] &gt;= [14.1]</t>
  </si>
  <si>
    <t>Reguła logiczna:  [5.1] &gt;= [14.1]</t>
  </si>
  <si>
    <t>[6] &gt;=[7]</t>
  </si>
  <si>
    <t>Reguła logiczna:  [6] &gt;=[7]</t>
  </si>
  <si>
    <t>[6] &gt;= [14.2]</t>
  </si>
  <si>
    <t>Reguła logiczna:  [6] &gt;= [14.2]</t>
  </si>
  <si>
    <t>7&gt;=13.1</t>
  </si>
  <si>
    <t>Reguła logiczna:  7&gt;=13.1</t>
  </si>
  <si>
    <t xml:space="preserve">jeżeli [2.1.3] &lt;&gt; 0 to  [2.1.3.1] &lt;&gt; 0 </t>
  </si>
  <si>
    <t xml:space="preserve">Reguła logiczna:  jeżeli [2.1.3] &lt;&gt; 0 to  [2.1.3.1] &lt;&gt; 0 </t>
  </si>
  <si>
    <t>Kontrola poprawności podstawowych kwot</t>
  </si>
  <si>
    <t>Dochody ogółem = bieżące + majątkowe</t>
  </si>
  <si>
    <t>Wydatki ogółem = bieżące + majątkowe</t>
  </si>
  <si>
    <t>Wynik budżetu = dochody ogółem - wydatki ogółem</t>
  </si>
  <si>
    <t>Wyliczenie kwoty długu</t>
  </si>
  <si>
    <t>Wyliczenie zobowiązań wynikających z przejęcia przez jst zobowiązań po likwidowanych i przekształcanych SZOZ</t>
  </si>
  <si>
    <t>Wykonanie</t>
  </si>
  <si>
    <t>% 
wykonania</t>
  </si>
  <si>
    <t>Załącznik Nr 2 do informacji o kształtowaniu się  Wieloletniej Prognozy Finansowej na lata 2015-2015 według stanu na dzień 30 czerwca 2015 roku</t>
  </si>
  <si>
    <t>%
wykonania</t>
  </si>
  <si>
    <t>Spełniona</t>
  </si>
  <si>
    <t>Spelniona</t>
  </si>
  <si>
    <t>Załącznik Nr 1 do Informacji o kształtowaniu się Wieloletniej Prognozy Finansowej Gminy Rogoźno na lata 2015-2025
wedlug stanu na dzień 30 czerwca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</si>
</sst>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0%;[Red]\-0.00%"/>
  </numFmts>
  <fonts count="82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b/>
      <i/>
      <sz val="10"/>
      <color rgb="FFFF0000"/>
      <name val="Czcionka tekstu podstawowego"/>
      <charset val="238"/>
    </font>
    <font>
      <b/>
      <i/>
      <sz val="10"/>
      <color rgb="FF0070C0"/>
      <name val="Czcionka tekstu podstawowego"/>
      <charset val="238"/>
    </font>
    <font>
      <b/>
      <sz val="10"/>
      <color indexed="8"/>
      <name val="Czcionka tekstu podstawowego"/>
      <charset val="238"/>
    </font>
    <font>
      <b/>
      <i/>
      <sz val="12"/>
      <color rgb="FFFF0000"/>
      <name val="Czcionka tekstu podstawowego"/>
      <charset val="238"/>
    </font>
    <font>
      <sz val="12"/>
      <color theme="1"/>
      <name val="Czcionka tekstu podstawowego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color indexed="8"/>
      <name val="Czcionka tekstu podstawowego"/>
      <charset val="238"/>
    </font>
    <font>
      <b/>
      <i/>
      <sz val="9"/>
      <color rgb="FFFF0000"/>
      <name val="Czcionka tekstu podstawowego"/>
      <charset val="238"/>
    </font>
    <font>
      <b/>
      <i/>
      <sz val="8"/>
      <color indexed="8"/>
      <name val="Czcionka tekstu podstawowego"/>
      <charset val="238"/>
    </font>
    <font>
      <b/>
      <sz val="12"/>
      <color indexed="8"/>
      <name val="Czcionka tekstu podstawowego"/>
      <charset val="238"/>
    </font>
    <font>
      <b/>
      <sz val="9"/>
      <color theme="1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9"/>
      <color rgb="FFFF0000"/>
      <name val="Czcionka tekstu podstawowego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b/>
      <sz val="9"/>
      <name val="Czcionka tekstu podstawowego"/>
      <charset val="238"/>
    </font>
    <font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7"/>
      <name val="Times New Roman"/>
      <family val="1"/>
      <charset val="238"/>
    </font>
    <font>
      <b/>
      <sz val="8"/>
      <color indexed="8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9630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06">
    <xf numFmtId="0" fontId="0" fillId="0" borderId="0" applyNumberFormat="0" applyFont="0" applyFill="0" applyBorder="0" applyAlignment="0" applyProtection="0">
      <alignment vertical="top"/>
    </xf>
    <xf numFmtId="0" fontId="30" fillId="0" borderId="0"/>
    <xf numFmtId="0" fontId="44" fillId="0" borderId="0"/>
    <xf numFmtId="0" fontId="30" fillId="0" borderId="0"/>
    <xf numFmtId="9" fontId="44" fillId="0" borderId="0" applyFont="0" applyFill="0" applyBorder="0" applyAlignment="0" applyProtection="0"/>
    <xf numFmtId="0" fontId="1" fillId="0" borderId="0"/>
    <xf numFmtId="0" fontId="44" fillId="40" borderId="0" applyNumberFormat="0" applyBorder="0" applyAlignment="0" applyProtection="0"/>
    <xf numFmtId="0" fontId="1" fillId="10" borderId="0" applyNumberFormat="0" applyBorder="0" applyAlignment="0" applyProtection="0"/>
    <xf numFmtId="0" fontId="44" fillId="41" borderId="0" applyNumberFormat="0" applyBorder="0" applyAlignment="0" applyProtection="0"/>
    <xf numFmtId="0" fontId="1" fillId="14" borderId="0" applyNumberFormat="0" applyBorder="0" applyAlignment="0" applyProtection="0"/>
    <xf numFmtId="0" fontId="44" fillId="42" borderId="0" applyNumberFormat="0" applyBorder="0" applyAlignment="0" applyProtection="0"/>
    <xf numFmtId="0" fontId="1" fillId="18" borderId="0" applyNumberFormat="0" applyBorder="0" applyAlignment="0" applyProtection="0"/>
    <xf numFmtId="0" fontId="44" fillId="43" borderId="0" applyNumberFormat="0" applyBorder="0" applyAlignment="0" applyProtection="0"/>
    <xf numFmtId="0" fontId="1" fillId="22" borderId="0" applyNumberFormat="0" applyBorder="0" applyAlignment="0" applyProtection="0"/>
    <xf numFmtId="0" fontId="44" fillId="44" borderId="0" applyNumberFormat="0" applyBorder="0" applyAlignment="0" applyProtection="0"/>
    <xf numFmtId="0" fontId="1" fillId="26" borderId="0" applyNumberFormat="0" applyBorder="0" applyAlignment="0" applyProtection="0"/>
    <xf numFmtId="0" fontId="44" fillId="45" borderId="0" applyNumberFormat="0" applyBorder="0" applyAlignment="0" applyProtection="0"/>
    <xf numFmtId="0" fontId="1" fillId="30" borderId="0" applyNumberFormat="0" applyBorder="0" applyAlignment="0" applyProtection="0"/>
    <xf numFmtId="0" fontId="44" fillId="46" borderId="0" applyNumberFormat="0" applyBorder="0" applyAlignment="0" applyProtection="0"/>
    <xf numFmtId="0" fontId="1" fillId="11" borderId="0" applyNumberFormat="0" applyBorder="0" applyAlignment="0" applyProtection="0"/>
    <xf numFmtId="0" fontId="44" fillId="47" borderId="0" applyNumberFormat="0" applyBorder="0" applyAlignment="0" applyProtection="0"/>
    <xf numFmtId="0" fontId="1" fillId="15" borderId="0" applyNumberFormat="0" applyBorder="0" applyAlignment="0" applyProtection="0"/>
    <xf numFmtId="0" fontId="44" fillId="48" borderId="0" applyNumberFormat="0" applyBorder="0" applyAlignment="0" applyProtection="0"/>
    <xf numFmtId="0" fontId="1" fillId="19" borderId="0" applyNumberFormat="0" applyBorder="0" applyAlignment="0" applyProtection="0"/>
    <xf numFmtId="0" fontId="44" fillId="43" borderId="0" applyNumberFormat="0" applyBorder="0" applyAlignment="0" applyProtection="0"/>
    <xf numFmtId="0" fontId="1" fillId="23" borderId="0" applyNumberFormat="0" applyBorder="0" applyAlignment="0" applyProtection="0"/>
    <xf numFmtId="0" fontId="44" fillId="46" borderId="0" applyNumberFormat="0" applyBorder="0" applyAlignment="0" applyProtection="0"/>
    <xf numFmtId="0" fontId="1" fillId="27" borderId="0" applyNumberFormat="0" applyBorder="0" applyAlignment="0" applyProtection="0"/>
    <xf numFmtId="0" fontId="44" fillId="49" borderId="0" applyNumberFormat="0" applyBorder="0" applyAlignment="0" applyProtection="0"/>
    <xf numFmtId="0" fontId="1" fillId="31" borderId="0" applyNumberFormat="0" applyBorder="0" applyAlignment="0" applyProtection="0"/>
    <xf numFmtId="0" fontId="63" fillId="50" borderId="0" applyNumberFormat="0" applyBorder="0" applyAlignment="0" applyProtection="0"/>
    <xf numFmtId="0" fontId="29" fillId="12" borderId="0" applyNumberFormat="0" applyBorder="0" applyAlignment="0" applyProtection="0"/>
    <xf numFmtId="0" fontId="63" fillId="47" borderId="0" applyNumberFormat="0" applyBorder="0" applyAlignment="0" applyProtection="0"/>
    <xf numFmtId="0" fontId="29" fillId="16" borderId="0" applyNumberFormat="0" applyBorder="0" applyAlignment="0" applyProtection="0"/>
    <xf numFmtId="0" fontId="63" fillId="48" borderId="0" applyNumberFormat="0" applyBorder="0" applyAlignment="0" applyProtection="0"/>
    <xf numFmtId="0" fontId="29" fillId="20" borderId="0" applyNumberFormat="0" applyBorder="0" applyAlignment="0" applyProtection="0"/>
    <xf numFmtId="0" fontId="63" fillId="51" borderId="0" applyNumberFormat="0" applyBorder="0" applyAlignment="0" applyProtection="0"/>
    <xf numFmtId="0" fontId="29" fillId="24" borderId="0" applyNumberFormat="0" applyBorder="0" applyAlignment="0" applyProtection="0"/>
    <xf numFmtId="0" fontId="63" fillId="52" borderId="0" applyNumberFormat="0" applyBorder="0" applyAlignment="0" applyProtection="0"/>
    <xf numFmtId="0" fontId="29" fillId="28" borderId="0" applyNumberFormat="0" applyBorder="0" applyAlignment="0" applyProtection="0"/>
    <xf numFmtId="0" fontId="63" fillId="53" borderId="0" applyNumberFormat="0" applyBorder="0" applyAlignment="0" applyProtection="0"/>
    <xf numFmtId="0" fontId="29" fillId="32" borderId="0" applyNumberFormat="0" applyBorder="0" applyAlignment="0" applyProtection="0"/>
    <xf numFmtId="0" fontId="63" fillId="54" borderId="0" applyNumberFormat="0" applyBorder="0" applyAlignment="0" applyProtection="0"/>
    <xf numFmtId="0" fontId="29" fillId="9" borderId="0" applyNumberFormat="0" applyBorder="0" applyAlignment="0" applyProtection="0"/>
    <xf numFmtId="0" fontId="63" fillId="55" borderId="0" applyNumberFormat="0" applyBorder="0" applyAlignment="0" applyProtection="0"/>
    <xf numFmtId="0" fontId="29" fillId="13" borderId="0" applyNumberFormat="0" applyBorder="0" applyAlignment="0" applyProtection="0"/>
    <xf numFmtId="0" fontId="63" fillId="56" borderId="0" applyNumberFormat="0" applyBorder="0" applyAlignment="0" applyProtection="0"/>
    <xf numFmtId="0" fontId="29" fillId="17" borderId="0" applyNumberFormat="0" applyBorder="0" applyAlignment="0" applyProtection="0"/>
    <xf numFmtId="0" fontId="63" fillId="51" borderId="0" applyNumberFormat="0" applyBorder="0" applyAlignment="0" applyProtection="0"/>
    <xf numFmtId="0" fontId="29" fillId="21" borderId="0" applyNumberFormat="0" applyBorder="0" applyAlignment="0" applyProtection="0"/>
    <xf numFmtId="0" fontId="63" fillId="52" borderId="0" applyNumberFormat="0" applyBorder="0" applyAlignment="0" applyProtection="0"/>
    <xf numFmtId="0" fontId="29" fillId="25" borderId="0" applyNumberFormat="0" applyBorder="0" applyAlignment="0" applyProtection="0"/>
    <xf numFmtId="0" fontId="63" fillId="57" borderId="0" applyNumberFormat="0" applyBorder="0" applyAlignment="0" applyProtection="0"/>
    <xf numFmtId="0" fontId="29" fillId="29" borderId="0" applyNumberFormat="0" applyBorder="0" applyAlignment="0" applyProtection="0"/>
    <xf numFmtId="0" fontId="64" fillId="45" borderId="42" applyNumberFormat="0" applyAlignment="0" applyProtection="0"/>
    <xf numFmtId="0" fontId="21" fillId="5" borderId="14" applyNumberFormat="0" applyAlignment="0" applyProtection="0"/>
    <xf numFmtId="0" fontId="65" fillId="58" borderId="43" applyNumberFormat="0" applyAlignment="0" applyProtection="0"/>
    <xf numFmtId="0" fontId="22" fillId="6" borderId="15" applyNumberFormat="0" applyAlignment="0" applyProtection="0"/>
    <xf numFmtId="0" fontId="66" fillId="42" borderId="0" applyNumberFormat="0" applyBorder="0" applyAlignment="0" applyProtection="0"/>
    <xf numFmtId="0" fontId="18" fillId="2" borderId="0" applyNumberFormat="0" applyBorder="0" applyAlignment="0" applyProtection="0"/>
    <xf numFmtId="0" fontId="67" fillId="0" borderId="44" applyNumberFormat="0" applyFill="0" applyAlignment="0" applyProtection="0"/>
    <xf numFmtId="0" fontId="24" fillId="0" borderId="16" applyNumberFormat="0" applyFill="0" applyAlignment="0" applyProtection="0"/>
    <xf numFmtId="0" fontId="68" fillId="59" borderId="45" applyNumberFormat="0" applyAlignment="0" applyProtection="0"/>
    <xf numFmtId="0" fontId="25" fillId="7" borderId="17" applyNumberFormat="0" applyAlignment="0" applyProtection="0"/>
    <xf numFmtId="0" fontId="69" fillId="0" borderId="46" applyNumberFormat="0" applyFill="0" applyAlignment="0" applyProtection="0"/>
    <xf numFmtId="0" fontId="15" fillId="0" borderId="11" applyNumberFormat="0" applyFill="0" applyAlignment="0" applyProtection="0"/>
    <xf numFmtId="0" fontId="70" fillId="0" borderId="47" applyNumberFormat="0" applyFill="0" applyAlignment="0" applyProtection="0"/>
    <xf numFmtId="0" fontId="16" fillId="0" borderId="12" applyNumberFormat="0" applyFill="0" applyAlignment="0" applyProtection="0"/>
    <xf numFmtId="0" fontId="71" fillId="0" borderId="48" applyNumberFormat="0" applyFill="0" applyAlignment="0" applyProtection="0"/>
    <xf numFmtId="0" fontId="17" fillId="0" borderId="13" applyNumberFormat="0" applyFill="0" applyAlignment="0" applyProtection="0"/>
    <xf numFmtId="0" fontId="7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2" fillId="60" borderId="0" applyNumberFormat="0" applyBorder="0" applyAlignment="0" applyProtection="0"/>
    <xf numFmtId="0" fontId="20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/>
    <xf numFmtId="0" fontId="3" fillId="0" borderId="0"/>
    <xf numFmtId="0" fontId="3" fillId="0" borderId="0"/>
    <xf numFmtId="0" fontId="73" fillId="0" borderId="0" applyProtection="0"/>
    <xf numFmtId="0" fontId="44" fillId="0" borderId="0"/>
    <xf numFmtId="0" fontId="3" fillId="0" borderId="0"/>
    <xf numFmtId="0" fontId="3" fillId="0" borderId="0"/>
    <xf numFmtId="0" fontId="74" fillId="58" borderId="42" applyNumberFormat="0" applyAlignment="0" applyProtection="0"/>
    <xf numFmtId="0" fontId="23" fillId="6" borderId="14" applyNumberFormat="0" applyAlignment="0" applyProtection="0"/>
    <xf numFmtId="9" fontId="4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75" fillId="0" borderId="49" applyNumberFormat="0" applyFill="0" applyAlignment="0" applyProtection="0"/>
    <xf numFmtId="0" fontId="28" fillId="0" borderId="19" applyNumberFormat="0" applyFill="0" applyAlignment="0" applyProtection="0"/>
    <xf numFmtId="0" fontId="7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3" fillId="61" borderId="50" applyNumberFormat="0" applyFont="0" applyAlignment="0" applyProtection="0"/>
    <xf numFmtId="0" fontId="1" fillId="8" borderId="18" applyNumberFormat="0" applyFont="0" applyAlignment="0" applyProtection="0"/>
    <xf numFmtId="0" fontId="79" fillId="41" borderId="0" applyNumberFormat="0" applyBorder="0" applyAlignment="0" applyProtection="0"/>
    <xf numFmtId="0" fontId="19" fillId="3" borderId="0" applyNumberFormat="0" applyBorder="0" applyAlignment="0" applyProtection="0"/>
  </cellStyleXfs>
  <cellXfs count="325">
    <xf numFmtId="0" fontId="0" fillId="0" borderId="0" xfId="0" applyAlignment="1"/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lef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4" fontId="13" fillId="0" borderId="6" xfId="0" applyNumberFormat="1" applyFont="1" applyFill="1" applyBorder="1" applyAlignment="1" applyProtection="1">
      <alignment horizontal="right" vertical="top"/>
    </xf>
    <xf numFmtId="0" fontId="13" fillId="0" borderId="6" xfId="0" applyNumberFormat="1" applyFont="1" applyFill="1" applyBorder="1" applyAlignment="1" applyProtection="1">
      <alignment vertical="center" wrapText="1"/>
    </xf>
    <xf numFmtId="0" fontId="13" fillId="0" borderId="6" xfId="0" applyNumberFormat="1" applyFont="1" applyFill="1" applyBorder="1" applyAlignment="1" applyProtection="1">
      <alignment vertical="center"/>
    </xf>
    <xf numFmtId="0" fontId="13" fillId="0" borderId="2" xfId="0" quotePrefix="1" applyNumberFormat="1" applyFont="1" applyFill="1" applyBorder="1" applyAlignment="1" applyProtection="1">
      <alignment horizontal="left" vertical="top" wrapText="1"/>
    </xf>
    <xf numFmtId="0" fontId="13" fillId="0" borderId="6" xfId="0" applyNumberFormat="1" applyFont="1" applyFill="1" applyBorder="1" applyAlignment="1" applyProtection="1">
      <alignment vertical="top" wrapText="1"/>
    </xf>
    <xf numFmtId="0" fontId="3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9" xfId="0" applyNumberFormat="1" applyFont="1" applyFill="1" applyBorder="1" applyAlignment="1" applyProtection="1">
      <alignment horizontal="left" vertical="top" wrapText="1"/>
    </xf>
    <xf numFmtId="0" fontId="10" fillId="0" borderId="10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9" fontId="10" fillId="0" borderId="2" xfId="0" applyNumberFormat="1" applyFont="1" applyFill="1" applyBorder="1" applyAlignment="1" applyProtection="1">
      <alignment horizontal="left" vertical="top" wrapText="1"/>
    </xf>
    <xf numFmtId="4" fontId="13" fillId="0" borderId="1" xfId="0" applyNumberFormat="1" applyFont="1" applyFill="1" applyBorder="1" applyAlignment="1" applyProtection="1">
      <alignment horizontal="right" vertical="top"/>
    </xf>
    <xf numFmtId="0" fontId="13" fillId="0" borderId="8" xfId="0" quotePrefix="1" applyNumberFormat="1" applyFont="1" applyFill="1" applyBorder="1" applyAlignment="1" applyProtection="1">
      <alignment horizontal="left" vertical="top" wrapText="1"/>
    </xf>
    <xf numFmtId="49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6" xfId="0" applyNumberFormat="1" applyFont="1" applyFill="1" applyBorder="1" applyAlignment="1" applyProtection="1">
      <alignment horizontal="left" vertical="top" wrapText="1"/>
    </xf>
    <xf numFmtId="0" fontId="30" fillId="0" borderId="0" xfId="1" applyAlignment="1">
      <alignment horizontal="center" vertical="center"/>
    </xf>
    <xf numFmtId="0" fontId="31" fillId="0" borderId="0" xfId="1" applyFont="1"/>
    <xf numFmtId="0" fontId="32" fillId="0" borderId="0" xfId="1" applyFont="1" applyAlignment="1" applyProtection="1">
      <protection locked="0"/>
    </xf>
    <xf numFmtId="0" fontId="33" fillId="0" borderId="0" xfId="1" applyFont="1" applyProtection="1">
      <protection locked="0"/>
    </xf>
    <xf numFmtId="0" fontId="31" fillId="0" borderId="0" xfId="1" applyFont="1" applyProtection="1">
      <protection locked="0"/>
    </xf>
    <xf numFmtId="0" fontId="34" fillId="0" borderId="0" xfId="1" applyFont="1" applyAlignment="1" applyProtection="1">
      <alignment vertical="center"/>
      <protection locked="0"/>
    </xf>
    <xf numFmtId="0" fontId="30" fillId="0" borderId="0" xfId="1"/>
    <xf numFmtId="0" fontId="35" fillId="0" borderId="0" xfId="1" applyFont="1" applyProtection="1">
      <protection locked="0"/>
    </xf>
    <xf numFmtId="0" fontId="35" fillId="0" borderId="0" xfId="1" applyFont="1" applyAlignment="1" applyProtection="1">
      <protection locked="0"/>
    </xf>
    <xf numFmtId="0" fontId="36" fillId="0" borderId="0" xfId="1" applyFont="1" applyProtection="1">
      <protection locked="0"/>
    </xf>
    <xf numFmtId="0" fontId="30" fillId="0" borderId="0" xfId="1" applyAlignment="1" applyProtection="1">
      <protection locked="0"/>
    </xf>
    <xf numFmtId="0" fontId="30" fillId="0" borderId="0" xfId="1" applyProtection="1">
      <protection locked="0"/>
    </xf>
    <xf numFmtId="0" fontId="37" fillId="0" borderId="0" xfId="1" applyFont="1" applyAlignment="1" applyProtection="1">
      <alignment horizontal="right"/>
      <protection locked="0"/>
    </xf>
    <xf numFmtId="0" fontId="31" fillId="0" borderId="0" xfId="1" applyFont="1" applyAlignment="1" applyProtection="1">
      <protection locked="0"/>
    </xf>
    <xf numFmtId="49" fontId="38" fillId="0" borderId="0" xfId="1" applyNumberFormat="1" applyFont="1" applyAlignment="1" applyProtection="1">
      <alignment vertical="center"/>
      <protection locked="0"/>
    </xf>
    <xf numFmtId="0" fontId="37" fillId="0" borderId="0" xfId="1" applyFont="1" applyAlignment="1" applyProtection="1">
      <alignment horizontal="right" vertical="center"/>
      <protection locked="0"/>
    </xf>
    <xf numFmtId="0" fontId="31" fillId="0" borderId="0" xfId="1" applyFont="1" applyAlignment="1"/>
    <xf numFmtId="49" fontId="38" fillId="33" borderId="0" xfId="1" applyNumberFormat="1" applyFont="1" applyFill="1" applyAlignment="1" applyProtection="1">
      <alignment vertical="center"/>
      <protection locked="0"/>
    </xf>
    <xf numFmtId="0" fontId="31" fillId="0" borderId="0" xfId="1" applyFont="1" applyBorder="1" applyProtection="1">
      <protection locked="0"/>
    </xf>
    <xf numFmtId="0" fontId="34" fillId="0" borderId="0" xfId="1" applyFont="1" applyProtection="1">
      <protection locked="0"/>
    </xf>
    <xf numFmtId="0" fontId="39" fillId="0" borderId="0" xfId="1" applyFont="1" applyAlignment="1" applyProtection="1">
      <alignment horizontal="left"/>
      <protection locked="0"/>
    </xf>
    <xf numFmtId="0" fontId="40" fillId="0" borderId="0" xfId="1" applyFont="1" applyProtection="1">
      <protection locked="0"/>
    </xf>
    <xf numFmtId="0" fontId="37" fillId="0" borderId="0" xfId="1" applyFont="1" applyBorder="1" applyAlignment="1" applyProtection="1">
      <alignment horizontal="right" vertical="center"/>
      <protection locked="0"/>
    </xf>
    <xf numFmtId="0" fontId="38" fillId="33" borderId="0" xfId="1" applyFont="1" applyFill="1" applyBorder="1" applyAlignment="1" applyProtection="1">
      <alignment vertical="center"/>
      <protection locked="0"/>
    </xf>
    <xf numFmtId="0" fontId="31" fillId="0" borderId="0" xfId="1" applyFont="1" applyAlignment="1" applyProtection="1">
      <alignment vertical="center"/>
      <protection locked="0"/>
    </xf>
    <xf numFmtId="0" fontId="41" fillId="0" borderId="0" xfId="1" applyFont="1" applyBorder="1" applyAlignment="1" applyProtection="1">
      <alignment vertical="center"/>
      <protection locked="0"/>
    </xf>
    <xf numFmtId="0" fontId="39" fillId="0" borderId="0" xfId="1" applyFont="1" applyBorder="1" applyAlignment="1" applyProtection="1">
      <alignment wrapText="1"/>
      <protection locked="0"/>
    </xf>
    <xf numFmtId="0" fontId="38" fillId="0" borderId="20" xfId="1" applyFont="1" applyBorder="1" applyAlignment="1" applyProtection="1">
      <alignment horizontal="center" vertical="center" wrapText="1"/>
      <protection locked="0"/>
    </xf>
    <xf numFmtId="0" fontId="42" fillId="0" borderId="0" xfId="1" applyFont="1" applyBorder="1" applyAlignment="1" applyProtection="1">
      <alignment horizontal="left" vertical="center"/>
      <protection locked="0"/>
    </xf>
    <xf numFmtId="0" fontId="42" fillId="0" borderId="20" xfId="1" applyFont="1" applyBorder="1" applyAlignment="1" applyProtection="1">
      <alignment vertical="center" wrapText="1"/>
      <protection locked="0"/>
    </xf>
    <xf numFmtId="0" fontId="43" fillId="0" borderId="0" xfId="1" applyFont="1" applyAlignment="1">
      <alignment horizontal="left" vertical="center"/>
    </xf>
    <xf numFmtId="49" fontId="38" fillId="34" borderId="21" xfId="2" applyNumberFormat="1" applyFont="1" applyFill="1" applyBorder="1" applyAlignment="1">
      <alignment horizontal="center" vertical="center"/>
    </xf>
    <xf numFmtId="49" fontId="38" fillId="34" borderId="22" xfId="2" applyNumberFormat="1" applyFont="1" applyFill="1" applyBorder="1" applyAlignment="1" applyProtection="1">
      <alignment horizontal="center" vertical="center"/>
      <protection locked="0"/>
    </xf>
    <xf numFmtId="49" fontId="38" fillId="34" borderId="23" xfId="2" applyNumberFormat="1" applyFont="1" applyFill="1" applyBorder="1" applyAlignment="1">
      <alignment horizontal="center" vertical="center"/>
    </xf>
    <xf numFmtId="1" fontId="38" fillId="34" borderId="21" xfId="2" applyNumberFormat="1" applyFont="1" applyFill="1" applyBorder="1" applyAlignment="1">
      <alignment horizontal="center" vertical="center" wrapText="1"/>
    </xf>
    <xf numFmtId="1" fontId="38" fillId="34" borderId="24" xfId="2" applyNumberFormat="1" applyFont="1" applyFill="1" applyBorder="1" applyAlignment="1">
      <alignment horizontal="center" vertical="center" wrapText="1"/>
    </xf>
    <xf numFmtId="1" fontId="38" fillId="34" borderId="25" xfId="2" applyNumberFormat="1" applyFont="1" applyFill="1" applyBorder="1" applyAlignment="1">
      <alignment horizontal="center" vertical="center" wrapText="1"/>
    </xf>
    <xf numFmtId="1" fontId="38" fillId="34" borderId="26" xfId="2" applyNumberFormat="1" applyFont="1" applyFill="1" applyBorder="1" applyAlignment="1">
      <alignment horizontal="center" vertical="center"/>
    </xf>
    <xf numFmtId="1" fontId="38" fillId="34" borderId="24" xfId="2" applyNumberFormat="1" applyFont="1" applyFill="1" applyBorder="1" applyAlignment="1">
      <alignment horizontal="center" vertical="center"/>
    </xf>
    <xf numFmtId="0" fontId="45" fillId="0" borderId="27" xfId="1" applyFont="1" applyBorder="1" applyAlignment="1">
      <alignment horizontal="left" vertical="center"/>
    </xf>
    <xf numFmtId="0" fontId="45" fillId="0" borderId="28" xfId="1" applyFont="1" applyBorder="1" applyAlignment="1" applyProtection="1">
      <alignment horizontal="left" vertical="center"/>
      <protection locked="0"/>
    </xf>
    <xf numFmtId="0" fontId="45" fillId="0" borderId="29" xfId="1" applyFont="1" applyBorder="1" applyAlignment="1">
      <alignment vertical="center" wrapText="1"/>
    </xf>
    <xf numFmtId="164" fontId="46" fillId="35" borderId="27" xfId="2" applyNumberFormat="1" applyFont="1" applyFill="1" applyBorder="1" applyAlignment="1">
      <alignment vertical="center" shrinkToFit="1"/>
    </xf>
    <xf numFmtId="164" fontId="46" fillId="35" borderId="30" xfId="2" applyNumberFormat="1" applyFont="1" applyFill="1" applyBorder="1" applyAlignment="1">
      <alignment vertical="center" shrinkToFit="1"/>
    </xf>
    <xf numFmtId="164" fontId="46" fillId="35" borderId="31" xfId="2" applyNumberFormat="1" applyFont="1" applyFill="1" applyBorder="1" applyAlignment="1">
      <alignment vertical="center" shrinkToFit="1"/>
    </xf>
    <xf numFmtId="164" fontId="46" fillId="0" borderId="32" xfId="2" applyNumberFormat="1" applyFont="1" applyFill="1" applyBorder="1" applyAlignment="1">
      <alignment vertical="center" shrinkToFit="1"/>
    </xf>
    <xf numFmtId="164" fontId="46" fillId="0" borderId="30" xfId="2" applyNumberFormat="1" applyFont="1" applyFill="1" applyBorder="1" applyAlignment="1">
      <alignment vertical="center" shrinkToFit="1"/>
    </xf>
    <xf numFmtId="0" fontId="47" fillId="0" borderId="27" xfId="1" applyFont="1" applyBorder="1" applyAlignment="1">
      <alignment horizontal="left" vertical="center"/>
    </xf>
    <xf numFmtId="0" fontId="47" fillId="36" borderId="28" xfId="1" applyFont="1" applyFill="1" applyBorder="1" applyAlignment="1" applyProtection="1">
      <alignment horizontal="left" vertical="center"/>
      <protection locked="0"/>
    </xf>
    <xf numFmtId="0" fontId="47" fillId="0" borderId="28" xfId="1" applyFont="1" applyBorder="1" applyAlignment="1">
      <alignment horizontal="left" vertical="center" wrapText="1" indent="1"/>
    </xf>
    <xf numFmtId="164" fontId="48" fillId="35" borderId="27" xfId="2" applyNumberFormat="1" applyFont="1" applyFill="1" applyBorder="1" applyAlignment="1">
      <alignment vertical="center" shrinkToFit="1"/>
    </xf>
    <xf numFmtId="164" fontId="48" fillId="35" borderId="30" xfId="2" applyNumberFormat="1" applyFont="1" applyFill="1" applyBorder="1" applyAlignment="1">
      <alignment vertical="center" shrinkToFit="1"/>
    </xf>
    <xf numFmtId="164" fontId="48" fillId="35" borderId="31" xfId="2" applyNumberFormat="1" applyFont="1" applyFill="1" applyBorder="1" applyAlignment="1">
      <alignment vertical="center" shrinkToFit="1"/>
    </xf>
    <xf numFmtId="164" fontId="48" fillId="0" borderId="32" xfId="2" applyNumberFormat="1" applyFont="1" applyFill="1" applyBorder="1" applyAlignment="1">
      <alignment vertical="center" shrinkToFit="1"/>
    </xf>
    <xf numFmtId="164" fontId="48" fillId="0" borderId="30" xfId="2" applyNumberFormat="1" applyFont="1" applyFill="1" applyBorder="1" applyAlignment="1">
      <alignment vertical="center" shrinkToFit="1"/>
    </xf>
    <xf numFmtId="0" fontId="47" fillId="0" borderId="28" xfId="1" applyFont="1" applyBorder="1" applyAlignment="1" applyProtection="1">
      <alignment horizontal="left" vertical="center"/>
      <protection locked="0"/>
    </xf>
    <xf numFmtId="0" fontId="47" fillId="0" borderId="28" xfId="1" applyFont="1" applyBorder="1" applyAlignment="1">
      <alignment horizontal="left" vertical="center" wrapText="1" indent="2"/>
    </xf>
    <xf numFmtId="0" fontId="47" fillId="0" borderId="28" xfId="1" applyFont="1" applyBorder="1" applyAlignment="1">
      <alignment horizontal="left" vertical="center" wrapText="1" indent="3"/>
    </xf>
    <xf numFmtId="0" fontId="47" fillId="0" borderId="28" xfId="1" applyFont="1" applyBorder="1" applyAlignment="1">
      <alignment horizontal="left" vertical="center" wrapText="1" indent="4"/>
    </xf>
    <xf numFmtId="164" fontId="46" fillId="35" borderId="27" xfId="2" applyNumberFormat="1" applyFont="1" applyFill="1" applyBorder="1" applyAlignment="1">
      <alignment horizontal="center" vertical="center" shrinkToFit="1"/>
    </xf>
    <xf numFmtId="164" fontId="46" fillId="35" borderId="30" xfId="2" applyNumberFormat="1" applyFont="1" applyFill="1" applyBorder="1" applyAlignment="1">
      <alignment horizontal="center" vertical="center" shrinkToFit="1"/>
    </xf>
    <xf numFmtId="164" fontId="46" fillId="35" borderId="31" xfId="2" applyNumberFormat="1" applyFont="1" applyFill="1" applyBorder="1" applyAlignment="1">
      <alignment horizontal="center" vertical="center" shrinkToFit="1"/>
    </xf>
    <xf numFmtId="164" fontId="46" fillId="0" borderId="32" xfId="2" applyNumberFormat="1" applyFont="1" applyFill="1" applyBorder="1" applyAlignment="1">
      <alignment horizontal="center" vertical="center" shrinkToFit="1"/>
    </xf>
    <xf numFmtId="164" fontId="46" fillId="0" borderId="30" xfId="2" applyNumberFormat="1" applyFont="1" applyFill="1" applyBorder="1" applyAlignment="1">
      <alignment horizontal="center" vertical="center" shrinkToFit="1"/>
    </xf>
    <xf numFmtId="165" fontId="48" fillId="35" borderId="27" xfId="2" applyNumberFormat="1" applyFont="1" applyFill="1" applyBorder="1" applyAlignment="1">
      <alignment vertical="center" shrinkToFit="1"/>
    </xf>
    <xf numFmtId="165" fontId="48" fillId="35" borderId="30" xfId="2" applyNumberFormat="1" applyFont="1" applyFill="1" applyBorder="1" applyAlignment="1">
      <alignment vertical="center" shrinkToFit="1"/>
    </xf>
    <xf numFmtId="165" fontId="48" fillId="35" borderId="31" xfId="2" applyNumberFormat="1" applyFont="1" applyFill="1" applyBorder="1" applyAlignment="1">
      <alignment vertical="center" shrinkToFit="1"/>
    </xf>
    <xf numFmtId="165" fontId="48" fillId="0" borderId="32" xfId="2" applyNumberFormat="1" applyFont="1" applyFill="1" applyBorder="1" applyAlignment="1">
      <alignment vertical="center" shrinkToFit="1"/>
    </xf>
    <xf numFmtId="165" fontId="48" fillId="0" borderId="30" xfId="2" applyNumberFormat="1" applyFont="1" applyFill="1" applyBorder="1" applyAlignment="1">
      <alignment vertical="center" shrinkToFit="1"/>
    </xf>
    <xf numFmtId="0" fontId="47" fillId="0" borderId="27" xfId="1" applyFont="1" applyBorder="1" applyAlignment="1" applyProtection="1">
      <alignment horizontal="left" vertical="center"/>
      <protection locked="0"/>
    </xf>
    <xf numFmtId="0" fontId="47" fillId="0" borderId="29" xfId="1" applyFont="1" applyBorder="1" applyAlignment="1" applyProtection="1">
      <alignment horizontal="left" vertical="center" wrapText="1" indent="1"/>
      <protection locked="0"/>
    </xf>
    <xf numFmtId="0" fontId="48" fillId="0" borderId="32" xfId="2" applyNumberFormat="1" applyFont="1" applyFill="1" applyBorder="1" applyAlignment="1">
      <alignment horizontal="center" vertical="center" shrinkToFit="1"/>
    </xf>
    <xf numFmtId="0" fontId="48" fillId="0" borderId="30" xfId="2" applyNumberFormat="1" applyFont="1" applyFill="1" applyBorder="1" applyAlignment="1">
      <alignment horizontal="center" vertical="center" shrinkToFit="1"/>
    </xf>
    <xf numFmtId="0" fontId="47" fillId="0" borderId="28" xfId="1" quotePrefix="1" applyFont="1" applyBorder="1" applyAlignment="1">
      <alignment horizontal="left" vertical="center" wrapText="1" indent="2"/>
    </xf>
    <xf numFmtId="0" fontId="47" fillId="0" borderId="28" xfId="1" quotePrefix="1" applyFont="1" applyBorder="1" applyAlignment="1">
      <alignment horizontal="left" vertical="center" wrapText="1" indent="3"/>
    </xf>
    <xf numFmtId="0" fontId="45" fillId="0" borderId="29" xfId="1" applyFont="1" applyBorder="1" applyAlignment="1">
      <alignment horizontal="left" vertical="center" wrapText="1"/>
    </xf>
    <xf numFmtId="0" fontId="47" fillId="0" borderId="33" xfId="1" applyFont="1" applyBorder="1" applyAlignment="1">
      <alignment horizontal="left" vertical="center"/>
    </xf>
    <xf numFmtId="0" fontId="47" fillId="0" borderId="34" xfId="1" applyFont="1" applyBorder="1" applyAlignment="1" applyProtection="1">
      <alignment horizontal="left" vertical="center"/>
      <protection locked="0"/>
    </xf>
    <xf numFmtId="0" fontId="47" fillId="0" borderId="34" xfId="1" applyFont="1" applyBorder="1" applyAlignment="1">
      <alignment horizontal="left" vertical="center" wrapText="1" indent="1"/>
    </xf>
    <xf numFmtId="164" fontId="48" fillId="35" borderId="33" xfId="2" applyNumberFormat="1" applyFont="1" applyFill="1" applyBorder="1" applyAlignment="1">
      <alignment vertical="center" shrinkToFit="1"/>
    </xf>
    <xf numFmtId="164" fontId="48" fillId="35" borderId="35" xfId="2" applyNumberFormat="1" applyFont="1" applyFill="1" applyBorder="1" applyAlignment="1">
      <alignment vertical="center" shrinkToFit="1"/>
    </xf>
    <xf numFmtId="164" fontId="48" fillId="35" borderId="36" xfId="2" applyNumberFormat="1" applyFont="1" applyFill="1" applyBorder="1" applyAlignment="1">
      <alignment vertical="center" shrinkToFit="1"/>
    </xf>
    <xf numFmtId="164" fontId="48" fillId="0" borderId="37" xfId="2" applyNumberFormat="1" applyFont="1" applyFill="1" applyBorder="1" applyAlignment="1">
      <alignment vertical="center" shrinkToFit="1"/>
    </xf>
    <xf numFmtId="164" fontId="48" fillId="0" borderId="35" xfId="2" applyNumberFormat="1" applyFont="1" applyFill="1" applyBorder="1" applyAlignment="1">
      <alignment vertical="center" shrinkToFit="1"/>
    </xf>
    <xf numFmtId="0" fontId="45" fillId="0" borderId="27" xfId="3" applyFont="1" applyBorder="1" applyAlignment="1">
      <alignment horizontal="left" vertical="center"/>
    </xf>
    <xf numFmtId="0" fontId="47" fillId="0" borderId="0" xfId="1" applyFont="1" applyBorder="1" applyAlignment="1" applyProtection="1">
      <alignment horizontal="left" vertical="center"/>
      <protection locked="0"/>
    </xf>
    <xf numFmtId="0" fontId="45" fillId="0" borderId="29" xfId="3" applyFont="1" applyBorder="1" applyAlignment="1">
      <alignment vertical="center" wrapText="1"/>
    </xf>
    <xf numFmtId="0" fontId="47" fillId="0" borderId="27" xfId="3" applyFont="1" applyBorder="1" applyAlignment="1">
      <alignment horizontal="left" vertical="center"/>
    </xf>
    <xf numFmtId="0" fontId="47" fillId="0" borderId="28" xfId="3" applyFont="1" applyBorder="1" applyAlignment="1">
      <alignment horizontal="left" vertical="center" wrapText="1" indent="1"/>
    </xf>
    <xf numFmtId="164" fontId="48" fillId="35" borderId="27" xfId="2" applyNumberFormat="1" applyFont="1" applyFill="1" applyBorder="1" applyAlignment="1">
      <alignment horizontal="center" vertical="center" shrinkToFit="1"/>
    </xf>
    <xf numFmtId="164" fontId="48" fillId="35" borderId="30" xfId="2" applyNumberFormat="1" applyFont="1" applyFill="1" applyBorder="1" applyAlignment="1">
      <alignment horizontal="center" vertical="center" shrinkToFit="1"/>
    </xf>
    <xf numFmtId="164" fontId="48" fillId="35" borderId="31" xfId="2" applyNumberFormat="1" applyFont="1" applyFill="1" applyBorder="1" applyAlignment="1">
      <alignment horizontal="center" vertical="center" shrinkToFit="1"/>
    </xf>
    <xf numFmtId="10" fontId="48" fillId="0" borderId="32" xfId="4" applyNumberFormat="1" applyFont="1" applyFill="1" applyBorder="1" applyAlignment="1">
      <alignment vertical="center" shrinkToFit="1"/>
    </xf>
    <xf numFmtId="0" fontId="47" fillId="0" borderId="33" xfId="3" applyFont="1" applyBorder="1" applyAlignment="1">
      <alignment horizontal="left" vertical="center"/>
    </xf>
    <xf numFmtId="0" fontId="47" fillId="0" borderId="20" xfId="1" applyFont="1" applyBorder="1" applyAlignment="1" applyProtection="1">
      <alignment horizontal="left" vertical="center"/>
      <protection locked="0"/>
    </xf>
    <xf numFmtId="0" fontId="47" fillId="0" borderId="34" xfId="3" applyFont="1" applyBorder="1" applyAlignment="1">
      <alignment horizontal="left" vertical="center" wrapText="1" indent="1"/>
    </xf>
    <xf numFmtId="164" fontId="48" fillId="35" borderId="33" xfId="2" applyNumberFormat="1" applyFont="1" applyFill="1" applyBorder="1" applyAlignment="1">
      <alignment horizontal="center" vertical="center" shrinkToFit="1"/>
    </xf>
    <xf numFmtId="164" fontId="48" fillId="35" borderId="35" xfId="2" applyNumberFormat="1" applyFont="1" applyFill="1" applyBorder="1" applyAlignment="1">
      <alignment horizontal="center" vertical="center" shrinkToFit="1"/>
    </xf>
    <xf numFmtId="164" fontId="48" fillId="35" borderId="36" xfId="2" applyNumberFormat="1" applyFont="1" applyFill="1" applyBorder="1" applyAlignment="1">
      <alignment horizontal="center" vertical="center" shrinkToFit="1"/>
    </xf>
    <xf numFmtId="10" fontId="48" fillId="0" borderId="37" xfId="4" applyNumberFormat="1" applyFont="1" applyFill="1" applyBorder="1" applyAlignment="1">
      <alignment vertical="center" shrinkToFit="1"/>
    </xf>
    <xf numFmtId="0" fontId="31" fillId="0" borderId="0" xfId="1" applyFont="1" applyBorder="1" applyAlignment="1" applyProtection="1">
      <alignment vertical="center"/>
      <protection locked="0"/>
    </xf>
    <xf numFmtId="0" fontId="50" fillId="0" borderId="0" xfId="1" applyFont="1" applyBorder="1" applyAlignment="1" applyProtection="1">
      <alignment vertical="center"/>
      <protection locked="0"/>
    </xf>
    <xf numFmtId="0" fontId="39" fillId="0" borderId="0" xfId="1" applyFont="1" applyBorder="1" applyAlignment="1" applyProtection="1">
      <alignment vertical="center"/>
      <protection locked="0"/>
    </xf>
    <xf numFmtId="0" fontId="51" fillId="0" borderId="0" xfId="1" applyFont="1" applyBorder="1" applyAlignment="1" applyProtection="1">
      <alignment vertical="center"/>
      <protection locked="0"/>
    </xf>
    <xf numFmtId="0" fontId="52" fillId="0" borderId="0" xfId="1" applyFont="1" applyBorder="1" applyAlignment="1" applyProtection="1">
      <alignment vertical="center" wrapText="1"/>
      <protection locked="0"/>
    </xf>
    <xf numFmtId="0" fontId="52" fillId="0" borderId="0" xfId="1" applyFont="1" applyBorder="1" applyAlignment="1" applyProtection="1">
      <alignment vertical="center"/>
      <protection locked="0"/>
    </xf>
    <xf numFmtId="0" fontId="53" fillId="0" borderId="0" xfId="1" applyFont="1" applyBorder="1" applyAlignment="1" applyProtection="1">
      <alignment horizontal="left" vertical="center"/>
      <protection locked="0"/>
    </xf>
    <xf numFmtId="0" fontId="52" fillId="0" borderId="0" xfId="1" applyFont="1" applyBorder="1" applyAlignment="1" applyProtection="1">
      <alignment horizontal="left" vertical="center" wrapText="1"/>
      <protection locked="0"/>
    </xf>
    <xf numFmtId="0" fontId="54" fillId="0" borderId="0" xfId="1" applyFont="1" applyFill="1" applyBorder="1" applyAlignment="1" applyProtection="1">
      <alignment horizontal="left" vertical="center"/>
      <protection locked="0"/>
    </xf>
    <xf numFmtId="0" fontId="54" fillId="37" borderId="0" xfId="1" applyFont="1" applyFill="1" applyBorder="1" applyAlignment="1" applyProtection="1">
      <alignment horizontal="left" vertical="center" wrapText="1"/>
      <protection locked="0"/>
    </xf>
    <xf numFmtId="0" fontId="54" fillId="38" borderId="0" xfId="1" applyFont="1" applyFill="1" applyBorder="1" applyAlignment="1" applyProtection="1">
      <alignment horizontal="left" vertical="center" wrapText="1"/>
      <protection locked="0"/>
    </xf>
    <xf numFmtId="0" fontId="54" fillId="36" borderId="0" xfId="1" applyFont="1" applyFill="1" applyBorder="1" applyAlignment="1" applyProtection="1">
      <alignment horizontal="left" vertical="center" wrapText="1"/>
      <protection locked="0"/>
    </xf>
    <xf numFmtId="0" fontId="54" fillId="0" borderId="20" xfId="1" applyFont="1" applyFill="1" applyBorder="1" applyAlignment="1" applyProtection="1">
      <alignment vertical="center"/>
      <protection locked="0"/>
    </xf>
    <xf numFmtId="0" fontId="55" fillId="0" borderId="20" xfId="1" applyFont="1" applyFill="1" applyBorder="1" applyAlignment="1" applyProtection="1">
      <alignment vertical="center"/>
      <protection locked="0"/>
    </xf>
    <xf numFmtId="0" fontId="56" fillId="0" borderId="38" xfId="5" applyFont="1" applyBorder="1" applyAlignment="1">
      <alignment vertical="center"/>
    </xf>
    <xf numFmtId="0" fontId="57" fillId="0" borderId="22" xfId="5" applyFont="1" applyBorder="1" applyAlignment="1">
      <alignment vertical="center"/>
    </xf>
    <xf numFmtId="0" fontId="54" fillId="37" borderId="23" xfId="1" applyFont="1" applyFill="1" applyBorder="1" applyAlignment="1">
      <alignment horizontal="left" vertical="center" wrapText="1"/>
    </xf>
    <xf numFmtId="0" fontId="54" fillId="35" borderId="21" xfId="1" applyFont="1" applyFill="1" applyBorder="1" applyAlignment="1">
      <alignment horizontal="center" vertical="center" wrapText="1"/>
    </xf>
    <xf numFmtId="0" fontId="54" fillId="35" borderId="24" xfId="1" applyFont="1" applyFill="1" applyBorder="1" applyAlignment="1">
      <alignment horizontal="center" vertical="center" wrapText="1"/>
    </xf>
    <xf numFmtId="0" fontId="54" fillId="35" borderId="25" xfId="1" applyFont="1" applyFill="1" applyBorder="1" applyAlignment="1">
      <alignment horizontal="center" vertical="center" wrapText="1"/>
    </xf>
    <xf numFmtId="0" fontId="31" fillId="0" borderId="26" xfId="1" applyFont="1" applyBorder="1" applyAlignment="1">
      <alignment horizontal="center" vertical="center"/>
    </xf>
    <xf numFmtId="0" fontId="31" fillId="0" borderId="24" xfId="1" applyFont="1" applyBorder="1" applyAlignment="1">
      <alignment horizontal="center" vertical="center"/>
    </xf>
    <xf numFmtId="0" fontId="56" fillId="0" borderId="39" xfId="5" applyFont="1" applyBorder="1" applyAlignment="1">
      <alignment vertical="center"/>
    </xf>
    <xf numFmtId="0" fontId="57" fillId="0" borderId="28" xfId="5" applyFont="1" applyBorder="1" applyAlignment="1">
      <alignment vertical="center"/>
    </xf>
    <xf numFmtId="0" fontId="54" fillId="37" borderId="29" xfId="1" applyFont="1" applyFill="1" applyBorder="1" applyAlignment="1">
      <alignment horizontal="left" vertical="center" wrapText="1"/>
    </xf>
    <xf numFmtId="0" fontId="54" fillId="35" borderId="27" xfId="1" applyFont="1" applyFill="1" applyBorder="1" applyAlignment="1">
      <alignment horizontal="center" vertical="center" wrapText="1"/>
    </xf>
    <xf numFmtId="0" fontId="54" fillId="35" borderId="30" xfId="1" applyFont="1" applyFill="1" applyBorder="1" applyAlignment="1">
      <alignment horizontal="center" vertical="center" wrapText="1"/>
    </xf>
    <xf numFmtId="0" fontId="54" fillId="35" borderId="31" xfId="1" applyFont="1" applyFill="1" applyBorder="1" applyAlignment="1">
      <alignment horizontal="center" vertical="center" wrapText="1"/>
    </xf>
    <xf numFmtId="0" fontId="31" fillId="0" borderId="32" xfId="1" applyFont="1" applyBorder="1" applyAlignment="1">
      <alignment horizontal="center" vertical="center"/>
    </xf>
    <xf numFmtId="0" fontId="31" fillId="0" borderId="30" xfId="1" applyFont="1" applyBorder="1" applyAlignment="1">
      <alignment horizontal="center" vertical="center"/>
    </xf>
    <xf numFmtId="0" fontId="54" fillId="38" borderId="29" xfId="1" applyFont="1" applyFill="1" applyBorder="1" applyAlignment="1">
      <alignment horizontal="left" vertical="center" wrapText="1"/>
    </xf>
    <xf numFmtId="164" fontId="58" fillId="0" borderId="32" xfId="1" applyNumberFormat="1" applyFont="1" applyFill="1" applyBorder="1" applyAlignment="1">
      <alignment horizontal="center" vertical="center"/>
    </xf>
    <xf numFmtId="164" fontId="58" fillId="0" borderId="30" xfId="1" applyNumberFormat="1" applyFont="1" applyFill="1" applyBorder="1" applyAlignment="1">
      <alignment horizontal="center" vertical="center"/>
    </xf>
    <xf numFmtId="0" fontId="59" fillId="0" borderId="39" xfId="5" applyFont="1" applyBorder="1" applyAlignment="1">
      <alignment vertical="center"/>
    </xf>
    <xf numFmtId="0" fontId="60" fillId="0" borderId="28" xfId="5" applyFont="1" applyBorder="1" applyAlignment="1">
      <alignment vertical="center"/>
    </xf>
    <xf numFmtId="0" fontId="54" fillId="35" borderId="27" xfId="1" applyFont="1" applyFill="1" applyBorder="1" applyAlignment="1">
      <alignment horizontal="center" vertical="center"/>
    </xf>
    <xf numFmtId="0" fontId="54" fillId="36" borderId="29" xfId="1" applyFont="1" applyFill="1" applyBorder="1" applyAlignment="1">
      <alignment horizontal="left" vertical="center" wrapText="1"/>
    </xf>
    <xf numFmtId="0" fontId="58" fillId="0" borderId="32" xfId="1" applyNumberFormat="1" applyFont="1" applyFill="1" applyBorder="1" applyAlignment="1">
      <alignment horizontal="center" vertical="center"/>
    </xf>
    <xf numFmtId="0" fontId="58" fillId="0" borderId="30" xfId="1" applyNumberFormat="1" applyFont="1" applyFill="1" applyBorder="1" applyAlignment="1">
      <alignment horizontal="center" vertical="center"/>
    </xf>
    <xf numFmtId="0" fontId="56" fillId="0" borderId="40" xfId="5" applyFont="1" applyBorder="1" applyAlignment="1">
      <alignment vertical="center"/>
    </xf>
    <xf numFmtId="0" fontId="57" fillId="0" borderId="34" xfId="5" applyFont="1" applyBorder="1" applyAlignment="1">
      <alignment vertical="center"/>
    </xf>
    <xf numFmtId="0" fontId="54" fillId="36" borderId="41" xfId="1" applyFont="1" applyFill="1" applyBorder="1" applyAlignment="1">
      <alignment horizontal="left" vertical="center" wrapText="1"/>
    </xf>
    <xf numFmtId="0" fontId="54" fillId="35" borderId="33" xfId="1" applyFont="1" applyFill="1" applyBorder="1" applyAlignment="1">
      <alignment horizontal="center" vertical="center" wrapText="1"/>
    </xf>
    <xf numFmtId="0" fontId="54" fillId="35" borderId="35" xfId="1" applyFont="1" applyFill="1" applyBorder="1" applyAlignment="1">
      <alignment horizontal="center" vertical="center" wrapText="1"/>
    </xf>
    <xf numFmtId="0" fontId="54" fillId="35" borderId="36" xfId="1" applyFont="1" applyFill="1" applyBorder="1" applyAlignment="1">
      <alignment horizontal="center" vertical="center" wrapText="1"/>
    </xf>
    <xf numFmtId="0" fontId="31" fillId="0" borderId="37" xfId="1" applyFont="1" applyBorder="1" applyAlignment="1">
      <alignment horizontal="center" vertical="center"/>
    </xf>
    <xf numFmtId="0" fontId="31" fillId="0" borderId="35" xfId="1" applyFont="1" applyBorder="1" applyAlignment="1">
      <alignment horizontal="center" vertical="center"/>
    </xf>
    <xf numFmtId="0" fontId="52" fillId="0" borderId="0" xfId="1" applyFont="1" applyBorder="1" applyAlignment="1">
      <alignment horizontal="center" vertical="center"/>
    </xf>
    <xf numFmtId="0" fontId="52" fillId="0" borderId="0" xfId="1" applyFont="1" applyBorder="1" applyAlignment="1">
      <alignment vertical="center" wrapText="1"/>
    </xf>
    <xf numFmtId="0" fontId="31" fillId="0" borderId="0" xfId="1" applyFont="1" applyBorder="1" applyAlignment="1">
      <alignment vertical="center"/>
    </xf>
    <xf numFmtId="0" fontId="61" fillId="0" borderId="0" xfId="1" applyFont="1"/>
    <xf numFmtId="0" fontId="61" fillId="0" borderId="0" xfId="1" applyFont="1" applyAlignment="1"/>
    <xf numFmtId="0" fontId="48" fillId="39" borderId="38" xfId="1" applyFont="1" applyFill="1" applyBorder="1" applyAlignment="1">
      <alignment vertical="center"/>
    </xf>
    <xf numFmtId="4" fontId="48" fillId="35" borderId="21" xfId="1" applyNumberFormat="1" applyFont="1" applyFill="1" applyBorder="1" applyAlignment="1">
      <alignment vertical="center"/>
    </xf>
    <xf numFmtId="4" fontId="48" fillId="35" borderId="24" xfId="1" applyNumberFormat="1" applyFont="1" applyFill="1" applyBorder="1" applyAlignment="1">
      <alignment vertical="center"/>
    </xf>
    <xf numFmtId="4" fontId="48" fillId="35" borderId="25" xfId="1" applyNumberFormat="1" applyFont="1" applyFill="1" applyBorder="1" applyAlignment="1">
      <alignment vertical="center"/>
    </xf>
    <xf numFmtId="4" fontId="48" fillId="0" borderId="26" xfId="1" applyNumberFormat="1" applyFont="1" applyBorder="1" applyAlignment="1">
      <alignment vertical="center"/>
    </xf>
    <xf numFmtId="4" fontId="48" fillId="0" borderId="24" xfId="1" applyNumberFormat="1" applyFont="1" applyBorder="1" applyAlignment="1">
      <alignment vertical="center"/>
    </xf>
    <xf numFmtId="0" fontId="48" fillId="39" borderId="39" xfId="1" applyFont="1" applyFill="1" applyBorder="1" applyAlignment="1">
      <alignment vertical="center"/>
    </xf>
    <xf numFmtId="4" fontId="48" fillId="35" borderId="27" xfId="1" applyNumberFormat="1" applyFont="1" applyFill="1" applyBorder="1" applyAlignment="1">
      <alignment vertical="center"/>
    </xf>
    <xf numFmtId="4" fontId="48" fillId="35" borderId="30" xfId="1" applyNumberFormat="1" applyFont="1" applyFill="1" applyBorder="1" applyAlignment="1">
      <alignment vertical="center"/>
    </xf>
    <xf numFmtId="4" fontId="48" fillId="35" borderId="31" xfId="1" applyNumberFormat="1" applyFont="1" applyFill="1" applyBorder="1" applyAlignment="1">
      <alignment vertical="center"/>
    </xf>
    <xf numFmtId="4" fontId="48" fillId="0" borderId="32" xfId="1" applyNumberFormat="1" applyFont="1" applyBorder="1" applyAlignment="1">
      <alignment vertical="center"/>
    </xf>
    <xf numFmtId="4" fontId="48" fillId="0" borderId="30" xfId="1" applyNumberFormat="1" applyFont="1" applyBorder="1" applyAlignment="1">
      <alignment vertical="center"/>
    </xf>
    <xf numFmtId="0" fontId="62" fillId="39" borderId="39" xfId="1" applyFont="1" applyFill="1" applyBorder="1" applyAlignment="1">
      <alignment horizontal="left" vertical="center" wrapText="1"/>
    </xf>
    <xf numFmtId="4" fontId="48" fillId="35" borderId="27" xfId="1" applyNumberFormat="1" applyFont="1" applyFill="1" applyBorder="1" applyAlignment="1">
      <alignment horizontal="center" vertical="center"/>
    </xf>
    <xf numFmtId="4" fontId="48" fillId="35" borderId="30" xfId="1" applyNumberFormat="1" applyFont="1" applyFill="1" applyBorder="1" applyAlignment="1">
      <alignment horizontal="center" vertical="center"/>
    </xf>
    <xf numFmtId="0" fontId="62" fillId="39" borderId="40" xfId="1" applyFont="1" applyFill="1" applyBorder="1" applyAlignment="1">
      <alignment horizontal="left" vertical="center" wrapText="1"/>
    </xf>
    <xf numFmtId="4" fontId="48" fillId="35" borderId="33" xfId="1" applyNumberFormat="1" applyFont="1" applyFill="1" applyBorder="1" applyAlignment="1">
      <alignment horizontal="center" vertical="center"/>
    </xf>
    <xf numFmtId="4" fontId="48" fillId="35" borderId="35" xfId="1" applyNumberFormat="1" applyFont="1" applyFill="1" applyBorder="1" applyAlignment="1">
      <alignment vertical="center"/>
    </xf>
    <xf numFmtId="4" fontId="48" fillId="35" borderId="35" xfId="1" applyNumberFormat="1" applyFont="1" applyFill="1" applyBorder="1" applyAlignment="1">
      <alignment horizontal="center" vertical="center"/>
    </xf>
    <xf numFmtId="4" fontId="48" fillId="35" borderId="36" xfId="1" applyNumberFormat="1" applyFont="1" applyFill="1" applyBorder="1" applyAlignment="1">
      <alignment vertical="center"/>
    </xf>
    <xf numFmtId="4" fontId="48" fillId="0" borderId="37" xfId="1" applyNumberFormat="1" applyFont="1" applyBorder="1" applyAlignment="1">
      <alignment vertical="center"/>
    </xf>
    <xf numFmtId="4" fontId="48" fillId="0" borderId="35" xfId="1" applyNumberFormat="1" applyFont="1" applyBorder="1" applyAlignment="1">
      <alignment vertical="center"/>
    </xf>
    <xf numFmtId="0" fontId="31" fillId="0" borderId="0" xfId="1" applyFont="1" applyFill="1"/>
    <xf numFmtId="0" fontId="7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" fontId="12" fillId="0" borderId="2" xfId="0" applyNumberFormat="1" applyFont="1" applyFill="1" applyBorder="1" applyAlignment="1" applyProtection="1">
      <alignment horizontal="right" vertical="top"/>
    </xf>
    <xf numFmtId="4" fontId="13" fillId="0" borderId="2" xfId="0" applyNumberFormat="1" applyFont="1" applyFill="1" applyBorder="1" applyAlignment="1" applyProtection="1">
      <alignment horizontal="right" vertical="top"/>
    </xf>
    <xf numFmtId="4" fontId="12" fillId="0" borderId="8" xfId="0" applyNumberFormat="1" applyFont="1" applyFill="1" applyBorder="1" applyAlignment="1" applyProtection="1">
      <alignment horizontal="right" vertical="top"/>
    </xf>
    <xf numFmtId="4" fontId="13" fillId="0" borderId="8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9" fillId="0" borderId="3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right" vertical="top"/>
    </xf>
    <xf numFmtId="4" fontId="13" fillId="0" borderId="3" xfId="0" applyNumberFormat="1" applyFont="1" applyFill="1" applyBorder="1" applyAlignment="1" applyProtection="1">
      <alignment horizontal="right" vertical="top"/>
    </xf>
    <xf numFmtId="4" fontId="12" fillId="0" borderId="10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vertical="top"/>
    </xf>
    <xf numFmtId="0" fontId="7" fillId="39" borderId="55" xfId="0" applyNumberFormat="1" applyFont="1" applyFill="1" applyBorder="1" applyAlignment="1" applyProtection="1">
      <alignment horizontal="center" vertical="top"/>
    </xf>
    <xf numFmtId="0" fontId="80" fillId="39" borderId="56" xfId="0" applyNumberFormat="1" applyFont="1" applyFill="1" applyBorder="1" applyAlignment="1" applyProtection="1">
      <alignment horizontal="center" vertical="top" wrapText="1"/>
    </xf>
    <xf numFmtId="0" fontId="2" fillId="39" borderId="55" xfId="0" applyNumberFormat="1" applyFont="1" applyFill="1" applyBorder="1" applyAlignment="1" applyProtection="1">
      <alignment horizontal="center" vertical="top"/>
    </xf>
    <xf numFmtId="4" fontId="12" fillId="39" borderId="63" xfId="0" applyNumberFormat="1" applyFont="1" applyFill="1" applyBorder="1" applyAlignment="1" applyProtection="1">
      <alignment horizontal="right" vertical="top"/>
    </xf>
    <xf numFmtId="4" fontId="13" fillId="39" borderId="63" xfId="0" applyNumberFormat="1" applyFont="1" applyFill="1" applyBorder="1" applyAlignment="1" applyProtection="1">
      <alignment horizontal="right" vertical="top"/>
    </xf>
    <xf numFmtId="4" fontId="12" fillId="39" borderId="55" xfId="0" applyNumberFormat="1" applyFont="1" applyFill="1" applyBorder="1" applyAlignment="1" applyProtection="1">
      <alignment horizontal="right" vertical="top"/>
    </xf>
    <xf numFmtId="4" fontId="13" fillId="39" borderId="55" xfId="0" applyNumberFormat="1" applyFont="1" applyFill="1" applyBorder="1" applyAlignment="1" applyProtection="1">
      <alignment horizontal="right" vertical="top"/>
    </xf>
    <xf numFmtId="4" fontId="12" fillId="39" borderId="64" xfId="0" applyNumberFormat="1" applyFont="1" applyFill="1" applyBorder="1" applyAlignment="1" applyProtection="1">
      <alignment horizontal="right" vertical="top"/>
    </xf>
    <xf numFmtId="4" fontId="13" fillId="39" borderId="57" xfId="0" applyNumberFormat="1" applyFont="1" applyFill="1" applyBorder="1" applyAlignment="1" applyProtection="1">
      <alignment horizontal="right" vertical="top"/>
    </xf>
    <xf numFmtId="0" fontId="3" fillId="39" borderId="55" xfId="0" applyNumberFormat="1" applyFont="1" applyFill="1" applyBorder="1" applyAlignment="1" applyProtection="1">
      <alignment horizontal="right" vertical="top"/>
    </xf>
    <xf numFmtId="1" fontId="38" fillId="34" borderId="22" xfId="2" applyNumberFormat="1" applyFont="1" applyFill="1" applyBorder="1" applyAlignment="1">
      <alignment horizontal="center" vertical="center"/>
    </xf>
    <xf numFmtId="164" fontId="46" fillId="0" borderId="28" xfId="2" applyNumberFormat="1" applyFont="1" applyFill="1" applyBorder="1" applyAlignment="1">
      <alignment vertical="center" shrinkToFit="1"/>
    </xf>
    <xf numFmtId="164" fontId="48" fillId="0" borderId="28" xfId="2" applyNumberFormat="1" applyFont="1" applyFill="1" applyBorder="1" applyAlignment="1">
      <alignment vertical="center" shrinkToFit="1"/>
    </xf>
    <xf numFmtId="164" fontId="46" fillId="0" borderId="28" xfId="2" applyNumberFormat="1" applyFont="1" applyFill="1" applyBorder="1" applyAlignment="1">
      <alignment horizontal="center" vertical="center" shrinkToFit="1"/>
    </xf>
    <xf numFmtId="165" fontId="48" fillId="0" borderId="28" xfId="2" applyNumberFormat="1" applyFont="1" applyFill="1" applyBorder="1" applyAlignment="1">
      <alignment vertical="center" shrinkToFit="1"/>
    </xf>
    <xf numFmtId="0" fontId="48" fillId="0" borderId="28" xfId="2" applyNumberFormat="1" applyFont="1" applyFill="1" applyBorder="1" applyAlignment="1">
      <alignment horizontal="center" vertical="center" shrinkToFit="1"/>
    </xf>
    <xf numFmtId="164" fontId="48" fillId="0" borderId="34" xfId="2" applyNumberFormat="1" applyFont="1" applyFill="1" applyBorder="1" applyAlignment="1">
      <alignment vertical="center" shrinkToFit="1"/>
    </xf>
    <xf numFmtId="10" fontId="48" fillId="0" borderId="28" xfId="4" applyNumberFormat="1" applyFont="1" applyFill="1" applyBorder="1" applyAlignment="1">
      <alignment vertical="center" shrinkToFit="1"/>
    </xf>
    <xf numFmtId="10" fontId="48" fillId="0" borderId="34" xfId="4" applyNumberFormat="1" applyFont="1" applyFill="1" applyBorder="1" applyAlignment="1">
      <alignment vertical="center" shrinkToFit="1"/>
    </xf>
    <xf numFmtId="10" fontId="46" fillId="39" borderId="68" xfId="2" applyNumberFormat="1" applyFont="1" applyFill="1" applyBorder="1" applyAlignment="1">
      <alignment vertical="center" shrinkToFit="1"/>
    </xf>
    <xf numFmtId="10" fontId="48" fillId="39" borderId="68" xfId="2" applyNumberFormat="1" applyFont="1" applyFill="1" applyBorder="1" applyAlignment="1">
      <alignment vertical="center" shrinkToFit="1"/>
    </xf>
    <xf numFmtId="164" fontId="48" fillId="39" borderId="67" xfId="2" applyNumberFormat="1" applyFont="1" applyFill="1" applyBorder="1" applyAlignment="1">
      <alignment vertical="center" shrinkToFit="1"/>
    </xf>
    <xf numFmtId="164" fontId="46" fillId="39" borderId="67" xfId="2" applyNumberFormat="1" applyFont="1" applyFill="1" applyBorder="1" applyAlignment="1">
      <alignment vertical="center" shrinkToFit="1"/>
    </xf>
    <xf numFmtId="164" fontId="46" fillId="39" borderId="67" xfId="2" applyNumberFormat="1" applyFont="1" applyFill="1" applyBorder="1" applyAlignment="1">
      <alignment horizontal="center" vertical="center" shrinkToFit="1"/>
    </xf>
    <xf numFmtId="10" fontId="46" fillId="39" borderId="68" xfId="2" applyNumberFormat="1" applyFont="1" applyFill="1" applyBorder="1" applyAlignment="1">
      <alignment horizontal="center" vertical="center" shrinkToFit="1"/>
    </xf>
    <xf numFmtId="165" fontId="48" fillId="39" borderId="67" xfId="2" applyNumberFormat="1" applyFont="1" applyFill="1" applyBorder="1" applyAlignment="1">
      <alignment vertical="center" shrinkToFit="1"/>
    </xf>
    <xf numFmtId="0" fontId="48" fillId="39" borderId="67" xfId="2" applyNumberFormat="1" applyFont="1" applyFill="1" applyBorder="1" applyAlignment="1">
      <alignment horizontal="center" vertical="center" shrinkToFit="1"/>
    </xf>
    <xf numFmtId="10" fontId="48" fillId="39" borderId="68" xfId="2" applyNumberFormat="1" applyFont="1" applyFill="1" applyBorder="1" applyAlignment="1">
      <alignment horizontal="center" vertical="center" shrinkToFit="1"/>
    </xf>
    <xf numFmtId="164" fontId="48" fillId="39" borderId="69" xfId="2" applyNumberFormat="1" applyFont="1" applyFill="1" applyBorder="1" applyAlignment="1">
      <alignment vertical="center" shrinkToFit="1"/>
    </xf>
    <xf numFmtId="10" fontId="48" fillId="39" borderId="67" xfId="4" applyNumberFormat="1" applyFont="1" applyFill="1" applyBorder="1" applyAlignment="1">
      <alignment vertical="center" shrinkToFit="1"/>
    </xf>
    <xf numFmtId="10" fontId="48" fillId="39" borderId="68" xfId="4" applyNumberFormat="1" applyFont="1" applyFill="1" applyBorder="1" applyAlignment="1">
      <alignment vertical="center" shrinkToFit="1"/>
    </xf>
    <xf numFmtId="10" fontId="48" fillId="39" borderId="69" xfId="4" applyNumberFormat="1" applyFont="1" applyFill="1" applyBorder="1" applyAlignment="1">
      <alignment vertical="center" shrinkToFit="1"/>
    </xf>
    <xf numFmtId="10" fontId="48" fillId="39" borderId="70" xfId="4" applyNumberFormat="1" applyFont="1" applyFill="1" applyBorder="1" applyAlignment="1">
      <alignment vertical="center" shrinkToFit="1"/>
    </xf>
    <xf numFmtId="1" fontId="81" fillId="39" borderId="66" xfId="2" applyNumberFormat="1" applyFont="1" applyFill="1" applyBorder="1" applyAlignment="1">
      <alignment horizontal="center" vertical="center" wrapText="1"/>
    </xf>
    <xf numFmtId="4" fontId="81" fillId="39" borderId="65" xfId="2" applyNumberFormat="1" applyFont="1" applyFill="1" applyBorder="1" applyAlignment="1">
      <alignment horizontal="center" vertical="center"/>
    </xf>
    <xf numFmtId="4" fontId="46" fillId="39" borderId="67" xfId="2" applyNumberFormat="1" applyFont="1" applyFill="1" applyBorder="1" applyAlignment="1">
      <alignment vertical="center" shrinkToFit="1"/>
    </xf>
    <xf numFmtId="4" fontId="48" fillId="39" borderId="67" xfId="2" applyNumberFormat="1" applyFont="1" applyFill="1" applyBorder="1" applyAlignment="1">
      <alignment vertical="center" shrinkToFit="1"/>
    </xf>
    <xf numFmtId="164" fontId="48" fillId="39" borderId="67" xfId="2" applyNumberFormat="1" applyFont="1" applyFill="1" applyBorder="1" applyAlignment="1">
      <alignment horizontal="right" vertical="center" shrinkToFit="1"/>
    </xf>
    <xf numFmtId="10" fontId="48" fillId="39" borderId="67" xfId="2" applyNumberFormat="1" applyFont="1" applyFill="1" applyBorder="1" applyAlignment="1">
      <alignment vertical="center" shrinkToFit="1"/>
    </xf>
    <xf numFmtId="10" fontId="48" fillId="39" borderId="70" xfId="2" applyNumberFormat="1" applyFont="1" applyFill="1" applyBorder="1" applyAlignment="1">
      <alignment horizontal="center" vertical="center" shrinkToFit="1"/>
    </xf>
    <xf numFmtId="10" fontId="2" fillId="39" borderId="56" xfId="0" applyNumberFormat="1" applyFont="1" applyFill="1" applyBorder="1" applyAlignment="1" applyProtection="1">
      <alignment horizontal="center" vertical="top"/>
    </xf>
    <xf numFmtId="10" fontId="12" fillId="39" borderId="56" xfId="0" applyNumberFormat="1" applyFont="1" applyFill="1" applyBorder="1" applyAlignment="1" applyProtection="1">
      <alignment horizontal="right" vertical="top"/>
    </xf>
    <xf numFmtId="10" fontId="13" fillId="39" borderId="56" xfId="0" applyNumberFormat="1" applyFont="1" applyFill="1" applyBorder="1" applyAlignment="1" applyProtection="1">
      <alignment horizontal="right" vertical="top"/>
    </xf>
    <xf numFmtId="10" fontId="12" fillId="39" borderId="58" xfId="0" applyNumberFormat="1" applyFont="1" applyFill="1" applyBorder="1" applyAlignment="1" applyProtection="1">
      <alignment horizontal="right" vertical="top"/>
    </xf>
    <xf numFmtId="10" fontId="13" fillId="39" borderId="58" xfId="0" applyNumberFormat="1" applyFont="1" applyFill="1" applyBorder="1" applyAlignment="1" applyProtection="1">
      <alignment horizontal="right" vertical="top"/>
    </xf>
    <xf numFmtId="10" fontId="3" fillId="39" borderId="56" xfId="0" applyNumberFormat="1" applyFont="1" applyFill="1" applyBorder="1" applyAlignment="1" applyProtection="1">
      <alignment vertical="top"/>
    </xf>
    <xf numFmtId="10" fontId="13" fillId="39" borderId="56" xfId="0" applyNumberFormat="1" applyFont="1" applyFill="1" applyBorder="1" applyAlignment="1" applyProtection="1">
      <alignment horizontal="center" vertical="top"/>
    </xf>
    <xf numFmtId="10" fontId="12" fillId="39" borderId="56" xfId="0" applyNumberFormat="1" applyFont="1" applyFill="1" applyBorder="1" applyAlignment="1" applyProtection="1">
      <alignment horizontal="center" vertical="top"/>
    </xf>
    <xf numFmtId="10" fontId="12" fillId="39" borderId="58" xfId="0" applyNumberFormat="1" applyFont="1" applyFill="1" applyBorder="1" applyAlignment="1" applyProtection="1">
      <alignment horizontal="center" vertical="top"/>
    </xf>
    <xf numFmtId="0" fontId="38" fillId="0" borderId="20" xfId="1" applyFont="1" applyBorder="1" applyAlignment="1" applyProtection="1">
      <alignment horizontal="center" vertical="center" wrapText="1"/>
      <protection locked="0"/>
    </xf>
    <xf numFmtId="4" fontId="14" fillId="0" borderId="8" xfId="0" applyNumberFormat="1" applyFont="1" applyFill="1" applyBorder="1" applyAlignment="1" applyProtection="1">
      <alignment horizontal="right" vertical="center"/>
    </xf>
    <xf numFmtId="4" fontId="14" fillId="0" borderId="52" xfId="0" applyNumberFormat="1" applyFont="1" applyFill="1" applyBorder="1" applyAlignment="1" applyProtection="1">
      <alignment horizontal="right" vertical="center"/>
    </xf>
    <xf numFmtId="4" fontId="13" fillId="0" borderId="8" xfId="0" applyNumberFormat="1" applyFont="1" applyFill="1" applyBorder="1" applyAlignment="1" applyProtection="1">
      <alignment horizontal="right" vertical="center"/>
    </xf>
    <xf numFmtId="4" fontId="13" fillId="0" borderId="5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4" fillId="0" borderId="10" xfId="0" applyNumberFormat="1" applyFont="1" applyFill="1" applyBorder="1" applyAlignment="1" applyProtection="1">
      <alignment horizontal="right" vertical="center"/>
    </xf>
    <xf numFmtId="4" fontId="14" fillId="0" borderId="54" xfId="0" applyNumberFormat="1" applyFont="1" applyFill="1" applyBorder="1" applyAlignment="1" applyProtection="1">
      <alignment horizontal="right" vertical="center"/>
    </xf>
    <xf numFmtId="4" fontId="13" fillId="0" borderId="10" xfId="0" applyNumberFormat="1" applyFont="1" applyFill="1" applyBorder="1" applyAlignment="1" applyProtection="1">
      <alignment horizontal="right" vertical="center"/>
    </xf>
    <xf numFmtId="4" fontId="13" fillId="0" borderId="53" xfId="0" applyNumberFormat="1" applyFont="1" applyFill="1" applyBorder="1" applyAlignment="1" applyProtection="1">
      <alignment horizontal="righ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7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4" fontId="14" fillId="0" borderId="1" xfId="0" applyNumberFormat="1" applyFont="1" applyFill="1" applyBorder="1" applyAlignment="1" applyProtection="1">
      <alignment horizontal="right" vertical="center"/>
    </xf>
    <xf numFmtId="4" fontId="14" fillId="0" borderId="5" xfId="0" applyNumberFormat="1" applyFont="1" applyFill="1" applyBorder="1" applyAlignment="1" applyProtection="1">
      <alignment horizontal="right" vertical="center"/>
    </xf>
    <xf numFmtId="4" fontId="13" fillId="39" borderId="57" xfId="0" applyNumberFormat="1" applyFont="1" applyFill="1" applyBorder="1" applyAlignment="1" applyProtection="1">
      <alignment horizontal="right" vertical="center"/>
    </xf>
    <xf numFmtId="4" fontId="13" fillId="39" borderId="59" xfId="0" applyNumberFormat="1" applyFont="1" applyFill="1" applyBorder="1" applyAlignment="1" applyProtection="1">
      <alignment horizontal="right" vertical="center"/>
    </xf>
    <xf numFmtId="4" fontId="13" fillId="39" borderId="61" xfId="0" applyNumberFormat="1" applyFont="1" applyFill="1" applyBorder="1" applyAlignment="1" applyProtection="1">
      <alignment horizontal="right" vertical="center"/>
    </xf>
    <xf numFmtId="10" fontId="13" fillId="39" borderId="58" xfId="0" applyNumberFormat="1" applyFont="1" applyFill="1" applyBorder="1" applyAlignment="1" applyProtection="1">
      <alignment horizontal="right" vertical="center"/>
    </xf>
    <xf numFmtId="10" fontId="13" fillId="39" borderId="60" xfId="0" applyNumberFormat="1" applyFont="1" applyFill="1" applyBorder="1" applyAlignment="1" applyProtection="1">
      <alignment horizontal="right" vertical="center"/>
    </xf>
    <xf numFmtId="10" fontId="13" fillId="39" borderId="62" xfId="0" applyNumberFormat="1" applyFont="1" applyFill="1" applyBorder="1" applyAlignment="1" applyProtection="1">
      <alignment horizontal="right" vertical="center"/>
    </xf>
    <xf numFmtId="4" fontId="14" fillId="39" borderId="57" xfId="0" applyNumberFormat="1" applyFont="1" applyFill="1" applyBorder="1" applyAlignment="1" applyProtection="1">
      <alignment horizontal="right" vertical="center"/>
    </xf>
    <xf numFmtId="4" fontId="14" fillId="39" borderId="61" xfId="0" applyNumberFormat="1" applyFont="1" applyFill="1" applyBorder="1" applyAlignment="1" applyProtection="1">
      <alignment horizontal="right" vertical="center"/>
    </xf>
    <xf numFmtId="10" fontId="14" fillId="39" borderId="58" xfId="0" applyNumberFormat="1" applyFont="1" applyFill="1" applyBorder="1" applyAlignment="1" applyProtection="1">
      <alignment horizontal="center" vertical="center"/>
    </xf>
    <xf numFmtId="10" fontId="14" fillId="39" borderId="6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left" vertical="top" wrapText="1"/>
    </xf>
    <xf numFmtId="0" fontId="10" fillId="0" borderId="4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14" fillId="0" borderId="5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7" xfId="0" applyNumberFormat="1" applyFont="1" applyFill="1" applyBorder="1" applyAlignment="1" applyProtection="1">
      <alignment horizontal="center" vertical="top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5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7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 vertical="top"/>
    </xf>
    <xf numFmtId="0" fontId="10" fillId="0" borderId="3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</cellXfs>
  <cellStyles count="106">
    <cellStyle name="20% - akcent 1 2" xfId="6"/>
    <cellStyle name="20% - akcent 1 3" xfId="7"/>
    <cellStyle name="20% - akcent 2 2" xfId="8"/>
    <cellStyle name="20% - akcent 2 3" xfId="9"/>
    <cellStyle name="20% - akcent 3 2" xfId="10"/>
    <cellStyle name="20% - akcent 3 3" xfId="11"/>
    <cellStyle name="20% - akcent 4 2" xfId="12"/>
    <cellStyle name="20% - akcent 4 3" xfId="13"/>
    <cellStyle name="20% - akcent 5 2" xfId="14"/>
    <cellStyle name="20% - akcent 5 3" xfId="15"/>
    <cellStyle name="20% - akcent 6 2" xfId="16"/>
    <cellStyle name="20% - akcent 6 3" xfId="17"/>
    <cellStyle name="40% - akcent 1 2" xfId="18"/>
    <cellStyle name="40% - akcent 1 3" xfId="19"/>
    <cellStyle name="40% - akcent 2 2" xfId="20"/>
    <cellStyle name="40% - akcent 2 3" xfId="21"/>
    <cellStyle name="40% - akcent 3 2" xfId="22"/>
    <cellStyle name="40% - akcent 3 3" xfId="23"/>
    <cellStyle name="40% - akcent 4 2" xfId="24"/>
    <cellStyle name="40% - akcent 4 3" xfId="25"/>
    <cellStyle name="40% - akcent 5 2" xfId="26"/>
    <cellStyle name="40% - akcent 5 3" xfId="27"/>
    <cellStyle name="40% - akcent 6 2" xfId="28"/>
    <cellStyle name="40% - akcent 6 3" xfId="29"/>
    <cellStyle name="60% - akcent 1 2" xfId="30"/>
    <cellStyle name="60% - akcent 1 3" xfId="31"/>
    <cellStyle name="60% - akcent 2 2" xfId="32"/>
    <cellStyle name="60% - akcent 2 3" xfId="33"/>
    <cellStyle name="60% - akcent 3 2" xfId="34"/>
    <cellStyle name="60% - akcent 3 3" xfId="35"/>
    <cellStyle name="60% - akcent 4 2" xfId="36"/>
    <cellStyle name="60% - akcent 4 3" xfId="37"/>
    <cellStyle name="60% - akcent 5 2" xfId="38"/>
    <cellStyle name="60% - akcent 5 3" xfId="39"/>
    <cellStyle name="60% - akcent 6 2" xfId="40"/>
    <cellStyle name="60% - akcent 6 3" xfId="41"/>
    <cellStyle name="Akcent 1 2" xfId="42"/>
    <cellStyle name="Akcent 1 3" xfId="43"/>
    <cellStyle name="Akcent 2 2" xfId="44"/>
    <cellStyle name="Akcent 2 3" xfId="45"/>
    <cellStyle name="Akcent 3 2" xfId="46"/>
    <cellStyle name="Akcent 3 3" xfId="47"/>
    <cellStyle name="Akcent 4 2" xfId="48"/>
    <cellStyle name="Akcent 4 3" xfId="49"/>
    <cellStyle name="Akcent 5 2" xfId="50"/>
    <cellStyle name="Akcent 5 3" xfId="51"/>
    <cellStyle name="Akcent 6 2" xfId="52"/>
    <cellStyle name="Akcent 6 3" xfId="53"/>
    <cellStyle name="Dane wejściowe 2" xfId="54"/>
    <cellStyle name="Dane wejściowe 3" xfId="55"/>
    <cellStyle name="Dane wyjściowe 2" xfId="56"/>
    <cellStyle name="Dane wyjściowe 3" xfId="57"/>
    <cellStyle name="Dobre 2" xfId="58"/>
    <cellStyle name="Dobre 3" xfId="59"/>
    <cellStyle name="Komórka połączona 2" xfId="60"/>
    <cellStyle name="Komórka połączona 3" xfId="61"/>
    <cellStyle name="Komórka zaznaczona 2" xfId="62"/>
    <cellStyle name="Komórka zaznaczona 3" xfId="63"/>
    <cellStyle name="Nagłówek 1 2" xfId="64"/>
    <cellStyle name="Nagłówek 1 3" xfId="65"/>
    <cellStyle name="Nagłówek 2 2" xfId="66"/>
    <cellStyle name="Nagłówek 2 3" xfId="67"/>
    <cellStyle name="Nagłówek 3 2" xfId="68"/>
    <cellStyle name="Nagłówek 3 3" xfId="69"/>
    <cellStyle name="Nagłówek 4 2" xfId="70"/>
    <cellStyle name="Nagłówek 4 3" xfId="71"/>
    <cellStyle name="Neutralne 2" xfId="72"/>
    <cellStyle name="Neutralne 3" xfId="73"/>
    <cellStyle name="Normalny" xfId="0" builtinId="0"/>
    <cellStyle name="Normalny 2" xfId="1"/>
    <cellStyle name="Normalny 2 2" xfId="74"/>
    <cellStyle name="Normalny 2 3" xfId="75"/>
    <cellStyle name="Normalny 2 4" xfId="76"/>
    <cellStyle name="Normalny 2 5" xfId="77"/>
    <cellStyle name="Normalny 2 6" xfId="78"/>
    <cellStyle name="Normalny 2 7" xfId="79"/>
    <cellStyle name="Normalny 3" xfId="80"/>
    <cellStyle name="Normalny 4" xfId="81"/>
    <cellStyle name="Normalny 5" xfId="82"/>
    <cellStyle name="Normalny 6" xfId="83"/>
    <cellStyle name="Normalny 6 2" xfId="2"/>
    <cellStyle name="Normalny 7" xfId="84"/>
    <cellStyle name="Normalny 7 2" xfId="85"/>
    <cellStyle name="Normalny 8" xfId="5"/>
    <cellStyle name="Normalny 9" xfId="3"/>
    <cellStyle name="Obliczenia 2" xfId="86"/>
    <cellStyle name="Obliczenia 3" xfId="87"/>
    <cellStyle name="Procentowy 2" xfId="4"/>
    <cellStyle name="Procentowy 2 2" xfId="88"/>
    <cellStyle name="Procentowy 2 3" xfId="89"/>
    <cellStyle name="Procentowy 3" xfId="90"/>
    <cellStyle name="Procentowy 3 2" xfId="91"/>
    <cellStyle name="Procentowy 4" xfId="92"/>
    <cellStyle name="Procentowy 5" xfId="93"/>
    <cellStyle name="Procentowy 6" xfId="94"/>
    <cellStyle name="Suma 2" xfId="95"/>
    <cellStyle name="Suma 3" xfId="96"/>
    <cellStyle name="Tekst objaśnienia 2" xfId="97"/>
    <cellStyle name="Tekst objaśnienia 3" xfId="98"/>
    <cellStyle name="Tekst ostrzeżenia 2" xfId="99"/>
    <cellStyle name="Tekst ostrzeżenia 3" xfId="100"/>
    <cellStyle name="Tytuł 2" xfId="101"/>
    <cellStyle name="Uwaga 2" xfId="102"/>
    <cellStyle name="Uwaga 3" xfId="103"/>
    <cellStyle name="Złe 2" xfId="104"/>
    <cellStyle name="Złe 3" xfId="105"/>
  </cellStyles>
  <dxfs count="4">
    <dxf>
      <font>
        <b/>
        <i val="0"/>
        <color rgb="FFFF0000"/>
      </font>
      <fill>
        <patternFill>
          <bgColor rgb="FFFFC000"/>
        </patternFill>
      </fill>
    </dxf>
    <dxf>
      <font>
        <color rgb="FFFF0000"/>
      </font>
      <fill>
        <patternFill>
          <bgColor rgb="FFFFE101"/>
        </patternFill>
      </fill>
    </dxf>
    <dxf>
      <font>
        <b val="0"/>
        <i val="0"/>
        <color rgb="FFFF0000"/>
      </font>
      <fill>
        <patternFill>
          <bgColor rgb="FFFFE101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kachlicka/Desktop/Za&#322;.%20Nr%201%20W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zet po zmianach (rok N)"/>
      <sheetName val="WPF a Budzet (rok N)"/>
      <sheetName val="WPF a Rb (wybr okr)"/>
      <sheetName val="Sprawdz WPF=Rb w (N-3)..(N-1)"/>
      <sheetName val="Wybrany_WPF_ zał. Nr 1"/>
      <sheetName val="AnalizaWsk243"/>
      <sheetName val="metodologia"/>
      <sheetName val="DaneBudzet"/>
      <sheetName val="DaneBudzetWsk243"/>
      <sheetName val="DaneZrodlowe"/>
      <sheetName val="definicja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>
            <v>2015</v>
          </cell>
        </row>
        <row r="5">
          <cell r="B5">
            <v>2</v>
          </cell>
        </row>
        <row r="6">
          <cell r="J6">
            <v>1</v>
          </cell>
        </row>
        <row r="7">
          <cell r="J7" t="b">
            <v>1</v>
          </cell>
        </row>
        <row r="8">
          <cell r="J8" t="b">
            <v>1</v>
          </cell>
        </row>
      </sheetData>
      <sheetData sheetId="7"/>
      <sheetData sheetId="8"/>
      <sheetData sheetId="9">
        <row r="1">
          <cell r="N1">
            <v>2015</v>
          </cell>
          <cell r="Q1">
            <v>2025</v>
          </cell>
        </row>
        <row r="4">
          <cell r="B4" t="str">
            <v>XIII/119/2015</v>
          </cell>
          <cell r="C4" t="str">
            <v>ROGOŹNO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8" tint="0.39997558519241921"/>
    <outlinePr summaryBelow="0"/>
  </sheetPr>
  <dimension ref="A1:U204"/>
  <sheetViews>
    <sheetView zoomScaleNormal="100" zoomScaleSheetLayoutView="100" workbookViewId="0">
      <pane xSplit="4" ySplit="9" topLeftCell="I10" activePane="bottomRight" state="frozen"/>
      <selection activeCell="H158" sqref="H158"/>
      <selection pane="topRight" activeCell="H158" sqref="H158"/>
      <selection pane="bottomLeft" activeCell="H158" sqref="H158"/>
      <selection pane="bottomRight" activeCell="J205" sqref="J205"/>
    </sheetView>
  </sheetViews>
  <sheetFormatPr defaultRowHeight="14.25" outlineLevelRow="5" outlineLevelCol="1"/>
  <cols>
    <col min="1" max="1" width="4.85546875" style="27" hidden="1" customWidth="1" outlineLevel="1"/>
    <col min="2" max="2" width="7.5703125" style="28" customWidth="1" collapsed="1"/>
    <col min="3" max="3" width="24.85546875" style="43" hidden="1" customWidth="1"/>
    <col min="4" max="4" width="80.7109375" style="28" customWidth="1"/>
    <col min="5" max="8" width="16" style="28" hidden="1" customWidth="1" outlineLevel="1"/>
    <col min="9" max="9" width="16" style="28" customWidth="1" collapsed="1"/>
    <col min="10" max="10" width="16" style="28" customWidth="1"/>
    <col min="11" max="11" width="9.28515625" style="28" customWidth="1"/>
    <col min="12" max="21" width="16" style="28" customWidth="1"/>
    <col min="22" max="258" width="9.140625" style="33"/>
    <col min="259" max="259" width="0" style="33" hidden="1" customWidth="1"/>
    <col min="260" max="260" width="7.5703125" style="33" customWidth="1"/>
    <col min="261" max="261" width="0" style="33" hidden="1" customWidth="1"/>
    <col min="262" max="262" width="80.7109375" style="33" customWidth="1"/>
    <col min="263" max="266" width="0" style="33" hidden="1" customWidth="1"/>
    <col min="267" max="277" width="16" style="33" customWidth="1"/>
    <col min="278" max="514" width="9.140625" style="33"/>
    <col min="515" max="515" width="0" style="33" hidden="1" customWidth="1"/>
    <col min="516" max="516" width="7.5703125" style="33" customWidth="1"/>
    <col min="517" max="517" width="0" style="33" hidden="1" customWidth="1"/>
    <col min="518" max="518" width="80.7109375" style="33" customWidth="1"/>
    <col min="519" max="522" width="0" style="33" hidden="1" customWidth="1"/>
    <col min="523" max="533" width="16" style="33" customWidth="1"/>
    <col min="534" max="770" width="9.140625" style="33"/>
    <col min="771" max="771" width="0" style="33" hidden="1" customWidth="1"/>
    <col min="772" max="772" width="7.5703125" style="33" customWidth="1"/>
    <col min="773" max="773" width="0" style="33" hidden="1" customWidth="1"/>
    <col min="774" max="774" width="80.7109375" style="33" customWidth="1"/>
    <col min="775" max="778" width="0" style="33" hidden="1" customWidth="1"/>
    <col min="779" max="789" width="16" style="33" customWidth="1"/>
    <col min="790" max="1026" width="9.140625" style="33"/>
    <col min="1027" max="1027" width="0" style="33" hidden="1" customWidth="1"/>
    <col min="1028" max="1028" width="7.5703125" style="33" customWidth="1"/>
    <col min="1029" max="1029" width="0" style="33" hidden="1" customWidth="1"/>
    <col min="1030" max="1030" width="80.7109375" style="33" customWidth="1"/>
    <col min="1031" max="1034" width="0" style="33" hidden="1" customWidth="1"/>
    <col min="1035" max="1045" width="16" style="33" customWidth="1"/>
    <col min="1046" max="1282" width="9.140625" style="33"/>
    <col min="1283" max="1283" width="0" style="33" hidden="1" customWidth="1"/>
    <col min="1284" max="1284" width="7.5703125" style="33" customWidth="1"/>
    <col min="1285" max="1285" width="0" style="33" hidden="1" customWidth="1"/>
    <col min="1286" max="1286" width="80.7109375" style="33" customWidth="1"/>
    <col min="1287" max="1290" width="0" style="33" hidden="1" customWidth="1"/>
    <col min="1291" max="1301" width="16" style="33" customWidth="1"/>
    <col min="1302" max="1538" width="9.140625" style="33"/>
    <col min="1539" max="1539" width="0" style="33" hidden="1" customWidth="1"/>
    <col min="1540" max="1540" width="7.5703125" style="33" customWidth="1"/>
    <col min="1541" max="1541" width="0" style="33" hidden="1" customWidth="1"/>
    <col min="1542" max="1542" width="80.7109375" style="33" customWidth="1"/>
    <col min="1543" max="1546" width="0" style="33" hidden="1" customWidth="1"/>
    <col min="1547" max="1557" width="16" style="33" customWidth="1"/>
    <col min="1558" max="1794" width="9.140625" style="33"/>
    <col min="1795" max="1795" width="0" style="33" hidden="1" customWidth="1"/>
    <col min="1796" max="1796" width="7.5703125" style="33" customWidth="1"/>
    <col min="1797" max="1797" width="0" style="33" hidden="1" customWidth="1"/>
    <col min="1798" max="1798" width="80.7109375" style="33" customWidth="1"/>
    <col min="1799" max="1802" width="0" style="33" hidden="1" customWidth="1"/>
    <col min="1803" max="1813" width="16" style="33" customWidth="1"/>
    <col min="1814" max="2050" width="9.140625" style="33"/>
    <col min="2051" max="2051" width="0" style="33" hidden="1" customWidth="1"/>
    <col min="2052" max="2052" width="7.5703125" style="33" customWidth="1"/>
    <col min="2053" max="2053" width="0" style="33" hidden="1" customWidth="1"/>
    <col min="2054" max="2054" width="80.7109375" style="33" customWidth="1"/>
    <col min="2055" max="2058" width="0" style="33" hidden="1" customWidth="1"/>
    <col min="2059" max="2069" width="16" style="33" customWidth="1"/>
    <col min="2070" max="2306" width="9.140625" style="33"/>
    <col min="2307" max="2307" width="0" style="33" hidden="1" customWidth="1"/>
    <col min="2308" max="2308" width="7.5703125" style="33" customWidth="1"/>
    <col min="2309" max="2309" width="0" style="33" hidden="1" customWidth="1"/>
    <col min="2310" max="2310" width="80.7109375" style="33" customWidth="1"/>
    <col min="2311" max="2314" width="0" style="33" hidden="1" customWidth="1"/>
    <col min="2315" max="2325" width="16" style="33" customWidth="1"/>
    <col min="2326" max="2562" width="9.140625" style="33"/>
    <col min="2563" max="2563" width="0" style="33" hidden="1" customWidth="1"/>
    <col min="2564" max="2564" width="7.5703125" style="33" customWidth="1"/>
    <col min="2565" max="2565" width="0" style="33" hidden="1" customWidth="1"/>
    <col min="2566" max="2566" width="80.7109375" style="33" customWidth="1"/>
    <col min="2567" max="2570" width="0" style="33" hidden="1" customWidth="1"/>
    <col min="2571" max="2581" width="16" style="33" customWidth="1"/>
    <col min="2582" max="2818" width="9.140625" style="33"/>
    <col min="2819" max="2819" width="0" style="33" hidden="1" customWidth="1"/>
    <col min="2820" max="2820" width="7.5703125" style="33" customWidth="1"/>
    <col min="2821" max="2821" width="0" style="33" hidden="1" customWidth="1"/>
    <col min="2822" max="2822" width="80.7109375" style="33" customWidth="1"/>
    <col min="2823" max="2826" width="0" style="33" hidden="1" customWidth="1"/>
    <col min="2827" max="2837" width="16" style="33" customWidth="1"/>
    <col min="2838" max="3074" width="9.140625" style="33"/>
    <col min="3075" max="3075" width="0" style="33" hidden="1" customWidth="1"/>
    <col min="3076" max="3076" width="7.5703125" style="33" customWidth="1"/>
    <col min="3077" max="3077" width="0" style="33" hidden="1" customWidth="1"/>
    <col min="3078" max="3078" width="80.7109375" style="33" customWidth="1"/>
    <col min="3079" max="3082" width="0" style="33" hidden="1" customWidth="1"/>
    <col min="3083" max="3093" width="16" style="33" customWidth="1"/>
    <col min="3094" max="3330" width="9.140625" style="33"/>
    <col min="3331" max="3331" width="0" style="33" hidden="1" customWidth="1"/>
    <col min="3332" max="3332" width="7.5703125" style="33" customWidth="1"/>
    <col min="3333" max="3333" width="0" style="33" hidden="1" customWidth="1"/>
    <col min="3334" max="3334" width="80.7109375" style="33" customWidth="1"/>
    <col min="3335" max="3338" width="0" style="33" hidden="1" customWidth="1"/>
    <col min="3339" max="3349" width="16" style="33" customWidth="1"/>
    <col min="3350" max="3586" width="9.140625" style="33"/>
    <col min="3587" max="3587" width="0" style="33" hidden="1" customWidth="1"/>
    <col min="3588" max="3588" width="7.5703125" style="33" customWidth="1"/>
    <col min="3589" max="3589" width="0" style="33" hidden="1" customWidth="1"/>
    <col min="3590" max="3590" width="80.7109375" style="33" customWidth="1"/>
    <col min="3591" max="3594" width="0" style="33" hidden="1" customWidth="1"/>
    <col min="3595" max="3605" width="16" style="33" customWidth="1"/>
    <col min="3606" max="3842" width="9.140625" style="33"/>
    <col min="3843" max="3843" width="0" style="33" hidden="1" customWidth="1"/>
    <col min="3844" max="3844" width="7.5703125" style="33" customWidth="1"/>
    <col min="3845" max="3845" width="0" style="33" hidden="1" customWidth="1"/>
    <col min="3846" max="3846" width="80.7109375" style="33" customWidth="1"/>
    <col min="3847" max="3850" width="0" style="33" hidden="1" customWidth="1"/>
    <col min="3851" max="3861" width="16" style="33" customWidth="1"/>
    <col min="3862" max="4098" width="9.140625" style="33"/>
    <col min="4099" max="4099" width="0" style="33" hidden="1" customWidth="1"/>
    <col min="4100" max="4100" width="7.5703125" style="33" customWidth="1"/>
    <col min="4101" max="4101" width="0" style="33" hidden="1" customWidth="1"/>
    <col min="4102" max="4102" width="80.7109375" style="33" customWidth="1"/>
    <col min="4103" max="4106" width="0" style="33" hidden="1" customWidth="1"/>
    <col min="4107" max="4117" width="16" style="33" customWidth="1"/>
    <col min="4118" max="4354" width="9.140625" style="33"/>
    <col min="4355" max="4355" width="0" style="33" hidden="1" customWidth="1"/>
    <col min="4356" max="4356" width="7.5703125" style="33" customWidth="1"/>
    <col min="4357" max="4357" width="0" style="33" hidden="1" customWidth="1"/>
    <col min="4358" max="4358" width="80.7109375" style="33" customWidth="1"/>
    <col min="4359" max="4362" width="0" style="33" hidden="1" customWidth="1"/>
    <col min="4363" max="4373" width="16" style="33" customWidth="1"/>
    <col min="4374" max="4610" width="9.140625" style="33"/>
    <col min="4611" max="4611" width="0" style="33" hidden="1" customWidth="1"/>
    <col min="4612" max="4612" width="7.5703125" style="33" customWidth="1"/>
    <col min="4613" max="4613" width="0" style="33" hidden="1" customWidth="1"/>
    <col min="4614" max="4614" width="80.7109375" style="33" customWidth="1"/>
    <col min="4615" max="4618" width="0" style="33" hidden="1" customWidth="1"/>
    <col min="4619" max="4629" width="16" style="33" customWidth="1"/>
    <col min="4630" max="4866" width="9.140625" style="33"/>
    <col min="4867" max="4867" width="0" style="33" hidden="1" customWidth="1"/>
    <col min="4868" max="4868" width="7.5703125" style="33" customWidth="1"/>
    <col min="4869" max="4869" width="0" style="33" hidden="1" customWidth="1"/>
    <col min="4870" max="4870" width="80.7109375" style="33" customWidth="1"/>
    <col min="4871" max="4874" width="0" style="33" hidden="1" customWidth="1"/>
    <col min="4875" max="4885" width="16" style="33" customWidth="1"/>
    <col min="4886" max="5122" width="9.140625" style="33"/>
    <col min="5123" max="5123" width="0" style="33" hidden="1" customWidth="1"/>
    <col min="5124" max="5124" width="7.5703125" style="33" customWidth="1"/>
    <col min="5125" max="5125" width="0" style="33" hidden="1" customWidth="1"/>
    <col min="5126" max="5126" width="80.7109375" style="33" customWidth="1"/>
    <col min="5127" max="5130" width="0" style="33" hidden="1" customWidth="1"/>
    <col min="5131" max="5141" width="16" style="33" customWidth="1"/>
    <col min="5142" max="5378" width="9.140625" style="33"/>
    <col min="5379" max="5379" width="0" style="33" hidden="1" customWidth="1"/>
    <col min="5380" max="5380" width="7.5703125" style="33" customWidth="1"/>
    <col min="5381" max="5381" width="0" style="33" hidden="1" customWidth="1"/>
    <col min="5382" max="5382" width="80.7109375" style="33" customWidth="1"/>
    <col min="5383" max="5386" width="0" style="33" hidden="1" customWidth="1"/>
    <col min="5387" max="5397" width="16" style="33" customWidth="1"/>
    <col min="5398" max="5634" width="9.140625" style="33"/>
    <col min="5635" max="5635" width="0" style="33" hidden="1" customWidth="1"/>
    <col min="5636" max="5636" width="7.5703125" style="33" customWidth="1"/>
    <col min="5637" max="5637" width="0" style="33" hidden="1" customWidth="1"/>
    <col min="5638" max="5638" width="80.7109375" style="33" customWidth="1"/>
    <col min="5639" max="5642" width="0" style="33" hidden="1" customWidth="1"/>
    <col min="5643" max="5653" width="16" style="33" customWidth="1"/>
    <col min="5654" max="5890" width="9.140625" style="33"/>
    <col min="5891" max="5891" width="0" style="33" hidden="1" customWidth="1"/>
    <col min="5892" max="5892" width="7.5703125" style="33" customWidth="1"/>
    <col min="5893" max="5893" width="0" style="33" hidden="1" customWidth="1"/>
    <col min="5894" max="5894" width="80.7109375" style="33" customWidth="1"/>
    <col min="5895" max="5898" width="0" style="33" hidden="1" customWidth="1"/>
    <col min="5899" max="5909" width="16" style="33" customWidth="1"/>
    <col min="5910" max="6146" width="9.140625" style="33"/>
    <col min="6147" max="6147" width="0" style="33" hidden="1" customWidth="1"/>
    <col min="6148" max="6148" width="7.5703125" style="33" customWidth="1"/>
    <col min="6149" max="6149" width="0" style="33" hidden="1" customWidth="1"/>
    <col min="6150" max="6150" width="80.7109375" style="33" customWidth="1"/>
    <col min="6151" max="6154" width="0" style="33" hidden="1" customWidth="1"/>
    <col min="6155" max="6165" width="16" style="33" customWidth="1"/>
    <col min="6166" max="6402" width="9.140625" style="33"/>
    <col min="6403" max="6403" width="0" style="33" hidden="1" customWidth="1"/>
    <col min="6404" max="6404" width="7.5703125" style="33" customWidth="1"/>
    <col min="6405" max="6405" width="0" style="33" hidden="1" customWidth="1"/>
    <col min="6406" max="6406" width="80.7109375" style="33" customWidth="1"/>
    <col min="6407" max="6410" width="0" style="33" hidden="1" customWidth="1"/>
    <col min="6411" max="6421" width="16" style="33" customWidth="1"/>
    <col min="6422" max="6658" width="9.140625" style="33"/>
    <col min="6659" max="6659" width="0" style="33" hidden="1" customWidth="1"/>
    <col min="6660" max="6660" width="7.5703125" style="33" customWidth="1"/>
    <col min="6661" max="6661" width="0" style="33" hidden="1" customWidth="1"/>
    <col min="6662" max="6662" width="80.7109375" style="33" customWidth="1"/>
    <col min="6663" max="6666" width="0" style="33" hidden="1" customWidth="1"/>
    <col min="6667" max="6677" width="16" style="33" customWidth="1"/>
    <col min="6678" max="6914" width="9.140625" style="33"/>
    <col min="6915" max="6915" width="0" style="33" hidden="1" customWidth="1"/>
    <col min="6916" max="6916" width="7.5703125" style="33" customWidth="1"/>
    <col min="6917" max="6917" width="0" style="33" hidden="1" customWidth="1"/>
    <col min="6918" max="6918" width="80.7109375" style="33" customWidth="1"/>
    <col min="6919" max="6922" width="0" style="33" hidden="1" customWidth="1"/>
    <col min="6923" max="6933" width="16" style="33" customWidth="1"/>
    <col min="6934" max="7170" width="9.140625" style="33"/>
    <col min="7171" max="7171" width="0" style="33" hidden="1" customWidth="1"/>
    <col min="7172" max="7172" width="7.5703125" style="33" customWidth="1"/>
    <col min="7173" max="7173" width="0" style="33" hidden="1" customWidth="1"/>
    <col min="7174" max="7174" width="80.7109375" style="33" customWidth="1"/>
    <col min="7175" max="7178" width="0" style="33" hidden="1" customWidth="1"/>
    <col min="7179" max="7189" width="16" style="33" customWidth="1"/>
    <col min="7190" max="7426" width="9.140625" style="33"/>
    <col min="7427" max="7427" width="0" style="33" hidden="1" customWidth="1"/>
    <col min="7428" max="7428" width="7.5703125" style="33" customWidth="1"/>
    <col min="7429" max="7429" width="0" style="33" hidden="1" customWidth="1"/>
    <col min="7430" max="7430" width="80.7109375" style="33" customWidth="1"/>
    <col min="7431" max="7434" width="0" style="33" hidden="1" customWidth="1"/>
    <col min="7435" max="7445" width="16" style="33" customWidth="1"/>
    <col min="7446" max="7682" width="9.140625" style="33"/>
    <col min="7683" max="7683" width="0" style="33" hidden="1" customWidth="1"/>
    <col min="7684" max="7684" width="7.5703125" style="33" customWidth="1"/>
    <col min="7685" max="7685" width="0" style="33" hidden="1" customWidth="1"/>
    <col min="7686" max="7686" width="80.7109375" style="33" customWidth="1"/>
    <col min="7687" max="7690" width="0" style="33" hidden="1" customWidth="1"/>
    <col min="7691" max="7701" width="16" style="33" customWidth="1"/>
    <col min="7702" max="7938" width="9.140625" style="33"/>
    <col min="7939" max="7939" width="0" style="33" hidden="1" customWidth="1"/>
    <col min="7940" max="7940" width="7.5703125" style="33" customWidth="1"/>
    <col min="7941" max="7941" width="0" style="33" hidden="1" customWidth="1"/>
    <col min="7942" max="7942" width="80.7109375" style="33" customWidth="1"/>
    <col min="7943" max="7946" width="0" style="33" hidden="1" customWidth="1"/>
    <col min="7947" max="7957" width="16" style="33" customWidth="1"/>
    <col min="7958" max="8194" width="9.140625" style="33"/>
    <col min="8195" max="8195" width="0" style="33" hidden="1" customWidth="1"/>
    <col min="8196" max="8196" width="7.5703125" style="33" customWidth="1"/>
    <col min="8197" max="8197" width="0" style="33" hidden="1" customWidth="1"/>
    <col min="8198" max="8198" width="80.7109375" style="33" customWidth="1"/>
    <col min="8199" max="8202" width="0" style="33" hidden="1" customWidth="1"/>
    <col min="8203" max="8213" width="16" style="33" customWidth="1"/>
    <col min="8214" max="8450" width="9.140625" style="33"/>
    <col min="8451" max="8451" width="0" style="33" hidden="1" customWidth="1"/>
    <col min="8452" max="8452" width="7.5703125" style="33" customWidth="1"/>
    <col min="8453" max="8453" width="0" style="33" hidden="1" customWidth="1"/>
    <col min="8454" max="8454" width="80.7109375" style="33" customWidth="1"/>
    <col min="8455" max="8458" width="0" style="33" hidden="1" customWidth="1"/>
    <col min="8459" max="8469" width="16" style="33" customWidth="1"/>
    <col min="8470" max="8706" width="9.140625" style="33"/>
    <col min="8707" max="8707" width="0" style="33" hidden="1" customWidth="1"/>
    <col min="8708" max="8708" width="7.5703125" style="33" customWidth="1"/>
    <col min="8709" max="8709" width="0" style="33" hidden="1" customWidth="1"/>
    <col min="8710" max="8710" width="80.7109375" style="33" customWidth="1"/>
    <col min="8711" max="8714" width="0" style="33" hidden="1" customWidth="1"/>
    <col min="8715" max="8725" width="16" style="33" customWidth="1"/>
    <col min="8726" max="8962" width="9.140625" style="33"/>
    <col min="8963" max="8963" width="0" style="33" hidden="1" customWidth="1"/>
    <col min="8964" max="8964" width="7.5703125" style="33" customWidth="1"/>
    <col min="8965" max="8965" width="0" style="33" hidden="1" customWidth="1"/>
    <col min="8966" max="8966" width="80.7109375" style="33" customWidth="1"/>
    <col min="8967" max="8970" width="0" style="33" hidden="1" customWidth="1"/>
    <col min="8971" max="8981" width="16" style="33" customWidth="1"/>
    <col min="8982" max="9218" width="9.140625" style="33"/>
    <col min="9219" max="9219" width="0" style="33" hidden="1" customWidth="1"/>
    <col min="9220" max="9220" width="7.5703125" style="33" customWidth="1"/>
    <col min="9221" max="9221" width="0" style="33" hidden="1" customWidth="1"/>
    <col min="9222" max="9222" width="80.7109375" style="33" customWidth="1"/>
    <col min="9223" max="9226" width="0" style="33" hidden="1" customWidth="1"/>
    <col min="9227" max="9237" width="16" style="33" customWidth="1"/>
    <col min="9238" max="9474" width="9.140625" style="33"/>
    <col min="9475" max="9475" width="0" style="33" hidden="1" customWidth="1"/>
    <col min="9476" max="9476" width="7.5703125" style="33" customWidth="1"/>
    <col min="9477" max="9477" width="0" style="33" hidden="1" customWidth="1"/>
    <col min="9478" max="9478" width="80.7109375" style="33" customWidth="1"/>
    <col min="9479" max="9482" width="0" style="33" hidden="1" customWidth="1"/>
    <col min="9483" max="9493" width="16" style="33" customWidth="1"/>
    <col min="9494" max="9730" width="9.140625" style="33"/>
    <col min="9731" max="9731" width="0" style="33" hidden="1" customWidth="1"/>
    <col min="9732" max="9732" width="7.5703125" style="33" customWidth="1"/>
    <col min="9733" max="9733" width="0" style="33" hidden="1" customWidth="1"/>
    <col min="9734" max="9734" width="80.7109375" style="33" customWidth="1"/>
    <col min="9735" max="9738" width="0" style="33" hidden="1" customWidth="1"/>
    <col min="9739" max="9749" width="16" style="33" customWidth="1"/>
    <col min="9750" max="9986" width="9.140625" style="33"/>
    <col min="9987" max="9987" width="0" style="33" hidden="1" customWidth="1"/>
    <col min="9988" max="9988" width="7.5703125" style="33" customWidth="1"/>
    <col min="9989" max="9989" width="0" style="33" hidden="1" customWidth="1"/>
    <col min="9990" max="9990" width="80.7109375" style="33" customWidth="1"/>
    <col min="9991" max="9994" width="0" style="33" hidden="1" customWidth="1"/>
    <col min="9995" max="10005" width="16" style="33" customWidth="1"/>
    <col min="10006" max="10242" width="9.140625" style="33"/>
    <col min="10243" max="10243" width="0" style="33" hidden="1" customWidth="1"/>
    <col min="10244" max="10244" width="7.5703125" style="33" customWidth="1"/>
    <col min="10245" max="10245" width="0" style="33" hidden="1" customWidth="1"/>
    <col min="10246" max="10246" width="80.7109375" style="33" customWidth="1"/>
    <col min="10247" max="10250" width="0" style="33" hidden="1" customWidth="1"/>
    <col min="10251" max="10261" width="16" style="33" customWidth="1"/>
    <col min="10262" max="10498" width="9.140625" style="33"/>
    <col min="10499" max="10499" width="0" style="33" hidden="1" customWidth="1"/>
    <col min="10500" max="10500" width="7.5703125" style="33" customWidth="1"/>
    <col min="10501" max="10501" width="0" style="33" hidden="1" customWidth="1"/>
    <col min="10502" max="10502" width="80.7109375" style="33" customWidth="1"/>
    <col min="10503" max="10506" width="0" style="33" hidden="1" customWidth="1"/>
    <col min="10507" max="10517" width="16" style="33" customWidth="1"/>
    <col min="10518" max="10754" width="9.140625" style="33"/>
    <col min="10755" max="10755" width="0" style="33" hidden="1" customWidth="1"/>
    <col min="10756" max="10756" width="7.5703125" style="33" customWidth="1"/>
    <col min="10757" max="10757" width="0" style="33" hidden="1" customWidth="1"/>
    <col min="10758" max="10758" width="80.7109375" style="33" customWidth="1"/>
    <col min="10759" max="10762" width="0" style="33" hidden="1" customWidth="1"/>
    <col min="10763" max="10773" width="16" style="33" customWidth="1"/>
    <col min="10774" max="11010" width="9.140625" style="33"/>
    <col min="11011" max="11011" width="0" style="33" hidden="1" customWidth="1"/>
    <col min="11012" max="11012" width="7.5703125" style="33" customWidth="1"/>
    <col min="11013" max="11013" width="0" style="33" hidden="1" customWidth="1"/>
    <col min="11014" max="11014" width="80.7109375" style="33" customWidth="1"/>
    <col min="11015" max="11018" width="0" style="33" hidden="1" customWidth="1"/>
    <col min="11019" max="11029" width="16" style="33" customWidth="1"/>
    <col min="11030" max="11266" width="9.140625" style="33"/>
    <col min="11267" max="11267" width="0" style="33" hidden="1" customWidth="1"/>
    <col min="11268" max="11268" width="7.5703125" style="33" customWidth="1"/>
    <col min="11269" max="11269" width="0" style="33" hidden="1" customWidth="1"/>
    <col min="11270" max="11270" width="80.7109375" style="33" customWidth="1"/>
    <col min="11271" max="11274" width="0" style="33" hidden="1" customWidth="1"/>
    <col min="11275" max="11285" width="16" style="33" customWidth="1"/>
    <col min="11286" max="11522" width="9.140625" style="33"/>
    <col min="11523" max="11523" width="0" style="33" hidden="1" customWidth="1"/>
    <col min="11524" max="11524" width="7.5703125" style="33" customWidth="1"/>
    <col min="11525" max="11525" width="0" style="33" hidden="1" customWidth="1"/>
    <col min="11526" max="11526" width="80.7109375" style="33" customWidth="1"/>
    <col min="11527" max="11530" width="0" style="33" hidden="1" customWidth="1"/>
    <col min="11531" max="11541" width="16" style="33" customWidth="1"/>
    <col min="11542" max="11778" width="9.140625" style="33"/>
    <col min="11779" max="11779" width="0" style="33" hidden="1" customWidth="1"/>
    <col min="11780" max="11780" width="7.5703125" style="33" customWidth="1"/>
    <col min="11781" max="11781" width="0" style="33" hidden="1" customWidth="1"/>
    <col min="11782" max="11782" width="80.7109375" style="33" customWidth="1"/>
    <col min="11783" max="11786" width="0" style="33" hidden="1" customWidth="1"/>
    <col min="11787" max="11797" width="16" style="33" customWidth="1"/>
    <col min="11798" max="12034" width="9.140625" style="33"/>
    <col min="12035" max="12035" width="0" style="33" hidden="1" customWidth="1"/>
    <col min="12036" max="12036" width="7.5703125" style="33" customWidth="1"/>
    <col min="12037" max="12037" width="0" style="33" hidden="1" customWidth="1"/>
    <col min="12038" max="12038" width="80.7109375" style="33" customWidth="1"/>
    <col min="12039" max="12042" width="0" style="33" hidden="1" customWidth="1"/>
    <col min="12043" max="12053" width="16" style="33" customWidth="1"/>
    <col min="12054" max="12290" width="9.140625" style="33"/>
    <col min="12291" max="12291" width="0" style="33" hidden="1" customWidth="1"/>
    <col min="12292" max="12292" width="7.5703125" style="33" customWidth="1"/>
    <col min="12293" max="12293" width="0" style="33" hidden="1" customWidth="1"/>
    <col min="12294" max="12294" width="80.7109375" style="33" customWidth="1"/>
    <col min="12295" max="12298" width="0" style="33" hidden="1" customWidth="1"/>
    <col min="12299" max="12309" width="16" style="33" customWidth="1"/>
    <col min="12310" max="12546" width="9.140625" style="33"/>
    <col min="12547" max="12547" width="0" style="33" hidden="1" customWidth="1"/>
    <col min="12548" max="12548" width="7.5703125" style="33" customWidth="1"/>
    <col min="12549" max="12549" width="0" style="33" hidden="1" customWidth="1"/>
    <col min="12550" max="12550" width="80.7109375" style="33" customWidth="1"/>
    <col min="12551" max="12554" width="0" style="33" hidden="1" customWidth="1"/>
    <col min="12555" max="12565" width="16" style="33" customWidth="1"/>
    <col min="12566" max="12802" width="9.140625" style="33"/>
    <col min="12803" max="12803" width="0" style="33" hidden="1" customWidth="1"/>
    <col min="12804" max="12804" width="7.5703125" style="33" customWidth="1"/>
    <col min="12805" max="12805" width="0" style="33" hidden="1" customWidth="1"/>
    <col min="12806" max="12806" width="80.7109375" style="33" customWidth="1"/>
    <col min="12807" max="12810" width="0" style="33" hidden="1" customWidth="1"/>
    <col min="12811" max="12821" width="16" style="33" customWidth="1"/>
    <col min="12822" max="13058" width="9.140625" style="33"/>
    <col min="13059" max="13059" width="0" style="33" hidden="1" customWidth="1"/>
    <col min="13060" max="13060" width="7.5703125" style="33" customWidth="1"/>
    <col min="13061" max="13061" width="0" style="33" hidden="1" customWidth="1"/>
    <col min="13062" max="13062" width="80.7109375" style="33" customWidth="1"/>
    <col min="13063" max="13066" width="0" style="33" hidden="1" customWidth="1"/>
    <col min="13067" max="13077" width="16" style="33" customWidth="1"/>
    <col min="13078" max="13314" width="9.140625" style="33"/>
    <col min="13315" max="13315" width="0" style="33" hidden="1" customWidth="1"/>
    <col min="13316" max="13316" width="7.5703125" style="33" customWidth="1"/>
    <col min="13317" max="13317" width="0" style="33" hidden="1" customWidth="1"/>
    <col min="13318" max="13318" width="80.7109375" style="33" customWidth="1"/>
    <col min="13319" max="13322" width="0" style="33" hidden="1" customWidth="1"/>
    <col min="13323" max="13333" width="16" style="33" customWidth="1"/>
    <col min="13334" max="13570" width="9.140625" style="33"/>
    <col min="13571" max="13571" width="0" style="33" hidden="1" customWidth="1"/>
    <col min="13572" max="13572" width="7.5703125" style="33" customWidth="1"/>
    <col min="13573" max="13573" width="0" style="33" hidden="1" customWidth="1"/>
    <col min="13574" max="13574" width="80.7109375" style="33" customWidth="1"/>
    <col min="13575" max="13578" width="0" style="33" hidden="1" customWidth="1"/>
    <col min="13579" max="13589" width="16" style="33" customWidth="1"/>
    <col min="13590" max="13826" width="9.140625" style="33"/>
    <col min="13827" max="13827" width="0" style="33" hidden="1" customWidth="1"/>
    <col min="13828" max="13828" width="7.5703125" style="33" customWidth="1"/>
    <col min="13829" max="13829" width="0" style="33" hidden="1" customWidth="1"/>
    <col min="13830" max="13830" width="80.7109375" style="33" customWidth="1"/>
    <col min="13831" max="13834" width="0" style="33" hidden="1" customWidth="1"/>
    <col min="13835" max="13845" width="16" style="33" customWidth="1"/>
    <col min="13846" max="14082" width="9.140625" style="33"/>
    <col min="14083" max="14083" width="0" style="33" hidden="1" customWidth="1"/>
    <col min="14084" max="14084" width="7.5703125" style="33" customWidth="1"/>
    <col min="14085" max="14085" width="0" style="33" hidden="1" customWidth="1"/>
    <col min="14086" max="14086" width="80.7109375" style="33" customWidth="1"/>
    <col min="14087" max="14090" width="0" style="33" hidden="1" customWidth="1"/>
    <col min="14091" max="14101" width="16" style="33" customWidth="1"/>
    <col min="14102" max="14338" width="9.140625" style="33"/>
    <col min="14339" max="14339" width="0" style="33" hidden="1" customWidth="1"/>
    <col min="14340" max="14340" width="7.5703125" style="33" customWidth="1"/>
    <col min="14341" max="14341" width="0" style="33" hidden="1" customWidth="1"/>
    <col min="14342" max="14342" width="80.7109375" style="33" customWidth="1"/>
    <col min="14343" max="14346" width="0" style="33" hidden="1" customWidth="1"/>
    <col min="14347" max="14357" width="16" style="33" customWidth="1"/>
    <col min="14358" max="14594" width="9.140625" style="33"/>
    <col min="14595" max="14595" width="0" style="33" hidden="1" customWidth="1"/>
    <col min="14596" max="14596" width="7.5703125" style="33" customWidth="1"/>
    <col min="14597" max="14597" width="0" style="33" hidden="1" customWidth="1"/>
    <col min="14598" max="14598" width="80.7109375" style="33" customWidth="1"/>
    <col min="14599" max="14602" width="0" style="33" hidden="1" customWidth="1"/>
    <col min="14603" max="14613" width="16" style="33" customWidth="1"/>
    <col min="14614" max="14850" width="9.140625" style="33"/>
    <col min="14851" max="14851" width="0" style="33" hidden="1" customWidth="1"/>
    <col min="14852" max="14852" width="7.5703125" style="33" customWidth="1"/>
    <col min="14853" max="14853" width="0" style="33" hidden="1" customWidth="1"/>
    <col min="14854" max="14854" width="80.7109375" style="33" customWidth="1"/>
    <col min="14855" max="14858" width="0" style="33" hidden="1" customWidth="1"/>
    <col min="14859" max="14869" width="16" style="33" customWidth="1"/>
    <col min="14870" max="15106" width="9.140625" style="33"/>
    <col min="15107" max="15107" width="0" style="33" hidden="1" customWidth="1"/>
    <col min="15108" max="15108" width="7.5703125" style="33" customWidth="1"/>
    <col min="15109" max="15109" width="0" style="33" hidden="1" customWidth="1"/>
    <col min="15110" max="15110" width="80.7109375" style="33" customWidth="1"/>
    <col min="15111" max="15114" width="0" style="33" hidden="1" customWidth="1"/>
    <col min="15115" max="15125" width="16" style="33" customWidth="1"/>
    <col min="15126" max="15362" width="9.140625" style="33"/>
    <col min="15363" max="15363" width="0" style="33" hidden="1" customWidth="1"/>
    <col min="15364" max="15364" width="7.5703125" style="33" customWidth="1"/>
    <col min="15365" max="15365" width="0" style="33" hidden="1" customWidth="1"/>
    <col min="15366" max="15366" width="80.7109375" style="33" customWidth="1"/>
    <col min="15367" max="15370" width="0" style="33" hidden="1" customWidth="1"/>
    <col min="15371" max="15381" width="16" style="33" customWidth="1"/>
    <col min="15382" max="15618" width="9.140625" style="33"/>
    <col min="15619" max="15619" width="0" style="33" hidden="1" customWidth="1"/>
    <col min="15620" max="15620" width="7.5703125" style="33" customWidth="1"/>
    <col min="15621" max="15621" width="0" style="33" hidden="1" customWidth="1"/>
    <col min="15622" max="15622" width="80.7109375" style="33" customWidth="1"/>
    <col min="15623" max="15626" width="0" style="33" hidden="1" customWidth="1"/>
    <col min="15627" max="15637" width="16" style="33" customWidth="1"/>
    <col min="15638" max="15874" width="9.140625" style="33"/>
    <col min="15875" max="15875" width="0" style="33" hidden="1" customWidth="1"/>
    <col min="15876" max="15876" width="7.5703125" style="33" customWidth="1"/>
    <col min="15877" max="15877" width="0" style="33" hidden="1" customWidth="1"/>
    <col min="15878" max="15878" width="80.7109375" style="33" customWidth="1"/>
    <col min="15879" max="15882" width="0" style="33" hidden="1" customWidth="1"/>
    <col min="15883" max="15893" width="16" style="33" customWidth="1"/>
    <col min="15894" max="16130" width="9.140625" style="33"/>
    <col min="16131" max="16131" width="0" style="33" hidden="1" customWidth="1"/>
    <col min="16132" max="16132" width="7.5703125" style="33" customWidth="1"/>
    <col min="16133" max="16133" width="0" style="33" hidden="1" customWidth="1"/>
    <col min="16134" max="16134" width="80.7109375" style="33" customWidth="1"/>
    <col min="16135" max="16138" width="0" style="33" hidden="1" customWidth="1"/>
    <col min="16139" max="16149" width="16" style="33" customWidth="1"/>
    <col min="16150" max="16384" width="9.140625" style="33"/>
  </cols>
  <sheetData>
    <row r="1" spans="1:21" hidden="1">
      <c r="C1" s="29"/>
      <c r="D1" s="30" t="s">
        <v>46</v>
      </c>
      <c r="E1" s="31"/>
      <c r="F1" s="31"/>
      <c r="G1" s="31"/>
      <c r="H1" s="31"/>
      <c r="I1" s="32" t="s">
        <v>47</v>
      </c>
      <c r="J1" s="32"/>
      <c r="K1" s="32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5" hidden="1">
      <c r="B2" s="34"/>
      <c r="C2" s="35"/>
      <c r="D2" s="36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15" hidden="1">
      <c r="B3" s="34"/>
      <c r="C3" s="37"/>
      <c r="D3" s="38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idden="1">
      <c r="B4" s="39" t="s">
        <v>48</v>
      </c>
      <c r="C4" s="40"/>
      <c r="D4" s="41" t="str">
        <f>[1]DaneZrodlowe!B4</f>
        <v>XIII/119/2015</v>
      </c>
      <c r="E4" s="31"/>
      <c r="F4" s="31"/>
      <c r="G4" s="31"/>
      <c r="H4" s="31"/>
      <c r="M4" s="31"/>
      <c r="N4" s="31"/>
      <c r="O4" s="31"/>
      <c r="P4" s="31"/>
      <c r="Q4" s="31"/>
      <c r="R4" s="31"/>
      <c r="S4" s="31"/>
      <c r="T4" s="31"/>
      <c r="U4" s="31"/>
    </row>
    <row r="5" spans="1:21" hidden="1">
      <c r="B5" s="42" t="s">
        <v>49</v>
      </c>
      <c r="D5" s="44" t="str">
        <f>[1]DaneZrodlowe!C4</f>
        <v>ROGOŹNO</v>
      </c>
      <c r="E5" s="45"/>
      <c r="F5" s="46"/>
      <c r="G5" s="47"/>
      <c r="H5" s="45"/>
      <c r="M5" s="45"/>
      <c r="N5" s="31"/>
      <c r="O5" s="45"/>
      <c r="P5" s="48"/>
      <c r="Q5" s="48"/>
      <c r="R5" s="31"/>
      <c r="S5" s="31"/>
      <c r="T5" s="31"/>
      <c r="U5" s="31"/>
    </row>
    <row r="6" spans="1:21" hidden="1">
      <c r="B6" s="49" t="s">
        <v>50</v>
      </c>
      <c r="D6" s="50" t="str">
        <f>CONCATENATE([1]DaneZrodlowe!N1," - ",[1]DaneZrodlowe!Q1)</f>
        <v>2015 - 2025</v>
      </c>
      <c r="M6" s="45"/>
      <c r="N6" s="51"/>
      <c r="O6" s="45"/>
      <c r="P6" s="48"/>
      <c r="Q6" s="48"/>
      <c r="R6" s="31"/>
      <c r="S6" s="31"/>
      <c r="T6" s="31"/>
      <c r="U6" s="31"/>
    </row>
    <row r="7" spans="1:21" hidden="1">
      <c r="E7" s="52"/>
      <c r="F7" s="52"/>
      <c r="G7" s="52"/>
      <c r="H7" s="52"/>
      <c r="M7" s="45"/>
      <c r="N7" s="31"/>
      <c r="O7" s="31"/>
      <c r="P7" s="31"/>
      <c r="Q7" s="31"/>
      <c r="R7" s="31"/>
      <c r="S7" s="31"/>
      <c r="T7" s="31"/>
      <c r="U7" s="31"/>
    </row>
    <row r="8" spans="1:21" ht="36">
      <c r="B8" s="31"/>
      <c r="C8" s="40"/>
      <c r="D8" s="53" t="s">
        <v>461</v>
      </c>
      <c r="E8" s="264" t="s">
        <v>51</v>
      </c>
      <c r="F8" s="264"/>
      <c r="G8" s="54" t="s">
        <v>52</v>
      </c>
      <c r="H8" s="54" t="s">
        <v>51</v>
      </c>
      <c r="I8" s="55"/>
      <c r="J8" s="55"/>
      <c r="K8" s="55"/>
      <c r="L8" s="56"/>
      <c r="M8" s="56"/>
      <c r="N8" s="56"/>
      <c r="O8" s="56"/>
      <c r="P8" s="31"/>
      <c r="Q8" s="31"/>
      <c r="R8" s="31"/>
      <c r="S8" s="31"/>
      <c r="T8" s="31"/>
      <c r="U8" s="31"/>
    </row>
    <row r="9" spans="1:21" ht="21">
      <c r="A9" s="57" t="s">
        <v>53</v>
      </c>
      <c r="B9" s="58" t="s">
        <v>54</v>
      </c>
      <c r="C9" s="59" t="s">
        <v>55</v>
      </c>
      <c r="D9" s="60" t="s">
        <v>56</v>
      </c>
      <c r="E9" s="61">
        <f>+F9-1</f>
        <v>2012</v>
      </c>
      <c r="F9" s="62">
        <f>+G9-1</f>
        <v>2013</v>
      </c>
      <c r="G9" s="62">
        <f>+H9</f>
        <v>2014</v>
      </c>
      <c r="H9" s="63">
        <f>+I9-1</f>
        <v>2014</v>
      </c>
      <c r="I9" s="225">
        <f>+[1]DaneZrodlowe!$N$1</f>
        <v>2015</v>
      </c>
      <c r="J9" s="249" t="s">
        <v>455</v>
      </c>
      <c r="K9" s="248" t="s">
        <v>458</v>
      </c>
      <c r="L9" s="64">
        <f>+I9+1</f>
        <v>2016</v>
      </c>
      <c r="M9" s="65">
        <f t="shared" ref="M9:U9" si="0">+L9+1</f>
        <v>2017</v>
      </c>
      <c r="N9" s="65">
        <f t="shared" si="0"/>
        <v>2018</v>
      </c>
      <c r="O9" s="65">
        <f t="shared" si="0"/>
        <v>2019</v>
      </c>
      <c r="P9" s="65">
        <f t="shared" si="0"/>
        <v>2020</v>
      </c>
      <c r="Q9" s="65">
        <f t="shared" si="0"/>
        <v>2021</v>
      </c>
      <c r="R9" s="65">
        <f t="shared" si="0"/>
        <v>2022</v>
      </c>
      <c r="S9" s="65">
        <f t="shared" si="0"/>
        <v>2023</v>
      </c>
      <c r="T9" s="65">
        <f t="shared" si="0"/>
        <v>2024</v>
      </c>
      <c r="U9" s="65">
        <f t="shared" si="0"/>
        <v>2025</v>
      </c>
    </row>
    <row r="10" spans="1:21" outlineLevel="1">
      <c r="A10" s="27" t="s">
        <v>57</v>
      </c>
      <c r="B10" s="66">
        <v>1</v>
      </c>
      <c r="C10" s="67" t="s">
        <v>58</v>
      </c>
      <c r="D10" s="68" t="s">
        <v>58</v>
      </c>
      <c r="E10" s="69">
        <f>57149784.27</f>
        <v>57149784.270000003</v>
      </c>
      <c r="F10" s="70">
        <f>50415914.88</f>
        <v>50415914.880000003</v>
      </c>
      <c r="G10" s="70">
        <f>51266465.97</f>
        <v>51266465.969999999</v>
      </c>
      <c r="H10" s="71">
        <f>53777393.99</f>
        <v>53777393.990000002</v>
      </c>
      <c r="I10" s="226">
        <f>50784842.05</f>
        <v>50784842.049999997</v>
      </c>
      <c r="J10" s="250">
        <f>J11+J18</f>
        <v>27473942.030000001</v>
      </c>
      <c r="K10" s="234">
        <f>J10/I10</f>
        <v>0.54098705284838045</v>
      </c>
      <c r="L10" s="72">
        <f>50398903.5</f>
        <v>50398903.5</v>
      </c>
      <c r="M10" s="73">
        <f>51516470.66</f>
        <v>51516470.659999996</v>
      </c>
      <c r="N10" s="73">
        <f>51982525.98</f>
        <v>51982525.979999997</v>
      </c>
      <c r="O10" s="73">
        <f>53482454.43</f>
        <v>53482454.43</v>
      </c>
      <c r="P10" s="73">
        <f>55102550</f>
        <v>55102550</v>
      </c>
      <c r="Q10" s="73">
        <f>56752647</f>
        <v>56752647</v>
      </c>
      <c r="R10" s="73">
        <f>58435180</f>
        <v>58435180</v>
      </c>
      <c r="S10" s="73">
        <f>60228727</f>
        <v>60228727</v>
      </c>
      <c r="T10" s="73">
        <f>61551372</f>
        <v>61551372</v>
      </c>
      <c r="U10" s="73">
        <f>62805020</f>
        <v>62805020</v>
      </c>
    </row>
    <row r="11" spans="1:21" outlineLevel="2">
      <c r="A11" s="27" t="s">
        <v>57</v>
      </c>
      <c r="B11" s="74" t="s">
        <v>59</v>
      </c>
      <c r="C11" s="75" t="s">
        <v>60</v>
      </c>
      <c r="D11" s="76" t="s">
        <v>61</v>
      </c>
      <c r="E11" s="77">
        <f>45784305</f>
        <v>45784305</v>
      </c>
      <c r="F11" s="78">
        <f>47672032.39</f>
        <v>47672032.390000001</v>
      </c>
      <c r="G11" s="78">
        <f>46313905.84</f>
        <v>46313905.840000004</v>
      </c>
      <c r="H11" s="79">
        <f>49167366.56</f>
        <v>49167366.560000002</v>
      </c>
      <c r="I11" s="227">
        <f>48510362.97</f>
        <v>48510362.969999999</v>
      </c>
      <c r="J11" s="251">
        <v>26488475.52</v>
      </c>
      <c r="K11" s="235">
        <f>J11/I11</f>
        <v>0.54603746288975663</v>
      </c>
      <c r="L11" s="80">
        <f>49398903.5</f>
        <v>49398903.5</v>
      </c>
      <c r="M11" s="81">
        <f>50516470.66</f>
        <v>50516470.659999996</v>
      </c>
      <c r="N11" s="81">
        <f>51982525.98</f>
        <v>51982525.979999997</v>
      </c>
      <c r="O11" s="81">
        <f>53482454.43</f>
        <v>53482454.43</v>
      </c>
      <c r="P11" s="81">
        <f>55102550</f>
        <v>55102550</v>
      </c>
      <c r="Q11" s="81">
        <f>56752647</f>
        <v>56752647</v>
      </c>
      <c r="R11" s="81">
        <f>58435180</f>
        <v>58435180</v>
      </c>
      <c r="S11" s="81">
        <f>60228727</f>
        <v>60228727</v>
      </c>
      <c r="T11" s="81">
        <f>61551372</f>
        <v>61551372</v>
      </c>
      <c r="U11" s="81">
        <f>62805020</f>
        <v>62805020</v>
      </c>
    </row>
    <row r="12" spans="1:21" outlineLevel="3">
      <c r="B12" s="74" t="s">
        <v>62</v>
      </c>
      <c r="C12" s="82" t="s">
        <v>63</v>
      </c>
      <c r="D12" s="83" t="s">
        <v>64</v>
      </c>
      <c r="E12" s="77">
        <f>6380088</f>
        <v>6380088</v>
      </c>
      <c r="F12" s="78">
        <f>6793520</f>
        <v>6793520</v>
      </c>
      <c r="G12" s="78">
        <f>7117846</f>
        <v>7117846</v>
      </c>
      <c r="H12" s="79">
        <f>7196843</f>
        <v>7196843</v>
      </c>
      <c r="I12" s="227">
        <f>7796025</f>
        <v>7796025</v>
      </c>
      <c r="J12" s="251">
        <v>3497508</v>
      </c>
      <c r="K12" s="235">
        <f t="shared" ref="K12:K20" si="1">J12/I12</f>
        <v>0.44862708880487173</v>
      </c>
      <c r="L12" s="80">
        <f>7990925</f>
        <v>7990925</v>
      </c>
      <c r="M12" s="81">
        <f>8310562</f>
        <v>8310562</v>
      </c>
      <c r="N12" s="81">
        <f>8642982</f>
        <v>8642982</v>
      </c>
      <c r="O12" s="81">
        <f>0</f>
        <v>0</v>
      </c>
      <c r="P12" s="81">
        <f>0</f>
        <v>0</v>
      </c>
      <c r="Q12" s="81">
        <f>0</f>
        <v>0</v>
      </c>
      <c r="R12" s="81">
        <f>0</f>
        <v>0</v>
      </c>
      <c r="S12" s="81">
        <f>0</f>
        <v>0</v>
      </c>
      <c r="T12" s="81">
        <f>0</f>
        <v>0</v>
      </c>
      <c r="U12" s="81">
        <f>0</f>
        <v>0</v>
      </c>
    </row>
    <row r="13" spans="1:21" outlineLevel="3">
      <c r="B13" s="74" t="s">
        <v>65</v>
      </c>
      <c r="C13" s="82" t="s">
        <v>66</v>
      </c>
      <c r="D13" s="83" t="s">
        <v>67</v>
      </c>
      <c r="E13" s="77">
        <f>602353.41</f>
        <v>602353.41</v>
      </c>
      <c r="F13" s="78">
        <f>1156018.97</f>
        <v>1156018.97</v>
      </c>
      <c r="G13" s="78">
        <f>1000000</f>
        <v>1000000</v>
      </c>
      <c r="H13" s="79">
        <f>1608365.61</f>
        <v>1608365.61</v>
      </c>
      <c r="I13" s="227">
        <f>1450000</f>
        <v>1450000</v>
      </c>
      <c r="J13" s="251">
        <v>501444.92</v>
      </c>
      <c r="K13" s="235">
        <f t="shared" si="1"/>
        <v>0.3458240827586207</v>
      </c>
      <c r="L13" s="80">
        <f>1650000</f>
        <v>1650000</v>
      </c>
      <c r="M13" s="81">
        <f>1690000</f>
        <v>1690000</v>
      </c>
      <c r="N13" s="81">
        <f>1740000</f>
        <v>1740000</v>
      </c>
      <c r="O13" s="81">
        <f>0</f>
        <v>0</v>
      </c>
      <c r="P13" s="81">
        <f>0</f>
        <v>0</v>
      </c>
      <c r="Q13" s="81">
        <f>0</f>
        <v>0</v>
      </c>
      <c r="R13" s="81">
        <f>0</f>
        <v>0</v>
      </c>
      <c r="S13" s="81">
        <f>0</f>
        <v>0</v>
      </c>
      <c r="T13" s="81">
        <f>0</f>
        <v>0</v>
      </c>
      <c r="U13" s="81">
        <f>0</f>
        <v>0</v>
      </c>
    </row>
    <row r="14" spans="1:21" outlineLevel="3">
      <c r="B14" s="74" t="s">
        <v>68</v>
      </c>
      <c r="C14" s="82" t="s">
        <v>69</v>
      </c>
      <c r="D14" s="83" t="s">
        <v>70</v>
      </c>
      <c r="E14" s="77">
        <f>9818720.92</f>
        <v>9818720.9199999999</v>
      </c>
      <c r="F14" s="78">
        <f>10748610.84</f>
        <v>10748610.84</v>
      </c>
      <c r="G14" s="78">
        <f>11835679</f>
        <v>11835679</v>
      </c>
      <c r="H14" s="79">
        <f>12925670.01</f>
        <v>12925670.01</v>
      </c>
      <c r="I14" s="227">
        <f>12895252</f>
        <v>12895252</v>
      </c>
      <c r="J14" s="251">
        <v>6882206.8300000001</v>
      </c>
      <c r="K14" s="235">
        <f t="shared" si="1"/>
        <v>0.53370084043336263</v>
      </c>
      <c r="L14" s="80">
        <f>13442557</f>
        <v>13442557</v>
      </c>
      <c r="M14" s="81">
        <f>13662739</f>
        <v>13662739</v>
      </c>
      <c r="N14" s="81">
        <f>14072621</f>
        <v>14072621</v>
      </c>
      <c r="O14" s="81">
        <f>0</f>
        <v>0</v>
      </c>
      <c r="P14" s="81">
        <f>0</f>
        <v>0</v>
      </c>
      <c r="Q14" s="81">
        <f>0</f>
        <v>0</v>
      </c>
      <c r="R14" s="81">
        <f>0</f>
        <v>0</v>
      </c>
      <c r="S14" s="81">
        <f>0</f>
        <v>0</v>
      </c>
      <c r="T14" s="81">
        <f>0</f>
        <v>0</v>
      </c>
      <c r="U14" s="81">
        <f>0</f>
        <v>0</v>
      </c>
    </row>
    <row r="15" spans="1:21" outlineLevel="4">
      <c r="B15" s="74" t="s">
        <v>71</v>
      </c>
      <c r="C15" s="82" t="s">
        <v>72</v>
      </c>
      <c r="D15" s="84" t="s">
        <v>73</v>
      </c>
      <c r="E15" s="77">
        <f>7013519.69</f>
        <v>7013519.6900000004</v>
      </c>
      <c r="F15" s="78">
        <f>7461369.3</f>
        <v>7461369.2999999998</v>
      </c>
      <c r="G15" s="78">
        <f>7686168</f>
        <v>7686168</v>
      </c>
      <c r="H15" s="79">
        <f>8347706.74</f>
        <v>8347706.7400000002</v>
      </c>
      <c r="I15" s="227">
        <f>8585660</f>
        <v>8585660</v>
      </c>
      <c r="J15" s="251">
        <v>4377839.32</v>
      </c>
      <c r="K15" s="235">
        <f t="shared" si="1"/>
        <v>0.5099013145174629</v>
      </c>
      <c r="L15" s="80">
        <f>9013230</f>
        <v>9013230</v>
      </c>
      <c r="M15" s="81">
        <f>9108527</f>
        <v>9108527</v>
      </c>
      <c r="N15" s="81">
        <f>9381782</f>
        <v>9381782</v>
      </c>
      <c r="O15" s="81">
        <f>0</f>
        <v>0</v>
      </c>
      <c r="P15" s="81">
        <f>0</f>
        <v>0</v>
      </c>
      <c r="Q15" s="81">
        <f>0</f>
        <v>0</v>
      </c>
      <c r="R15" s="81">
        <f>0</f>
        <v>0</v>
      </c>
      <c r="S15" s="81">
        <f>0</f>
        <v>0</v>
      </c>
      <c r="T15" s="81">
        <f>0</f>
        <v>0</v>
      </c>
      <c r="U15" s="81">
        <f>0</f>
        <v>0</v>
      </c>
    </row>
    <row r="16" spans="1:21" outlineLevel="3">
      <c r="B16" s="74" t="s">
        <v>74</v>
      </c>
      <c r="C16" s="82" t="s">
        <v>75</v>
      </c>
      <c r="D16" s="83" t="s">
        <v>76</v>
      </c>
      <c r="E16" s="77">
        <f>15762985</f>
        <v>15762985</v>
      </c>
      <c r="F16" s="78">
        <f>17127631</f>
        <v>17127631</v>
      </c>
      <c r="G16" s="78">
        <f>15636850</f>
        <v>15636850</v>
      </c>
      <c r="H16" s="79">
        <f>15746850</f>
        <v>15746850</v>
      </c>
      <c r="I16" s="227">
        <f>16391610</f>
        <v>16391610</v>
      </c>
      <c r="J16" s="251">
        <v>9666988</v>
      </c>
      <c r="K16" s="235">
        <f t="shared" si="1"/>
        <v>0.58975219639803533</v>
      </c>
      <c r="L16" s="80">
        <f>16923228</f>
        <v>16923228</v>
      </c>
      <c r="M16" s="81">
        <f>17346308</f>
        <v>17346308</v>
      </c>
      <c r="N16" s="81">
        <f>17777746</f>
        <v>17777746</v>
      </c>
      <c r="O16" s="81">
        <f>0</f>
        <v>0</v>
      </c>
      <c r="P16" s="81">
        <f>0</f>
        <v>0</v>
      </c>
      <c r="Q16" s="81">
        <f>0</f>
        <v>0</v>
      </c>
      <c r="R16" s="81">
        <f>0</f>
        <v>0</v>
      </c>
      <c r="S16" s="81">
        <f>0</f>
        <v>0</v>
      </c>
      <c r="T16" s="81">
        <f>0</f>
        <v>0</v>
      </c>
      <c r="U16" s="81">
        <f>0</f>
        <v>0</v>
      </c>
    </row>
    <row r="17" spans="1:21" outlineLevel="3">
      <c r="B17" s="74" t="s">
        <v>77</v>
      </c>
      <c r="C17" s="82" t="s">
        <v>78</v>
      </c>
      <c r="D17" s="83" t="s">
        <v>79</v>
      </c>
      <c r="E17" s="77">
        <f>8320843.09</f>
        <v>8320843.0899999999</v>
      </c>
      <c r="F17" s="78">
        <f>8854997.64</f>
        <v>8854997.6400000006</v>
      </c>
      <c r="G17" s="78">
        <f>8761132.84</f>
        <v>8761132.8399999999</v>
      </c>
      <c r="H17" s="79">
        <f>8769874.76</f>
        <v>8769874.7599999998</v>
      </c>
      <c r="I17" s="227">
        <f>8091582.96</f>
        <v>8091582.96</v>
      </c>
      <c r="J17" s="251">
        <v>4959032.63</v>
      </c>
      <c r="K17" s="235">
        <f t="shared" si="1"/>
        <v>0.61286310163468927</v>
      </c>
      <c r="L17" s="80">
        <f>7104384</f>
        <v>7104384</v>
      </c>
      <c r="M17" s="81">
        <f>7281994</f>
        <v>7281994</v>
      </c>
      <c r="N17" s="81">
        <f>7488229</f>
        <v>7488229</v>
      </c>
      <c r="O17" s="81">
        <f>0</f>
        <v>0</v>
      </c>
      <c r="P17" s="81">
        <f>0</f>
        <v>0</v>
      </c>
      <c r="Q17" s="81">
        <f>0</f>
        <v>0</v>
      </c>
      <c r="R17" s="81">
        <f>0</f>
        <v>0</v>
      </c>
      <c r="S17" s="81">
        <f>0</f>
        <v>0</v>
      </c>
      <c r="T17" s="81">
        <f>0</f>
        <v>0</v>
      </c>
      <c r="U17" s="81">
        <f>0</f>
        <v>0</v>
      </c>
    </row>
    <row r="18" spans="1:21" outlineLevel="2">
      <c r="A18" s="27" t="s">
        <v>57</v>
      </c>
      <c r="B18" s="74" t="s">
        <v>80</v>
      </c>
      <c r="C18" s="82" t="s">
        <v>81</v>
      </c>
      <c r="D18" s="76" t="s">
        <v>82</v>
      </c>
      <c r="E18" s="77">
        <f>11365479.27</f>
        <v>11365479.27</v>
      </c>
      <c r="F18" s="78">
        <f>2743882.49</f>
        <v>2743882.49</v>
      </c>
      <c r="G18" s="78">
        <f>4952560.13</f>
        <v>4952560.13</v>
      </c>
      <c r="H18" s="79">
        <f>4610027.43</f>
        <v>4610027.43</v>
      </c>
      <c r="I18" s="227">
        <f>2274479.08</f>
        <v>2274479.08</v>
      </c>
      <c r="J18" s="251">
        <v>985466.51</v>
      </c>
      <c r="K18" s="235">
        <f t="shared" si="1"/>
        <v>0.43327130096092153</v>
      </c>
      <c r="L18" s="80">
        <f>1000000</f>
        <v>1000000</v>
      </c>
      <c r="M18" s="81">
        <f>1000000</f>
        <v>1000000</v>
      </c>
      <c r="N18" s="81">
        <f>0</f>
        <v>0</v>
      </c>
      <c r="O18" s="81">
        <f>0</f>
        <v>0</v>
      </c>
      <c r="P18" s="81">
        <f>0</f>
        <v>0</v>
      </c>
      <c r="Q18" s="81">
        <f>0</f>
        <v>0</v>
      </c>
      <c r="R18" s="81">
        <f>0</f>
        <v>0</v>
      </c>
      <c r="S18" s="81">
        <f>0</f>
        <v>0</v>
      </c>
      <c r="T18" s="81">
        <f>0</f>
        <v>0</v>
      </c>
      <c r="U18" s="81">
        <f>0</f>
        <v>0</v>
      </c>
    </row>
    <row r="19" spans="1:21" outlineLevel="3">
      <c r="A19" s="27" t="s">
        <v>57</v>
      </c>
      <c r="B19" s="74" t="s">
        <v>83</v>
      </c>
      <c r="C19" s="82" t="s">
        <v>84</v>
      </c>
      <c r="D19" s="83" t="s">
        <v>85</v>
      </c>
      <c r="E19" s="77">
        <f>1762385.42</f>
        <v>1762385.42</v>
      </c>
      <c r="F19" s="78">
        <f>547569.03</f>
        <v>547569.03</v>
      </c>
      <c r="G19" s="78">
        <f>600900</f>
        <v>600900</v>
      </c>
      <c r="H19" s="79">
        <f>805603.77</f>
        <v>805603.77</v>
      </c>
      <c r="I19" s="227">
        <f>1500000</f>
        <v>1500000</v>
      </c>
      <c r="J19" s="251">
        <v>213216.63</v>
      </c>
      <c r="K19" s="235">
        <f t="shared" si="1"/>
        <v>0.14214441999999999</v>
      </c>
      <c r="L19" s="80">
        <f>1000000</f>
        <v>1000000</v>
      </c>
      <c r="M19" s="81">
        <f>1000000</f>
        <v>1000000</v>
      </c>
      <c r="N19" s="81">
        <f>0</f>
        <v>0</v>
      </c>
      <c r="O19" s="81">
        <f>0</f>
        <v>0</v>
      </c>
      <c r="P19" s="81">
        <f>0</f>
        <v>0</v>
      </c>
      <c r="Q19" s="81">
        <f>0</f>
        <v>0</v>
      </c>
      <c r="R19" s="81">
        <f>0</f>
        <v>0</v>
      </c>
      <c r="S19" s="81">
        <f>0</f>
        <v>0</v>
      </c>
      <c r="T19" s="81">
        <f>0</f>
        <v>0</v>
      </c>
      <c r="U19" s="81">
        <f>0</f>
        <v>0</v>
      </c>
    </row>
    <row r="20" spans="1:21" outlineLevel="3">
      <c r="B20" s="74" t="s">
        <v>86</v>
      </c>
      <c r="C20" s="82" t="s">
        <v>87</v>
      </c>
      <c r="D20" s="83" t="s">
        <v>88</v>
      </c>
      <c r="E20" s="77">
        <f>9569850.87</f>
        <v>9569850.8699999992</v>
      </c>
      <c r="F20" s="78">
        <f>2159975.37</f>
        <v>2159975.37</v>
      </c>
      <c r="G20" s="78">
        <f>4325817.13</f>
        <v>4325817.13</v>
      </c>
      <c r="H20" s="79">
        <f>3776882.24</f>
        <v>3776882.24</v>
      </c>
      <c r="I20" s="227">
        <f>768479.08</f>
        <v>768479.08</v>
      </c>
      <c r="J20" s="251">
        <v>768479.08</v>
      </c>
      <c r="K20" s="235">
        <f t="shared" si="1"/>
        <v>1</v>
      </c>
      <c r="L20" s="80">
        <f>0</f>
        <v>0</v>
      </c>
      <c r="M20" s="81">
        <f>0</f>
        <v>0</v>
      </c>
      <c r="N20" s="81">
        <f>0</f>
        <v>0</v>
      </c>
      <c r="O20" s="81">
        <f>0</f>
        <v>0</v>
      </c>
      <c r="P20" s="81">
        <f>0</f>
        <v>0</v>
      </c>
      <c r="Q20" s="81">
        <f>0</f>
        <v>0</v>
      </c>
      <c r="R20" s="81">
        <f>0</f>
        <v>0</v>
      </c>
      <c r="S20" s="81">
        <f>0</f>
        <v>0</v>
      </c>
      <c r="T20" s="81">
        <f>0</f>
        <v>0</v>
      </c>
      <c r="U20" s="81">
        <f>0</f>
        <v>0</v>
      </c>
    </row>
    <row r="21" spans="1:21" outlineLevel="1">
      <c r="A21" s="27" t="s">
        <v>57</v>
      </c>
      <c r="B21" s="66">
        <v>2</v>
      </c>
      <c r="C21" s="67" t="s">
        <v>89</v>
      </c>
      <c r="D21" s="68" t="s">
        <v>89</v>
      </c>
      <c r="E21" s="69">
        <f>57174534.86</f>
        <v>57174534.859999999</v>
      </c>
      <c r="F21" s="70">
        <f>56363522.75</f>
        <v>56363522.75</v>
      </c>
      <c r="G21" s="70">
        <f>52276915.99</f>
        <v>52276915.990000002</v>
      </c>
      <c r="H21" s="71">
        <f>51136717.32</f>
        <v>51136717.32</v>
      </c>
      <c r="I21" s="226">
        <f>50960042.05</f>
        <v>50960042.049999997</v>
      </c>
      <c r="J21" s="250">
        <f>J22+J30</f>
        <v>25431952.550000001</v>
      </c>
      <c r="K21" s="234">
        <f>J21/I21</f>
        <v>0.49905674184976467</v>
      </c>
      <c r="L21" s="72">
        <f>48722103.5</f>
        <v>48722103.5</v>
      </c>
      <c r="M21" s="73">
        <f>49839670.66</f>
        <v>49839670.659999996</v>
      </c>
      <c r="N21" s="73">
        <f>50305725.98</f>
        <v>50305725.979999997</v>
      </c>
      <c r="O21" s="73">
        <f>51805654.43</f>
        <v>51805654.43</v>
      </c>
      <c r="P21" s="73">
        <f>54157750</f>
        <v>54157750</v>
      </c>
      <c r="Q21" s="73">
        <f>55807847</f>
        <v>55807847</v>
      </c>
      <c r="R21" s="73">
        <f>57490380</f>
        <v>57490380</v>
      </c>
      <c r="S21" s="73">
        <f>59283727</f>
        <v>59283727</v>
      </c>
      <c r="T21" s="73">
        <f>61026372</f>
        <v>61026372</v>
      </c>
      <c r="U21" s="73">
        <f>62393418.76</f>
        <v>62393418.759999998</v>
      </c>
    </row>
    <row r="22" spans="1:21" outlineLevel="2">
      <c r="A22" s="27" t="s">
        <v>57</v>
      </c>
      <c r="B22" s="74" t="s">
        <v>90</v>
      </c>
      <c r="C22" s="75" t="s">
        <v>91</v>
      </c>
      <c r="D22" s="76" t="s">
        <v>92</v>
      </c>
      <c r="E22" s="77">
        <f>41279194.72</f>
        <v>41279194.719999999</v>
      </c>
      <c r="F22" s="78">
        <f>44461903.23</f>
        <v>44461903.229999997</v>
      </c>
      <c r="G22" s="78">
        <f>46067072.67</f>
        <v>46067072.670000002</v>
      </c>
      <c r="H22" s="79">
        <f>45556082.95</f>
        <v>45556082.950000003</v>
      </c>
      <c r="I22" s="227">
        <f>47970242.05</f>
        <v>47970242.049999997</v>
      </c>
      <c r="J22" s="251">
        <v>24088551.100000001</v>
      </c>
      <c r="K22" s="235">
        <f>J22/I22</f>
        <v>0.50215612993764336</v>
      </c>
      <c r="L22" s="80">
        <f>47252103.5</f>
        <v>47252103.5</v>
      </c>
      <c r="M22" s="81">
        <f>48839670.66</f>
        <v>48839670.659999996</v>
      </c>
      <c r="N22" s="81">
        <f>50305725.98</f>
        <v>50305725.979999997</v>
      </c>
      <c r="O22" s="81">
        <f>51805654.43</f>
        <v>51805654.43</v>
      </c>
      <c r="P22" s="81">
        <f>54157750</f>
        <v>54157750</v>
      </c>
      <c r="Q22" s="81">
        <f>55807847</f>
        <v>55807847</v>
      </c>
      <c r="R22" s="81">
        <f>57490380</f>
        <v>57490380</v>
      </c>
      <c r="S22" s="81">
        <f>59283727</f>
        <v>59283727</v>
      </c>
      <c r="T22" s="81">
        <f>61026372</f>
        <v>61026372</v>
      </c>
      <c r="U22" s="81">
        <f>62393418.76</f>
        <v>62393418.759999998</v>
      </c>
    </row>
    <row r="23" spans="1:21" outlineLevel="3">
      <c r="A23" s="27" t="s">
        <v>57</v>
      </c>
      <c r="B23" s="74" t="s">
        <v>93</v>
      </c>
      <c r="C23" s="82" t="s">
        <v>94</v>
      </c>
      <c r="D23" s="83" t="s">
        <v>95</v>
      </c>
      <c r="E23" s="77">
        <f>0</f>
        <v>0</v>
      </c>
      <c r="F23" s="78">
        <f>0</f>
        <v>0</v>
      </c>
      <c r="G23" s="78">
        <f>0</f>
        <v>0</v>
      </c>
      <c r="H23" s="79">
        <f>0</f>
        <v>0</v>
      </c>
      <c r="I23" s="227">
        <f>0</f>
        <v>0</v>
      </c>
      <c r="J23" s="251">
        <v>0</v>
      </c>
      <c r="K23" s="242" t="s">
        <v>57</v>
      </c>
      <c r="L23" s="80">
        <f>0</f>
        <v>0</v>
      </c>
      <c r="M23" s="81">
        <f>0</f>
        <v>0</v>
      </c>
      <c r="N23" s="81">
        <f>0</f>
        <v>0</v>
      </c>
      <c r="O23" s="81">
        <f>0</f>
        <v>0</v>
      </c>
      <c r="P23" s="81">
        <f>0</f>
        <v>0</v>
      </c>
      <c r="Q23" s="81">
        <f>0</f>
        <v>0</v>
      </c>
      <c r="R23" s="81">
        <f>0</f>
        <v>0</v>
      </c>
      <c r="S23" s="81">
        <f>0</f>
        <v>0</v>
      </c>
      <c r="T23" s="81">
        <f>0</f>
        <v>0</v>
      </c>
      <c r="U23" s="81">
        <f>0</f>
        <v>0</v>
      </c>
    </row>
    <row r="24" spans="1:21" ht="24" outlineLevel="4">
      <c r="A24" s="27" t="s">
        <v>57</v>
      </c>
      <c r="B24" s="74" t="s">
        <v>96</v>
      </c>
      <c r="C24" s="82" t="s">
        <v>97</v>
      </c>
      <c r="D24" s="84" t="s">
        <v>98</v>
      </c>
      <c r="E24" s="77">
        <f>0</f>
        <v>0</v>
      </c>
      <c r="F24" s="78">
        <f>0</f>
        <v>0</v>
      </c>
      <c r="G24" s="78">
        <f>0</f>
        <v>0</v>
      </c>
      <c r="H24" s="79">
        <f>0</f>
        <v>0</v>
      </c>
      <c r="I24" s="227">
        <f>0</f>
        <v>0</v>
      </c>
      <c r="J24" s="236">
        <v>0</v>
      </c>
      <c r="K24" s="242" t="s">
        <v>57</v>
      </c>
      <c r="L24" s="80">
        <f>0</f>
        <v>0</v>
      </c>
      <c r="M24" s="81">
        <f>0</f>
        <v>0</v>
      </c>
      <c r="N24" s="81">
        <f>0</f>
        <v>0</v>
      </c>
      <c r="O24" s="81">
        <f>0</f>
        <v>0</v>
      </c>
      <c r="P24" s="81">
        <f>0</f>
        <v>0</v>
      </c>
      <c r="Q24" s="81">
        <f>0</f>
        <v>0</v>
      </c>
      <c r="R24" s="81">
        <f>0</f>
        <v>0</v>
      </c>
      <c r="S24" s="81">
        <f>0</f>
        <v>0</v>
      </c>
      <c r="T24" s="81">
        <f>0</f>
        <v>0</v>
      </c>
      <c r="U24" s="81">
        <f>0</f>
        <v>0</v>
      </c>
    </row>
    <row r="25" spans="1:21" ht="36" outlineLevel="3">
      <c r="B25" s="74" t="s">
        <v>99</v>
      </c>
      <c r="C25" s="82" t="s">
        <v>100</v>
      </c>
      <c r="D25" s="83" t="s">
        <v>101</v>
      </c>
      <c r="E25" s="77">
        <f>0</f>
        <v>0</v>
      </c>
      <c r="F25" s="78">
        <f>0</f>
        <v>0</v>
      </c>
      <c r="G25" s="78">
        <f>0</f>
        <v>0</v>
      </c>
      <c r="H25" s="79">
        <f>0</f>
        <v>0</v>
      </c>
      <c r="I25" s="227">
        <f>0</f>
        <v>0</v>
      </c>
      <c r="J25" s="236">
        <v>0</v>
      </c>
      <c r="K25" s="242" t="s">
        <v>57</v>
      </c>
      <c r="L25" s="80">
        <f>0</f>
        <v>0</v>
      </c>
      <c r="M25" s="81">
        <f>0</f>
        <v>0</v>
      </c>
      <c r="N25" s="81">
        <f>0</f>
        <v>0</v>
      </c>
      <c r="O25" s="81">
        <f>0</f>
        <v>0</v>
      </c>
      <c r="P25" s="81">
        <f>0</f>
        <v>0</v>
      </c>
      <c r="Q25" s="81">
        <f>0</f>
        <v>0</v>
      </c>
      <c r="R25" s="81">
        <f>0</f>
        <v>0</v>
      </c>
      <c r="S25" s="81">
        <f>0</f>
        <v>0</v>
      </c>
      <c r="T25" s="81">
        <f>0</f>
        <v>0</v>
      </c>
      <c r="U25" s="81">
        <f>0</f>
        <v>0</v>
      </c>
    </row>
    <row r="26" spans="1:21" outlineLevel="3">
      <c r="A26" s="27" t="s">
        <v>57</v>
      </c>
      <c r="B26" s="74" t="s">
        <v>102</v>
      </c>
      <c r="C26" s="82" t="s">
        <v>103</v>
      </c>
      <c r="D26" s="83" t="s">
        <v>104</v>
      </c>
      <c r="E26" s="77">
        <f>447259.47</f>
        <v>447259.47</v>
      </c>
      <c r="F26" s="78">
        <f>417830.36</f>
        <v>417830.36</v>
      </c>
      <c r="G26" s="78">
        <f>573583</f>
        <v>573583</v>
      </c>
      <c r="H26" s="79">
        <f>506112.59</f>
        <v>506112.59</v>
      </c>
      <c r="I26" s="227">
        <f>467200</f>
        <v>467200</v>
      </c>
      <c r="J26" s="236">
        <f>J27</f>
        <v>154201.95000000001</v>
      </c>
      <c r="K26" s="235">
        <f>J26/I26</f>
        <v>0.33005554366438361</v>
      </c>
      <c r="L26" s="80">
        <f>400275</f>
        <v>400275</v>
      </c>
      <c r="M26" s="81">
        <f>338200</f>
        <v>338200</v>
      </c>
      <c r="N26" s="81">
        <f>276625</f>
        <v>276625</v>
      </c>
      <c r="O26" s="81">
        <f>214450</f>
        <v>214450</v>
      </c>
      <c r="P26" s="81">
        <f>152975</f>
        <v>152975</v>
      </c>
      <c r="Q26" s="81">
        <f>121900</f>
        <v>121900</v>
      </c>
      <c r="R26" s="81">
        <f>90825</f>
        <v>90825</v>
      </c>
      <c r="S26" s="81">
        <f>46550</f>
        <v>46550</v>
      </c>
      <c r="T26" s="81">
        <f>25175</f>
        <v>25175</v>
      </c>
      <c r="U26" s="81">
        <f>12300</f>
        <v>12300</v>
      </c>
    </row>
    <row r="27" spans="1:21" outlineLevel="4">
      <c r="A27" s="27" t="s">
        <v>57</v>
      </c>
      <c r="B27" s="74" t="s">
        <v>105</v>
      </c>
      <c r="C27" s="82" t="s">
        <v>106</v>
      </c>
      <c r="D27" s="84" t="s">
        <v>107</v>
      </c>
      <c r="E27" s="77">
        <f>447259.47</f>
        <v>447259.47</v>
      </c>
      <c r="F27" s="78">
        <f>417830.36</f>
        <v>417830.36</v>
      </c>
      <c r="G27" s="78">
        <f>573583</f>
        <v>573583</v>
      </c>
      <c r="H27" s="79">
        <f>506112.59</f>
        <v>506112.59</v>
      </c>
      <c r="I27" s="227">
        <f>467200</f>
        <v>467200</v>
      </c>
      <c r="J27" s="236">
        <v>154201.95000000001</v>
      </c>
      <c r="K27" s="235">
        <f>J27/I27</f>
        <v>0.33005554366438361</v>
      </c>
      <c r="L27" s="80">
        <f>400275</f>
        <v>400275</v>
      </c>
      <c r="M27" s="81">
        <f>338200</f>
        <v>338200</v>
      </c>
      <c r="N27" s="81">
        <f>276625</f>
        <v>276625</v>
      </c>
      <c r="O27" s="81">
        <f>214450</f>
        <v>214450</v>
      </c>
      <c r="P27" s="81">
        <f>152975</f>
        <v>152975</v>
      </c>
      <c r="Q27" s="81">
        <f>121900</f>
        <v>121900</v>
      </c>
      <c r="R27" s="81">
        <f>90825</f>
        <v>90825</v>
      </c>
      <c r="S27" s="81">
        <f>46550</f>
        <v>46550</v>
      </c>
      <c r="T27" s="81">
        <f>25175</f>
        <v>25175</v>
      </c>
      <c r="U27" s="81">
        <f>12300</f>
        <v>12300</v>
      </c>
    </row>
    <row r="28" spans="1:21" ht="36" outlineLevel="5">
      <c r="A28" s="27" t="s">
        <v>57</v>
      </c>
      <c r="B28" s="74" t="s">
        <v>108</v>
      </c>
      <c r="C28" s="82" t="s">
        <v>109</v>
      </c>
      <c r="D28" s="85" t="s">
        <v>110</v>
      </c>
      <c r="E28" s="77">
        <f>0</f>
        <v>0</v>
      </c>
      <c r="F28" s="78">
        <f>0</f>
        <v>0</v>
      </c>
      <c r="G28" s="78">
        <f>0</f>
        <v>0</v>
      </c>
      <c r="H28" s="79">
        <f>0</f>
        <v>0</v>
      </c>
      <c r="I28" s="227">
        <f>0</f>
        <v>0</v>
      </c>
      <c r="J28" s="236">
        <v>0</v>
      </c>
      <c r="K28" s="242" t="s">
        <v>57</v>
      </c>
      <c r="L28" s="80">
        <f>0</f>
        <v>0</v>
      </c>
      <c r="M28" s="81">
        <f>0</f>
        <v>0</v>
      </c>
      <c r="N28" s="81">
        <f>0</f>
        <v>0</v>
      </c>
      <c r="O28" s="81">
        <f>0</f>
        <v>0</v>
      </c>
      <c r="P28" s="81">
        <f>0</f>
        <v>0</v>
      </c>
      <c r="Q28" s="81">
        <f>0</f>
        <v>0</v>
      </c>
      <c r="R28" s="81">
        <f>0</f>
        <v>0</v>
      </c>
      <c r="S28" s="81">
        <f>0</f>
        <v>0</v>
      </c>
      <c r="T28" s="81">
        <f>0</f>
        <v>0</v>
      </c>
      <c r="U28" s="81">
        <f>0</f>
        <v>0</v>
      </c>
    </row>
    <row r="29" spans="1:21" ht="24" outlineLevel="5">
      <c r="A29" s="27" t="s">
        <v>57</v>
      </c>
      <c r="B29" s="74" t="s">
        <v>111</v>
      </c>
      <c r="C29" s="82" t="s">
        <v>112</v>
      </c>
      <c r="D29" s="85" t="s">
        <v>113</v>
      </c>
      <c r="E29" s="77">
        <f>0</f>
        <v>0</v>
      </c>
      <c r="F29" s="78">
        <f>0</f>
        <v>0</v>
      </c>
      <c r="G29" s="78">
        <f>0</f>
        <v>0</v>
      </c>
      <c r="H29" s="79">
        <f>0</f>
        <v>0</v>
      </c>
      <c r="I29" s="227">
        <f>0</f>
        <v>0</v>
      </c>
      <c r="J29" s="236">
        <v>0</v>
      </c>
      <c r="K29" s="242" t="s">
        <v>57</v>
      </c>
      <c r="L29" s="80">
        <f>0</f>
        <v>0</v>
      </c>
      <c r="M29" s="81">
        <f>0</f>
        <v>0</v>
      </c>
      <c r="N29" s="81">
        <f>0</f>
        <v>0</v>
      </c>
      <c r="O29" s="81">
        <f>0</f>
        <v>0</v>
      </c>
      <c r="P29" s="81">
        <f>0</f>
        <v>0</v>
      </c>
      <c r="Q29" s="81">
        <f>0</f>
        <v>0</v>
      </c>
      <c r="R29" s="81">
        <f>0</f>
        <v>0</v>
      </c>
      <c r="S29" s="81">
        <f>0</f>
        <v>0</v>
      </c>
      <c r="T29" s="81">
        <f>0</f>
        <v>0</v>
      </c>
      <c r="U29" s="81">
        <f>0</f>
        <v>0</v>
      </c>
    </row>
    <row r="30" spans="1:21" outlineLevel="2">
      <c r="A30" s="27" t="s">
        <v>57</v>
      </c>
      <c r="B30" s="74" t="s">
        <v>114</v>
      </c>
      <c r="C30" s="82" t="s">
        <v>115</v>
      </c>
      <c r="D30" s="76" t="s">
        <v>116</v>
      </c>
      <c r="E30" s="77">
        <f>15895340.14</f>
        <v>15895340.140000001</v>
      </c>
      <c r="F30" s="78">
        <f>11901619.52</f>
        <v>11901619.52</v>
      </c>
      <c r="G30" s="78">
        <f>6209843.32</f>
        <v>6209843.3200000003</v>
      </c>
      <c r="H30" s="79">
        <f>5580634.37</f>
        <v>5580634.3700000001</v>
      </c>
      <c r="I30" s="227">
        <f>2989800</f>
        <v>2989800</v>
      </c>
      <c r="J30" s="236">
        <f>1343401.45</f>
        <v>1343401.45</v>
      </c>
      <c r="K30" s="235">
        <f>J30/I30</f>
        <v>0.44932819921064954</v>
      </c>
      <c r="L30" s="80">
        <f>1470000</f>
        <v>1470000</v>
      </c>
      <c r="M30" s="81">
        <f>1000000</f>
        <v>1000000</v>
      </c>
      <c r="N30" s="81">
        <f>0</f>
        <v>0</v>
      </c>
      <c r="O30" s="81">
        <f>0</f>
        <v>0</v>
      </c>
      <c r="P30" s="81">
        <f>0</f>
        <v>0</v>
      </c>
      <c r="Q30" s="81">
        <f>0</f>
        <v>0</v>
      </c>
      <c r="R30" s="81">
        <f>0</f>
        <v>0</v>
      </c>
      <c r="S30" s="81">
        <f>0</f>
        <v>0</v>
      </c>
      <c r="T30" s="81">
        <f>0</f>
        <v>0</v>
      </c>
      <c r="U30" s="81">
        <f>0</f>
        <v>0</v>
      </c>
    </row>
    <row r="31" spans="1:21" outlineLevel="1">
      <c r="A31" s="27" t="s">
        <v>57</v>
      </c>
      <c r="B31" s="66">
        <v>3</v>
      </c>
      <c r="C31" s="67" t="s">
        <v>117</v>
      </c>
      <c r="D31" s="68" t="s">
        <v>117</v>
      </c>
      <c r="E31" s="69">
        <f>-24750.59</f>
        <v>-24750.59</v>
      </c>
      <c r="F31" s="70">
        <f>-5947607.87</f>
        <v>-5947607.8700000001</v>
      </c>
      <c r="G31" s="70">
        <f>-1010450.02</f>
        <v>-1010450.02</v>
      </c>
      <c r="H31" s="71">
        <f>2640676.67</f>
        <v>2640676.67</v>
      </c>
      <c r="I31" s="226">
        <f>-175200</f>
        <v>-175200</v>
      </c>
      <c r="J31" s="237">
        <f>J10-J21</f>
        <v>2041989.4800000004</v>
      </c>
      <c r="K31" s="239" t="s">
        <v>57</v>
      </c>
      <c r="L31" s="72">
        <f>1676800</f>
        <v>1676800</v>
      </c>
      <c r="M31" s="73">
        <f>1676800</f>
        <v>1676800</v>
      </c>
      <c r="N31" s="73">
        <f>1676800</f>
        <v>1676800</v>
      </c>
      <c r="O31" s="73">
        <f>1676800</f>
        <v>1676800</v>
      </c>
      <c r="P31" s="73">
        <f>944800</f>
        <v>944800</v>
      </c>
      <c r="Q31" s="73">
        <f>944800</f>
        <v>944800</v>
      </c>
      <c r="R31" s="73">
        <f>944800</f>
        <v>944800</v>
      </c>
      <c r="S31" s="73">
        <f>945000</f>
        <v>945000</v>
      </c>
      <c r="T31" s="73">
        <f>525000</f>
        <v>525000</v>
      </c>
      <c r="U31" s="73">
        <f>411601.24</f>
        <v>411601.24</v>
      </c>
    </row>
    <row r="32" spans="1:21" outlineLevel="1">
      <c r="A32" s="27" t="s">
        <v>57</v>
      </c>
      <c r="B32" s="66">
        <v>4</v>
      </c>
      <c r="C32" s="67" t="s">
        <v>118</v>
      </c>
      <c r="D32" s="68" t="s">
        <v>118</v>
      </c>
      <c r="E32" s="69">
        <f>4265508.67</f>
        <v>4265508.67</v>
      </c>
      <c r="F32" s="70">
        <f>8294169.17</f>
        <v>8294169.1699999999</v>
      </c>
      <c r="G32" s="70">
        <f>2665000</f>
        <v>2665000</v>
      </c>
      <c r="H32" s="71">
        <f>2665161.3</f>
        <v>2665161.2999999998</v>
      </c>
      <c r="I32" s="226">
        <f>1852000</f>
        <v>1852000</v>
      </c>
      <c r="J32" s="237">
        <f>J35</f>
        <v>3651287.99</v>
      </c>
      <c r="K32" s="234">
        <f>J32/I32</f>
        <v>1.9715377915766741</v>
      </c>
      <c r="L32" s="72">
        <f>0</f>
        <v>0</v>
      </c>
      <c r="M32" s="73">
        <f>0</f>
        <v>0</v>
      </c>
      <c r="N32" s="73">
        <f>0</f>
        <v>0</v>
      </c>
      <c r="O32" s="73">
        <f>0</f>
        <v>0</v>
      </c>
      <c r="P32" s="73">
        <f>0</f>
        <v>0</v>
      </c>
      <c r="Q32" s="73">
        <f>0</f>
        <v>0</v>
      </c>
      <c r="R32" s="73">
        <f>0</f>
        <v>0</v>
      </c>
      <c r="S32" s="73">
        <f>0</f>
        <v>0</v>
      </c>
      <c r="T32" s="73">
        <f>0</f>
        <v>0</v>
      </c>
      <c r="U32" s="73">
        <f>0</f>
        <v>0</v>
      </c>
    </row>
    <row r="33" spans="1:21" outlineLevel="2">
      <c r="A33" s="27" t="s">
        <v>57</v>
      </c>
      <c r="B33" s="74" t="s">
        <v>119</v>
      </c>
      <c r="C33" s="82" t="s">
        <v>120</v>
      </c>
      <c r="D33" s="76" t="s">
        <v>121</v>
      </c>
      <c r="E33" s="77">
        <f>0</f>
        <v>0</v>
      </c>
      <c r="F33" s="78">
        <f>0</f>
        <v>0</v>
      </c>
      <c r="G33" s="78">
        <f>0</f>
        <v>0</v>
      </c>
      <c r="H33" s="79">
        <f>0</f>
        <v>0</v>
      </c>
      <c r="I33" s="227">
        <f>0</f>
        <v>0</v>
      </c>
      <c r="J33" s="236">
        <v>0</v>
      </c>
      <c r="K33" s="242" t="s">
        <v>57</v>
      </c>
      <c r="L33" s="80">
        <f>0</f>
        <v>0</v>
      </c>
      <c r="M33" s="81">
        <f>0</f>
        <v>0</v>
      </c>
      <c r="N33" s="81">
        <f>0</f>
        <v>0</v>
      </c>
      <c r="O33" s="81">
        <f>0</f>
        <v>0</v>
      </c>
      <c r="P33" s="81">
        <f>0</f>
        <v>0</v>
      </c>
      <c r="Q33" s="81">
        <f>0</f>
        <v>0</v>
      </c>
      <c r="R33" s="81">
        <f>0</f>
        <v>0</v>
      </c>
      <c r="S33" s="81">
        <f>0</f>
        <v>0</v>
      </c>
      <c r="T33" s="81">
        <f>0</f>
        <v>0</v>
      </c>
      <c r="U33" s="81">
        <f>0</f>
        <v>0</v>
      </c>
    </row>
    <row r="34" spans="1:21" outlineLevel="3">
      <c r="A34" s="27" t="s">
        <v>57</v>
      </c>
      <c r="B34" s="74" t="s">
        <v>122</v>
      </c>
      <c r="C34" s="82" t="s">
        <v>123</v>
      </c>
      <c r="D34" s="83" t="s">
        <v>124</v>
      </c>
      <c r="E34" s="77">
        <f>0</f>
        <v>0</v>
      </c>
      <c r="F34" s="78">
        <f>0</f>
        <v>0</v>
      </c>
      <c r="G34" s="78">
        <f>0</f>
        <v>0</v>
      </c>
      <c r="H34" s="79">
        <f>0</f>
        <v>0</v>
      </c>
      <c r="I34" s="227">
        <f>0</f>
        <v>0</v>
      </c>
      <c r="J34" s="236">
        <v>0</v>
      </c>
      <c r="K34" s="242" t="s">
        <v>57</v>
      </c>
      <c r="L34" s="80">
        <f>0</f>
        <v>0</v>
      </c>
      <c r="M34" s="81">
        <f>0</f>
        <v>0</v>
      </c>
      <c r="N34" s="81">
        <f>0</f>
        <v>0</v>
      </c>
      <c r="O34" s="81">
        <f>0</f>
        <v>0</v>
      </c>
      <c r="P34" s="81">
        <f>0</f>
        <v>0</v>
      </c>
      <c r="Q34" s="81">
        <f>0</f>
        <v>0</v>
      </c>
      <c r="R34" s="81">
        <f>0</f>
        <v>0</v>
      </c>
      <c r="S34" s="81">
        <f>0</f>
        <v>0</v>
      </c>
      <c r="T34" s="81">
        <f>0</f>
        <v>0</v>
      </c>
      <c r="U34" s="81">
        <f>0</f>
        <v>0</v>
      </c>
    </row>
    <row r="35" spans="1:21" outlineLevel="2">
      <c r="A35" s="27" t="s">
        <v>57</v>
      </c>
      <c r="B35" s="74" t="s">
        <v>125</v>
      </c>
      <c r="C35" s="82" t="s">
        <v>126</v>
      </c>
      <c r="D35" s="76" t="s">
        <v>127</v>
      </c>
      <c r="E35" s="77">
        <f>607551.39</f>
        <v>607551.39</v>
      </c>
      <c r="F35" s="78">
        <f>3001809.02</f>
        <v>3001809.02</v>
      </c>
      <c r="G35" s="78">
        <f>1415000</f>
        <v>1415000</v>
      </c>
      <c r="H35" s="79">
        <f>1415161.3</f>
        <v>1415161.3</v>
      </c>
      <c r="I35" s="227">
        <f>1852000</f>
        <v>1852000</v>
      </c>
      <c r="J35" s="252">
        <v>3651287.99</v>
      </c>
      <c r="K35" s="235">
        <f>J35/I35</f>
        <v>1.9715377915766741</v>
      </c>
      <c r="L35" s="80">
        <f>0</f>
        <v>0</v>
      </c>
      <c r="M35" s="81">
        <f>0</f>
        <v>0</v>
      </c>
      <c r="N35" s="81">
        <f>0</f>
        <v>0</v>
      </c>
      <c r="O35" s="81">
        <f>0</f>
        <v>0</v>
      </c>
      <c r="P35" s="81">
        <f>0</f>
        <v>0</v>
      </c>
      <c r="Q35" s="81">
        <f>0</f>
        <v>0</v>
      </c>
      <c r="R35" s="81">
        <f>0</f>
        <v>0</v>
      </c>
      <c r="S35" s="81">
        <f>0</f>
        <v>0</v>
      </c>
      <c r="T35" s="81">
        <f>0</f>
        <v>0</v>
      </c>
      <c r="U35" s="81">
        <f>0</f>
        <v>0</v>
      </c>
    </row>
    <row r="36" spans="1:21" outlineLevel="3">
      <c r="A36" s="27" t="s">
        <v>57</v>
      </c>
      <c r="B36" s="74" t="s">
        <v>128</v>
      </c>
      <c r="C36" s="82" t="s">
        <v>129</v>
      </c>
      <c r="D36" s="83" t="s">
        <v>124</v>
      </c>
      <c r="E36" s="77">
        <f>0</f>
        <v>0</v>
      </c>
      <c r="F36" s="78">
        <f>655247.72</f>
        <v>655247.72</v>
      </c>
      <c r="G36" s="78">
        <f>1010450.02</f>
        <v>1010450.02</v>
      </c>
      <c r="H36" s="79">
        <f>0</f>
        <v>0</v>
      </c>
      <c r="I36" s="227">
        <f>175200</f>
        <v>175200</v>
      </c>
      <c r="J36" s="236">
        <v>0</v>
      </c>
      <c r="K36" s="235">
        <f>J36/I36</f>
        <v>0</v>
      </c>
      <c r="L36" s="80">
        <f>0</f>
        <v>0</v>
      </c>
      <c r="M36" s="81">
        <f>0</f>
        <v>0</v>
      </c>
      <c r="N36" s="81">
        <f>0</f>
        <v>0</v>
      </c>
      <c r="O36" s="81">
        <f>0</f>
        <v>0</v>
      </c>
      <c r="P36" s="81">
        <f>0</f>
        <v>0</v>
      </c>
      <c r="Q36" s="81">
        <f>0</f>
        <v>0</v>
      </c>
      <c r="R36" s="81">
        <f>0</f>
        <v>0</v>
      </c>
      <c r="S36" s="81">
        <f>0</f>
        <v>0</v>
      </c>
      <c r="T36" s="81">
        <f>0</f>
        <v>0</v>
      </c>
      <c r="U36" s="81">
        <f>0</f>
        <v>0</v>
      </c>
    </row>
    <row r="37" spans="1:21" outlineLevel="2">
      <c r="A37" s="27" t="s">
        <v>57</v>
      </c>
      <c r="B37" s="74" t="s">
        <v>130</v>
      </c>
      <c r="C37" s="82" t="s">
        <v>131</v>
      </c>
      <c r="D37" s="76" t="s">
        <v>132</v>
      </c>
      <c r="E37" s="77">
        <f>3657957.28</f>
        <v>3657957.28</v>
      </c>
      <c r="F37" s="78">
        <f>5292360.15</f>
        <v>5292360.1500000004</v>
      </c>
      <c r="G37" s="78">
        <f>1250000</f>
        <v>1250000</v>
      </c>
      <c r="H37" s="79">
        <f>1250000</f>
        <v>1250000</v>
      </c>
      <c r="I37" s="227">
        <f>0</f>
        <v>0</v>
      </c>
      <c r="J37" s="236">
        <v>0</v>
      </c>
      <c r="K37" s="242" t="s">
        <v>57</v>
      </c>
      <c r="L37" s="80">
        <f>0</f>
        <v>0</v>
      </c>
      <c r="M37" s="81">
        <f>0</f>
        <v>0</v>
      </c>
      <c r="N37" s="81">
        <f>0</f>
        <v>0</v>
      </c>
      <c r="O37" s="81">
        <f>0</f>
        <v>0</v>
      </c>
      <c r="P37" s="81">
        <f>0</f>
        <v>0</v>
      </c>
      <c r="Q37" s="81">
        <f>0</f>
        <v>0</v>
      </c>
      <c r="R37" s="81">
        <f>0</f>
        <v>0</v>
      </c>
      <c r="S37" s="81">
        <f>0</f>
        <v>0</v>
      </c>
      <c r="T37" s="81">
        <f>0</f>
        <v>0</v>
      </c>
      <c r="U37" s="81">
        <f>0</f>
        <v>0</v>
      </c>
    </row>
    <row r="38" spans="1:21" outlineLevel="3">
      <c r="A38" s="27" t="s">
        <v>57</v>
      </c>
      <c r="B38" s="74" t="s">
        <v>133</v>
      </c>
      <c r="C38" s="82" t="s">
        <v>129</v>
      </c>
      <c r="D38" s="83" t="s">
        <v>124</v>
      </c>
      <c r="E38" s="77">
        <f>3657957.28</f>
        <v>3657957.28</v>
      </c>
      <c r="F38" s="78">
        <f>5292360.15</f>
        <v>5292360.1500000004</v>
      </c>
      <c r="G38" s="78">
        <f>0</f>
        <v>0</v>
      </c>
      <c r="H38" s="79">
        <f>0</f>
        <v>0</v>
      </c>
      <c r="I38" s="227">
        <f>0</f>
        <v>0</v>
      </c>
      <c r="J38" s="236">
        <v>0</v>
      </c>
      <c r="K38" s="242" t="s">
        <v>57</v>
      </c>
      <c r="L38" s="80">
        <f>0</f>
        <v>0</v>
      </c>
      <c r="M38" s="81">
        <f>0</f>
        <v>0</v>
      </c>
      <c r="N38" s="81">
        <f>0</f>
        <v>0</v>
      </c>
      <c r="O38" s="81">
        <f>0</f>
        <v>0</v>
      </c>
      <c r="P38" s="81">
        <f>0</f>
        <v>0</v>
      </c>
      <c r="Q38" s="81">
        <f>0</f>
        <v>0</v>
      </c>
      <c r="R38" s="81">
        <f>0</f>
        <v>0</v>
      </c>
      <c r="S38" s="81">
        <f>0</f>
        <v>0</v>
      </c>
      <c r="T38" s="81">
        <f>0</f>
        <v>0</v>
      </c>
      <c r="U38" s="81">
        <f>0</f>
        <v>0</v>
      </c>
    </row>
    <row r="39" spans="1:21" outlineLevel="2">
      <c r="A39" s="27" t="s">
        <v>57</v>
      </c>
      <c r="B39" s="74" t="s">
        <v>134</v>
      </c>
      <c r="C39" s="82" t="s">
        <v>135</v>
      </c>
      <c r="D39" s="76" t="s">
        <v>135</v>
      </c>
      <c r="E39" s="77">
        <f>0</f>
        <v>0</v>
      </c>
      <c r="F39" s="78">
        <f>0</f>
        <v>0</v>
      </c>
      <c r="G39" s="78">
        <f>0</f>
        <v>0</v>
      </c>
      <c r="H39" s="79">
        <f>0</f>
        <v>0</v>
      </c>
      <c r="I39" s="227">
        <f>0</f>
        <v>0</v>
      </c>
      <c r="J39" s="236">
        <v>0</v>
      </c>
      <c r="K39" s="242" t="s">
        <v>57</v>
      </c>
      <c r="L39" s="80">
        <f>0</f>
        <v>0</v>
      </c>
      <c r="M39" s="81">
        <f>0</f>
        <v>0</v>
      </c>
      <c r="N39" s="81">
        <f>0</f>
        <v>0</v>
      </c>
      <c r="O39" s="81">
        <f>0</f>
        <v>0</v>
      </c>
      <c r="P39" s="81">
        <f>0</f>
        <v>0</v>
      </c>
      <c r="Q39" s="81">
        <f>0</f>
        <v>0</v>
      </c>
      <c r="R39" s="81">
        <f>0</f>
        <v>0</v>
      </c>
      <c r="S39" s="81">
        <f>0</f>
        <v>0</v>
      </c>
      <c r="T39" s="81">
        <f>0</f>
        <v>0</v>
      </c>
      <c r="U39" s="81">
        <f>0</f>
        <v>0</v>
      </c>
    </row>
    <row r="40" spans="1:21" outlineLevel="3">
      <c r="A40" s="27" t="s">
        <v>57</v>
      </c>
      <c r="B40" s="74" t="s">
        <v>136</v>
      </c>
      <c r="C40" s="82" t="s">
        <v>129</v>
      </c>
      <c r="D40" s="83" t="s">
        <v>124</v>
      </c>
      <c r="E40" s="77">
        <f>0</f>
        <v>0</v>
      </c>
      <c r="F40" s="78">
        <f>0</f>
        <v>0</v>
      </c>
      <c r="G40" s="78">
        <f>0</f>
        <v>0</v>
      </c>
      <c r="H40" s="79">
        <f>0</f>
        <v>0</v>
      </c>
      <c r="I40" s="227">
        <f>0</f>
        <v>0</v>
      </c>
      <c r="J40" s="236">
        <v>0</v>
      </c>
      <c r="K40" s="242" t="s">
        <v>57</v>
      </c>
      <c r="L40" s="80">
        <f>0</f>
        <v>0</v>
      </c>
      <c r="M40" s="81">
        <f>0</f>
        <v>0</v>
      </c>
      <c r="N40" s="81">
        <f>0</f>
        <v>0</v>
      </c>
      <c r="O40" s="81">
        <f>0</f>
        <v>0</v>
      </c>
      <c r="P40" s="81">
        <f>0</f>
        <v>0</v>
      </c>
      <c r="Q40" s="81">
        <f>0</f>
        <v>0</v>
      </c>
      <c r="R40" s="81">
        <f>0</f>
        <v>0</v>
      </c>
      <c r="S40" s="81">
        <f>0</f>
        <v>0</v>
      </c>
      <c r="T40" s="81">
        <f>0</f>
        <v>0</v>
      </c>
      <c r="U40" s="81">
        <f>0</f>
        <v>0</v>
      </c>
    </row>
    <row r="41" spans="1:21" outlineLevel="1">
      <c r="A41" s="27" t="s">
        <v>57</v>
      </c>
      <c r="B41" s="66">
        <v>5</v>
      </c>
      <c r="C41" s="67" t="s">
        <v>137</v>
      </c>
      <c r="D41" s="68" t="s">
        <v>137</v>
      </c>
      <c r="E41" s="69">
        <f>1238949.06</f>
        <v>1238949.06</v>
      </c>
      <c r="F41" s="70">
        <f>931400</f>
        <v>931400</v>
      </c>
      <c r="G41" s="70">
        <f>1654549.98</f>
        <v>1654549.98</v>
      </c>
      <c r="H41" s="71">
        <f>1654549.98</f>
        <v>1654549.98</v>
      </c>
      <c r="I41" s="226">
        <f t="shared" ref="I41:O42" si="2">1676800</f>
        <v>1676800</v>
      </c>
      <c r="J41" s="237">
        <f>J42</f>
        <v>200000</v>
      </c>
      <c r="K41" s="234">
        <f>J41/I41</f>
        <v>0.11927480916030535</v>
      </c>
      <c r="L41" s="72">
        <f t="shared" si="2"/>
        <v>1676800</v>
      </c>
      <c r="M41" s="73">
        <f t="shared" si="2"/>
        <v>1676800</v>
      </c>
      <c r="N41" s="73">
        <f t="shared" si="2"/>
        <v>1676800</v>
      </c>
      <c r="O41" s="73">
        <f t="shared" si="2"/>
        <v>1676800</v>
      </c>
      <c r="P41" s="73">
        <f t="shared" ref="P41:R42" si="3">944800</f>
        <v>944800</v>
      </c>
      <c r="Q41" s="73">
        <f t="shared" si="3"/>
        <v>944800</v>
      </c>
      <c r="R41" s="73">
        <f t="shared" si="3"/>
        <v>944800</v>
      </c>
      <c r="S41" s="73">
        <f>945000</f>
        <v>945000</v>
      </c>
      <c r="T41" s="73">
        <f>525000</f>
        <v>525000</v>
      </c>
      <c r="U41" s="73">
        <f>411601.24</f>
        <v>411601.24</v>
      </c>
    </row>
    <row r="42" spans="1:21" outlineLevel="2">
      <c r="A42" s="27" t="s">
        <v>57</v>
      </c>
      <c r="B42" s="74" t="s">
        <v>138</v>
      </c>
      <c r="C42" s="82" t="s">
        <v>139</v>
      </c>
      <c r="D42" s="76" t="s">
        <v>140</v>
      </c>
      <c r="E42" s="77">
        <f>1238949.06</f>
        <v>1238949.06</v>
      </c>
      <c r="F42" s="78">
        <f>931400</f>
        <v>931400</v>
      </c>
      <c r="G42" s="78">
        <f>1654549.98</f>
        <v>1654549.98</v>
      </c>
      <c r="H42" s="79">
        <f>1654549.98</f>
        <v>1654549.98</v>
      </c>
      <c r="I42" s="227">
        <f t="shared" si="2"/>
        <v>1676800</v>
      </c>
      <c r="J42" s="236">
        <v>200000</v>
      </c>
      <c r="K42" s="235">
        <f>J42/I42</f>
        <v>0.11927480916030535</v>
      </c>
      <c r="L42" s="80">
        <f t="shared" si="2"/>
        <v>1676800</v>
      </c>
      <c r="M42" s="81">
        <f t="shared" si="2"/>
        <v>1676800</v>
      </c>
      <c r="N42" s="81">
        <f t="shared" si="2"/>
        <v>1676800</v>
      </c>
      <c r="O42" s="81">
        <f t="shared" si="2"/>
        <v>1676800</v>
      </c>
      <c r="P42" s="81">
        <f t="shared" si="3"/>
        <v>944800</v>
      </c>
      <c r="Q42" s="81">
        <f t="shared" si="3"/>
        <v>944800</v>
      </c>
      <c r="R42" s="81">
        <f t="shared" si="3"/>
        <v>944800</v>
      </c>
      <c r="S42" s="81">
        <f>945000</f>
        <v>945000</v>
      </c>
      <c r="T42" s="81">
        <f>525000</f>
        <v>525000</v>
      </c>
      <c r="U42" s="81">
        <f>411601.24</f>
        <v>411601.24</v>
      </c>
    </row>
    <row r="43" spans="1:21" ht="24" outlineLevel="3">
      <c r="A43" s="27" t="s">
        <v>57</v>
      </c>
      <c r="B43" s="74" t="s">
        <v>141</v>
      </c>
      <c r="C43" s="82" t="s">
        <v>142</v>
      </c>
      <c r="D43" s="83" t="s">
        <v>143</v>
      </c>
      <c r="E43" s="77">
        <f>0</f>
        <v>0</v>
      </c>
      <c r="F43" s="78">
        <f>0</f>
        <v>0</v>
      </c>
      <c r="G43" s="78">
        <f>0</f>
        <v>0</v>
      </c>
      <c r="H43" s="79">
        <f>0</f>
        <v>0</v>
      </c>
      <c r="I43" s="227">
        <f>0</f>
        <v>0</v>
      </c>
      <c r="J43" s="236">
        <v>0</v>
      </c>
      <c r="K43" s="242" t="s">
        <v>57</v>
      </c>
      <c r="L43" s="80">
        <f>0</f>
        <v>0</v>
      </c>
      <c r="M43" s="81">
        <f>0</f>
        <v>0</v>
      </c>
      <c r="N43" s="81">
        <f>0</f>
        <v>0</v>
      </c>
      <c r="O43" s="81">
        <f>0</f>
        <v>0</v>
      </c>
      <c r="P43" s="81">
        <f>0</f>
        <v>0</v>
      </c>
      <c r="Q43" s="81">
        <f>0</f>
        <v>0</v>
      </c>
      <c r="R43" s="81">
        <f>0</f>
        <v>0</v>
      </c>
      <c r="S43" s="81">
        <f>0</f>
        <v>0</v>
      </c>
      <c r="T43" s="81">
        <f>0</f>
        <v>0</v>
      </c>
      <c r="U43" s="81">
        <f>0</f>
        <v>0</v>
      </c>
    </row>
    <row r="44" spans="1:21" outlineLevel="4">
      <c r="A44" s="27" t="s">
        <v>57</v>
      </c>
      <c r="B44" s="74" t="s">
        <v>144</v>
      </c>
      <c r="C44" s="82" t="s">
        <v>145</v>
      </c>
      <c r="D44" s="84" t="s">
        <v>146</v>
      </c>
      <c r="E44" s="77">
        <f>0</f>
        <v>0</v>
      </c>
      <c r="F44" s="78">
        <f>0</f>
        <v>0</v>
      </c>
      <c r="G44" s="78">
        <f>0</f>
        <v>0</v>
      </c>
      <c r="H44" s="79">
        <f>0</f>
        <v>0</v>
      </c>
      <c r="I44" s="227">
        <f>0</f>
        <v>0</v>
      </c>
      <c r="J44" s="236">
        <v>0</v>
      </c>
      <c r="K44" s="242" t="s">
        <v>57</v>
      </c>
      <c r="L44" s="80">
        <f>0</f>
        <v>0</v>
      </c>
      <c r="M44" s="81">
        <f>0</f>
        <v>0</v>
      </c>
      <c r="N44" s="81">
        <f>0</f>
        <v>0</v>
      </c>
      <c r="O44" s="81">
        <f>0</f>
        <v>0</v>
      </c>
      <c r="P44" s="81">
        <f>0</f>
        <v>0</v>
      </c>
      <c r="Q44" s="81">
        <f>0</f>
        <v>0</v>
      </c>
      <c r="R44" s="81">
        <f>0</f>
        <v>0</v>
      </c>
      <c r="S44" s="81">
        <f>0</f>
        <v>0</v>
      </c>
      <c r="T44" s="81">
        <f>0</f>
        <v>0</v>
      </c>
      <c r="U44" s="81">
        <f>0</f>
        <v>0</v>
      </c>
    </row>
    <row r="45" spans="1:21" outlineLevel="4">
      <c r="A45" s="27" t="s">
        <v>57</v>
      </c>
      <c r="B45" s="74" t="s">
        <v>147</v>
      </c>
      <c r="C45" s="82" t="s">
        <v>148</v>
      </c>
      <c r="D45" s="84" t="s">
        <v>149</v>
      </c>
      <c r="E45" s="77">
        <f>0</f>
        <v>0</v>
      </c>
      <c r="F45" s="78">
        <f>0</f>
        <v>0</v>
      </c>
      <c r="G45" s="78">
        <f>0</f>
        <v>0</v>
      </c>
      <c r="H45" s="79">
        <f>0</f>
        <v>0</v>
      </c>
      <c r="I45" s="227">
        <f>0</f>
        <v>0</v>
      </c>
      <c r="J45" s="236">
        <v>0</v>
      </c>
      <c r="K45" s="242" t="s">
        <v>57</v>
      </c>
      <c r="L45" s="80">
        <f>0</f>
        <v>0</v>
      </c>
      <c r="M45" s="81">
        <f>0</f>
        <v>0</v>
      </c>
      <c r="N45" s="81">
        <f>0</f>
        <v>0</v>
      </c>
      <c r="O45" s="81">
        <f>0</f>
        <v>0</v>
      </c>
      <c r="P45" s="81">
        <f>0</f>
        <v>0</v>
      </c>
      <c r="Q45" s="81">
        <f>0</f>
        <v>0</v>
      </c>
      <c r="R45" s="81">
        <f>0</f>
        <v>0</v>
      </c>
      <c r="S45" s="81">
        <f>0</f>
        <v>0</v>
      </c>
      <c r="T45" s="81">
        <f>0</f>
        <v>0</v>
      </c>
      <c r="U45" s="81">
        <f>0</f>
        <v>0</v>
      </c>
    </row>
    <row r="46" spans="1:21" ht="24" outlineLevel="4">
      <c r="A46" s="27" t="s">
        <v>57</v>
      </c>
      <c r="B46" s="74" t="s">
        <v>150</v>
      </c>
      <c r="C46" s="82" t="s">
        <v>151</v>
      </c>
      <c r="D46" s="84" t="s">
        <v>152</v>
      </c>
      <c r="E46" s="77">
        <f>0</f>
        <v>0</v>
      </c>
      <c r="F46" s="78">
        <f>0</f>
        <v>0</v>
      </c>
      <c r="G46" s="78">
        <f>0</f>
        <v>0</v>
      </c>
      <c r="H46" s="79">
        <f>0</f>
        <v>0</v>
      </c>
      <c r="I46" s="227">
        <f>0</f>
        <v>0</v>
      </c>
      <c r="J46" s="236">
        <v>0</v>
      </c>
      <c r="K46" s="242" t="s">
        <v>57</v>
      </c>
      <c r="L46" s="80">
        <f>0</f>
        <v>0</v>
      </c>
      <c r="M46" s="81">
        <f>0</f>
        <v>0</v>
      </c>
      <c r="N46" s="81">
        <f>0</f>
        <v>0</v>
      </c>
      <c r="O46" s="81">
        <f>0</f>
        <v>0</v>
      </c>
      <c r="P46" s="81">
        <f>0</f>
        <v>0</v>
      </c>
      <c r="Q46" s="81">
        <f>0</f>
        <v>0</v>
      </c>
      <c r="R46" s="81">
        <f>0</f>
        <v>0</v>
      </c>
      <c r="S46" s="81">
        <f>0</f>
        <v>0</v>
      </c>
      <c r="T46" s="81">
        <f>0</f>
        <v>0</v>
      </c>
      <c r="U46" s="81">
        <f>0</f>
        <v>0</v>
      </c>
    </row>
    <row r="47" spans="1:21" outlineLevel="2">
      <c r="B47" s="74" t="s">
        <v>153</v>
      </c>
      <c r="C47" s="82" t="s">
        <v>154</v>
      </c>
      <c r="D47" s="76" t="s">
        <v>154</v>
      </c>
      <c r="E47" s="77">
        <f>0</f>
        <v>0</v>
      </c>
      <c r="F47" s="78">
        <f>0</f>
        <v>0</v>
      </c>
      <c r="G47" s="78">
        <f>0</f>
        <v>0</v>
      </c>
      <c r="H47" s="79">
        <f>0</f>
        <v>0</v>
      </c>
      <c r="I47" s="227">
        <f>0</f>
        <v>0</v>
      </c>
      <c r="J47" s="236">
        <v>0</v>
      </c>
      <c r="K47" s="242" t="s">
        <v>57</v>
      </c>
      <c r="L47" s="80">
        <f>0</f>
        <v>0</v>
      </c>
      <c r="M47" s="81">
        <f>0</f>
        <v>0</v>
      </c>
      <c r="N47" s="81">
        <f>0</f>
        <v>0</v>
      </c>
      <c r="O47" s="81">
        <f>0</f>
        <v>0</v>
      </c>
      <c r="P47" s="81">
        <f>0</f>
        <v>0</v>
      </c>
      <c r="Q47" s="81">
        <f>0</f>
        <v>0</v>
      </c>
      <c r="R47" s="81">
        <f>0</f>
        <v>0</v>
      </c>
      <c r="S47" s="81">
        <f>0</f>
        <v>0</v>
      </c>
      <c r="T47" s="81">
        <f>0</f>
        <v>0</v>
      </c>
      <c r="U47" s="81">
        <f>0</f>
        <v>0</v>
      </c>
    </row>
    <row r="48" spans="1:21" outlineLevel="1">
      <c r="A48" s="27" t="s">
        <v>57</v>
      </c>
      <c r="B48" s="66">
        <v>6</v>
      </c>
      <c r="C48" s="67" t="s">
        <v>155</v>
      </c>
      <c r="D48" s="68" t="s">
        <v>155</v>
      </c>
      <c r="E48" s="69">
        <f>9143591.07</f>
        <v>9143591.0700000003</v>
      </c>
      <c r="F48" s="70">
        <f>13504551.22</f>
        <v>13504551.220000001</v>
      </c>
      <c r="G48" s="70">
        <f>13100001.24</f>
        <v>13100001.24</v>
      </c>
      <c r="H48" s="71">
        <f>13100001.24</f>
        <v>13100001.24</v>
      </c>
      <c r="I48" s="226">
        <f>11423201.24</f>
        <v>11423201.24</v>
      </c>
      <c r="J48" s="237">
        <v>12900001.24</v>
      </c>
      <c r="K48" s="239" t="s">
        <v>57</v>
      </c>
      <c r="L48" s="72">
        <f>9746401.24</f>
        <v>9746401.2400000002</v>
      </c>
      <c r="M48" s="73">
        <f>8069601.24</f>
        <v>8069601.2400000002</v>
      </c>
      <c r="N48" s="73">
        <f>6392801.24</f>
        <v>6392801.2400000002</v>
      </c>
      <c r="O48" s="73">
        <f>4716001.24</f>
        <v>4716001.24</v>
      </c>
      <c r="P48" s="73">
        <f>3771201.24</f>
        <v>3771201.24</v>
      </c>
      <c r="Q48" s="73">
        <f>2826401.24</f>
        <v>2826401.24</v>
      </c>
      <c r="R48" s="73">
        <f>1881601.24</f>
        <v>1881601.24</v>
      </c>
      <c r="S48" s="73">
        <f>936601.24</f>
        <v>936601.24</v>
      </c>
      <c r="T48" s="73">
        <f>411601.24</f>
        <v>411601.24</v>
      </c>
      <c r="U48" s="73">
        <f>0</f>
        <v>0</v>
      </c>
    </row>
    <row r="49" spans="1:21" ht="24" outlineLevel="1">
      <c r="B49" s="66">
        <v>7</v>
      </c>
      <c r="C49" s="67" t="s">
        <v>156</v>
      </c>
      <c r="D49" s="68" t="s">
        <v>156</v>
      </c>
      <c r="E49" s="69">
        <f>0</f>
        <v>0</v>
      </c>
      <c r="F49" s="70">
        <f>0</f>
        <v>0</v>
      </c>
      <c r="G49" s="70">
        <f>0</f>
        <v>0</v>
      </c>
      <c r="H49" s="71">
        <f>0</f>
        <v>0</v>
      </c>
      <c r="I49" s="226">
        <f>0</f>
        <v>0</v>
      </c>
      <c r="J49" s="237">
        <v>0</v>
      </c>
      <c r="K49" s="239" t="s">
        <v>57</v>
      </c>
      <c r="L49" s="72">
        <f>0</f>
        <v>0</v>
      </c>
      <c r="M49" s="73">
        <f>0</f>
        <v>0</v>
      </c>
      <c r="N49" s="73">
        <f>0</f>
        <v>0</v>
      </c>
      <c r="O49" s="73">
        <f>0</f>
        <v>0</v>
      </c>
      <c r="P49" s="73">
        <f>0</f>
        <v>0</v>
      </c>
      <c r="Q49" s="73">
        <f>0</f>
        <v>0</v>
      </c>
      <c r="R49" s="73">
        <f>0</f>
        <v>0</v>
      </c>
      <c r="S49" s="73">
        <f>0</f>
        <v>0</v>
      </c>
      <c r="T49" s="73">
        <f>0</f>
        <v>0</v>
      </c>
      <c r="U49" s="73">
        <f>0</f>
        <v>0</v>
      </c>
    </row>
    <row r="50" spans="1:21" outlineLevel="1">
      <c r="B50" s="66">
        <v>8</v>
      </c>
      <c r="C50" s="67" t="s">
        <v>157</v>
      </c>
      <c r="D50" s="68" t="s">
        <v>157</v>
      </c>
      <c r="E50" s="86" t="s">
        <v>57</v>
      </c>
      <c r="F50" s="87" t="s">
        <v>57</v>
      </c>
      <c r="G50" s="87" t="s">
        <v>57</v>
      </c>
      <c r="H50" s="88" t="s">
        <v>57</v>
      </c>
      <c r="I50" s="228" t="s">
        <v>57</v>
      </c>
      <c r="J50" s="238" t="s">
        <v>57</v>
      </c>
      <c r="K50" s="239" t="s">
        <v>57</v>
      </c>
      <c r="L50" s="89" t="s">
        <v>57</v>
      </c>
      <c r="M50" s="90" t="s">
        <v>57</v>
      </c>
      <c r="N50" s="90" t="s">
        <v>57</v>
      </c>
      <c r="O50" s="90" t="s">
        <v>57</v>
      </c>
      <c r="P50" s="90" t="s">
        <v>57</v>
      </c>
      <c r="Q50" s="90" t="s">
        <v>57</v>
      </c>
      <c r="R50" s="90" t="s">
        <v>57</v>
      </c>
      <c r="S50" s="90" t="s">
        <v>57</v>
      </c>
      <c r="T50" s="90" t="s">
        <v>57</v>
      </c>
      <c r="U50" s="90" t="s">
        <v>57</v>
      </c>
    </row>
    <row r="51" spans="1:21" outlineLevel="2">
      <c r="B51" s="74" t="s">
        <v>158</v>
      </c>
      <c r="C51" s="82" t="s">
        <v>159</v>
      </c>
      <c r="D51" s="76" t="s">
        <v>160</v>
      </c>
      <c r="E51" s="77">
        <f>4505110.28</f>
        <v>4505110.28</v>
      </c>
      <c r="F51" s="78">
        <f>3210129.16</f>
        <v>3210129.16</v>
      </c>
      <c r="G51" s="78">
        <f>246833.17</f>
        <v>246833.17</v>
      </c>
      <c r="H51" s="79">
        <f>3611283.61</f>
        <v>3611283.61</v>
      </c>
      <c r="I51" s="227">
        <f>540120.92</f>
        <v>540120.92000000004</v>
      </c>
      <c r="J51" s="236">
        <f>J11-J22</f>
        <v>2399924.4199999981</v>
      </c>
      <c r="K51" s="235">
        <f>J51/I51</f>
        <v>4.4433095092854353</v>
      </c>
      <c r="L51" s="80">
        <f>2146800</f>
        <v>2146800</v>
      </c>
      <c r="M51" s="81">
        <f t="shared" ref="M51:O52" si="4">1676800</f>
        <v>1676800</v>
      </c>
      <c r="N51" s="81">
        <f t="shared" si="4"/>
        <v>1676800</v>
      </c>
      <c r="O51" s="81">
        <f t="shared" si="4"/>
        <v>1676800</v>
      </c>
      <c r="P51" s="81">
        <f t="shared" ref="P51:R52" si="5">944800</f>
        <v>944800</v>
      </c>
      <c r="Q51" s="81">
        <f t="shared" si="5"/>
        <v>944800</v>
      </c>
      <c r="R51" s="81">
        <f t="shared" si="5"/>
        <v>944800</v>
      </c>
      <c r="S51" s="81">
        <f>945000</f>
        <v>945000</v>
      </c>
      <c r="T51" s="81">
        <f>525000</f>
        <v>525000</v>
      </c>
      <c r="U51" s="81">
        <f>411601.24</f>
        <v>411601.24</v>
      </c>
    </row>
    <row r="52" spans="1:21" ht="24" outlineLevel="2">
      <c r="B52" s="74" t="s">
        <v>161</v>
      </c>
      <c r="C52" s="82" t="s">
        <v>162</v>
      </c>
      <c r="D52" s="76" t="s">
        <v>163</v>
      </c>
      <c r="E52" s="77">
        <f>5112661.67</f>
        <v>5112661.67</v>
      </c>
      <c r="F52" s="78">
        <f>6211938.18</f>
        <v>6211938.1799999997</v>
      </c>
      <c r="G52" s="78">
        <f>1661833.17</f>
        <v>1661833.17</v>
      </c>
      <c r="H52" s="79">
        <f>5026444.91</f>
        <v>5026444.91</v>
      </c>
      <c r="I52" s="227">
        <f>2392120.92</f>
        <v>2392120.92</v>
      </c>
      <c r="J52" s="236">
        <f>J51+J35</f>
        <v>6051212.4099999983</v>
      </c>
      <c r="K52" s="235">
        <f>J52/I52</f>
        <v>2.5296431962979522</v>
      </c>
      <c r="L52" s="80">
        <f>2146800</f>
        <v>2146800</v>
      </c>
      <c r="M52" s="81">
        <f t="shared" si="4"/>
        <v>1676800</v>
      </c>
      <c r="N52" s="81">
        <f t="shared" si="4"/>
        <v>1676800</v>
      </c>
      <c r="O52" s="81">
        <f t="shared" si="4"/>
        <v>1676800</v>
      </c>
      <c r="P52" s="81">
        <f t="shared" si="5"/>
        <v>944800</v>
      </c>
      <c r="Q52" s="81">
        <f t="shared" si="5"/>
        <v>944800</v>
      </c>
      <c r="R52" s="81">
        <f t="shared" si="5"/>
        <v>944800</v>
      </c>
      <c r="S52" s="81">
        <f>945000</f>
        <v>945000</v>
      </c>
      <c r="T52" s="81">
        <f>525000</f>
        <v>525000</v>
      </c>
      <c r="U52" s="81">
        <f>411601.24</f>
        <v>411601.24</v>
      </c>
    </row>
    <row r="53" spans="1:21" outlineLevel="1">
      <c r="A53" s="27" t="s">
        <v>57</v>
      </c>
      <c r="B53" s="66">
        <v>9</v>
      </c>
      <c r="C53" s="67" t="s">
        <v>164</v>
      </c>
      <c r="D53" s="68" t="s">
        <v>164</v>
      </c>
      <c r="E53" s="86" t="s">
        <v>57</v>
      </c>
      <c r="F53" s="87" t="s">
        <v>57</v>
      </c>
      <c r="G53" s="87" t="s">
        <v>57</v>
      </c>
      <c r="H53" s="88" t="s">
        <v>57</v>
      </c>
      <c r="I53" s="228" t="s">
        <v>57</v>
      </c>
      <c r="J53" s="238" t="s">
        <v>57</v>
      </c>
      <c r="K53" s="239" t="s">
        <v>57</v>
      </c>
      <c r="L53" s="89" t="s">
        <v>57</v>
      </c>
      <c r="M53" s="90" t="s">
        <v>57</v>
      </c>
      <c r="N53" s="90" t="s">
        <v>57</v>
      </c>
      <c r="O53" s="90" t="s">
        <v>57</v>
      </c>
      <c r="P53" s="90" t="s">
        <v>57</v>
      </c>
      <c r="Q53" s="90" t="s">
        <v>57</v>
      </c>
      <c r="R53" s="90" t="s">
        <v>57</v>
      </c>
      <c r="S53" s="90" t="s">
        <v>57</v>
      </c>
      <c r="T53" s="90" t="s">
        <v>57</v>
      </c>
      <c r="U53" s="90" t="s">
        <v>57</v>
      </c>
    </row>
    <row r="54" spans="1:21" ht="36" outlineLevel="2">
      <c r="A54" s="27" t="s">
        <v>57</v>
      </c>
      <c r="B54" s="74" t="s">
        <v>165</v>
      </c>
      <c r="C54" s="82" t="s">
        <v>166</v>
      </c>
      <c r="D54" s="76" t="s">
        <v>167</v>
      </c>
      <c r="E54" s="91">
        <f>0.0295</f>
        <v>2.9499999999999998E-2</v>
      </c>
      <c r="F54" s="92">
        <f>0.0268</f>
        <v>2.6800000000000001E-2</v>
      </c>
      <c r="G54" s="92">
        <f>0.0435</f>
        <v>4.3499999999999997E-2</v>
      </c>
      <c r="H54" s="93">
        <f>0.0402</f>
        <v>4.02E-2</v>
      </c>
      <c r="I54" s="229">
        <f>0.0422</f>
        <v>4.2200000000000001E-2</v>
      </c>
      <c r="J54" s="253">
        <f>(J42+J27)/J10</f>
        <v>1.2892287157526626E-2</v>
      </c>
      <c r="K54" s="242" t="s">
        <v>57</v>
      </c>
      <c r="L54" s="94">
        <f>0.0412</f>
        <v>4.1200000000000001E-2</v>
      </c>
      <c r="M54" s="95">
        <f>0.0391</f>
        <v>3.9100000000000003E-2</v>
      </c>
      <c r="N54" s="95">
        <f>0.0376</f>
        <v>3.7600000000000001E-2</v>
      </c>
      <c r="O54" s="95">
        <f>0.0354</f>
        <v>3.5400000000000001E-2</v>
      </c>
      <c r="P54" s="95">
        <f>0.0199</f>
        <v>1.9900000000000001E-2</v>
      </c>
      <c r="Q54" s="95">
        <f>0.0188</f>
        <v>1.8800000000000001E-2</v>
      </c>
      <c r="R54" s="95">
        <f>0.0177</f>
        <v>1.77E-2</v>
      </c>
      <c r="S54" s="95">
        <f>0.0165</f>
        <v>1.6500000000000001E-2</v>
      </c>
      <c r="T54" s="95">
        <f>0.0089</f>
        <v>8.8999999999999999E-3</v>
      </c>
      <c r="U54" s="95">
        <f>0.0067</f>
        <v>6.7000000000000002E-3</v>
      </c>
    </row>
    <row r="55" spans="1:21" ht="36" outlineLevel="2">
      <c r="A55" s="27" t="s">
        <v>57</v>
      </c>
      <c r="B55" s="74" t="s">
        <v>168</v>
      </c>
      <c r="C55" s="82" t="s">
        <v>169</v>
      </c>
      <c r="D55" s="76" t="s">
        <v>170</v>
      </c>
      <c r="E55" s="91">
        <f>0.0295</f>
        <v>2.9499999999999998E-2</v>
      </c>
      <c r="F55" s="92">
        <f>0.0268</f>
        <v>2.6800000000000001E-2</v>
      </c>
      <c r="G55" s="92">
        <f>0.0435</f>
        <v>4.3499999999999997E-2</v>
      </c>
      <c r="H55" s="93">
        <f>0.0402</f>
        <v>4.02E-2</v>
      </c>
      <c r="I55" s="229">
        <f>0.0422</f>
        <v>4.2200000000000001E-2</v>
      </c>
      <c r="J55" s="253">
        <f>(J42+J27-J43)/J10</f>
        <v>1.2892287157526626E-2</v>
      </c>
      <c r="K55" s="242" t="s">
        <v>57</v>
      </c>
      <c r="L55" s="94">
        <f>0.0412</f>
        <v>4.1200000000000001E-2</v>
      </c>
      <c r="M55" s="95">
        <f>0.0391</f>
        <v>3.9100000000000003E-2</v>
      </c>
      <c r="N55" s="95">
        <f>0.0376</f>
        <v>3.7600000000000001E-2</v>
      </c>
      <c r="O55" s="95">
        <f>0.0354</f>
        <v>3.5400000000000001E-2</v>
      </c>
      <c r="P55" s="95">
        <f>0.0199</f>
        <v>1.9900000000000001E-2</v>
      </c>
      <c r="Q55" s="95">
        <f>0.0188</f>
        <v>1.8800000000000001E-2</v>
      </c>
      <c r="R55" s="95">
        <f>0.0177</f>
        <v>1.77E-2</v>
      </c>
      <c r="S55" s="95">
        <f>0.0165</f>
        <v>1.6500000000000001E-2</v>
      </c>
      <c r="T55" s="95">
        <f>0.0089</f>
        <v>8.8999999999999999E-3</v>
      </c>
      <c r="U55" s="95">
        <f>0.0067</f>
        <v>6.7000000000000002E-3</v>
      </c>
    </row>
    <row r="56" spans="1:21" ht="24" outlineLevel="2">
      <c r="A56" s="27" t="s">
        <v>57</v>
      </c>
      <c r="B56" s="74" t="s">
        <v>171</v>
      </c>
      <c r="C56" s="82" t="s">
        <v>172</v>
      </c>
      <c r="D56" s="76" t="s">
        <v>173</v>
      </c>
      <c r="E56" s="77">
        <f>0</f>
        <v>0</v>
      </c>
      <c r="F56" s="78">
        <f>0</f>
        <v>0</v>
      </c>
      <c r="G56" s="78">
        <f>0</f>
        <v>0</v>
      </c>
      <c r="H56" s="79">
        <f>0</f>
        <v>0</v>
      </c>
      <c r="I56" s="227">
        <f>0</f>
        <v>0</v>
      </c>
      <c r="J56" s="236">
        <v>0</v>
      </c>
      <c r="K56" s="242" t="s">
        <v>57</v>
      </c>
      <c r="L56" s="80">
        <f>0</f>
        <v>0</v>
      </c>
      <c r="M56" s="81">
        <f>0</f>
        <v>0</v>
      </c>
      <c r="N56" s="81">
        <f>0</f>
        <v>0</v>
      </c>
      <c r="O56" s="81">
        <f>0</f>
        <v>0</v>
      </c>
      <c r="P56" s="81">
        <f>0</f>
        <v>0</v>
      </c>
      <c r="Q56" s="81">
        <f>0</f>
        <v>0</v>
      </c>
      <c r="R56" s="81">
        <f>0</f>
        <v>0</v>
      </c>
      <c r="S56" s="81">
        <f>0</f>
        <v>0</v>
      </c>
      <c r="T56" s="81">
        <f>0</f>
        <v>0</v>
      </c>
      <c r="U56" s="81">
        <f>0</f>
        <v>0</v>
      </c>
    </row>
    <row r="57" spans="1:21" ht="36" outlineLevel="2">
      <c r="A57" s="27" t="s">
        <v>57</v>
      </c>
      <c r="B57" s="74" t="s">
        <v>174</v>
      </c>
      <c r="C57" s="82" t="s">
        <v>175</v>
      </c>
      <c r="D57" s="76" t="s">
        <v>176</v>
      </c>
      <c r="E57" s="91">
        <f>0.0295</f>
        <v>2.9499999999999998E-2</v>
      </c>
      <c r="F57" s="92">
        <f>0.0268</f>
        <v>2.6800000000000001E-2</v>
      </c>
      <c r="G57" s="92">
        <f>0.0435</f>
        <v>4.3499999999999997E-2</v>
      </c>
      <c r="H57" s="93">
        <f>0.0402</f>
        <v>4.02E-2</v>
      </c>
      <c r="I57" s="229">
        <f>0.0422</f>
        <v>4.2200000000000001E-2</v>
      </c>
      <c r="J57" s="240">
        <f>(J42+J27+J49-J43)/J10</f>
        <v>1.2892287157526626E-2</v>
      </c>
      <c r="K57" s="242" t="s">
        <v>57</v>
      </c>
      <c r="L57" s="94">
        <f>0.0412</f>
        <v>4.1200000000000001E-2</v>
      </c>
      <c r="M57" s="95">
        <f>0.0391</f>
        <v>3.9100000000000003E-2</v>
      </c>
      <c r="N57" s="95">
        <f>0.0376</f>
        <v>3.7600000000000001E-2</v>
      </c>
      <c r="O57" s="95">
        <f>0.0354</f>
        <v>3.5400000000000001E-2</v>
      </c>
      <c r="P57" s="95">
        <f>0.0199</f>
        <v>1.9900000000000001E-2</v>
      </c>
      <c r="Q57" s="95">
        <f>0.0188</f>
        <v>1.8800000000000001E-2</v>
      </c>
      <c r="R57" s="95">
        <f>0.0177</f>
        <v>1.77E-2</v>
      </c>
      <c r="S57" s="95">
        <f>0.0165</f>
        <v>1.6500000000000001E-2</v>
      </c>
      <c r="T57" s="95">
        <f>0.0089</f>
        <v>8.8999999999999999E-3</v>
      </c>
      <c r="U57" s="95">
        <f>0.0067</f>
        <v>6.7000000000000002E-3</v>
      </c>
    </row>
    <row r="58" spans="1:21" ht="24" outlineLevel="2">
      <c r="A58" s="27" t="s">
        <v>57</v>
      </c>
      <c r="B58" s="96" t="s">
        <v>177</v>
      </c>
      <c r="C58" s="82" t="s">
        <v>178</v>
      </c>
      <c r="D58" s="97" t="s">
        <v>179</v>
      </c>
      <c r="E58" s="91">
        <f t="shared" ref="E58:U58" si="6">+IF(AND(E9&gt;=2013,E9&lt;=2018),IF(E10&lt;&gt;0,(E11+E19-E22+E25)/E10,0),IF(E10&lt;&gt;0,(E11+E19-E22)/E10,0))</f>
        <v>0.1096678802913704</v>
      </c>
      <c r="F58" s="92">
        <f t="shared" si="6"/>
        <v>7.4533968072266088E-2</v>
      </c>
      <c r="G58" s="92">
        <f t="shared" si="6"/>
        <v>1.6535822276028865E-2</v>
      </c>
      <c r="H58" s="93">
        <f t="shared" si="6"/>
        <v>8.2132789491832392E-2</v>
      </c>
      <c r="I58" s="229">
        <f t="shared" si="6"/>
        <v>4.0171847300251709E-2</v>
      </c>
      <c r="J58" s="240">
        <f>(J11+J19-J22)/J10</f>
        <v>9.5113436839409274E-2</v>
      </c>
      <c r="K58" s="242" t="s">
        <v>57</v>
      </c>
      <c r="L58" s="94">
        <f t="shared" si="6"/>
        <v>6.2437866331754618E-2</v>
      </c>
      <c r="M58" s="95">
        <f t="shared" si="6"/>
        <v>5.1960081226573689E-2</v>
      </c>
      <c r="N58" s="95">
        <f t="shared" si="6"/>
        <v>3.2256993449012845E-2</v>
      </c>
      <c r="O58" s="95">
        <f t="shared" si="6"/>
        <v>3.1352338217660966E-2</v>
      </c>
      <c r="P58" s="95">
        <f t="shared" si="6"/>
        <v>1.7146211926671269E-2</v>
      </c>
      <c r="Q58" s="95">
        <f t="shared" si="6"/>
        <v>1.6647681649104403E-2</v>
      </c>
      <c r="R58" s="95">
        <f t="shared" si="6"/>
        <v>1.6168342426599865E-2</v>
      </c>
      <c r="S58" s="95">
        <f t="shared" si="6"/>
        <v>1.5690187175963391E-2</v>
      </c>
      <c r="T58" s="95">
        <f t="shared" si="6"/>
        <v>8.5294605618214323E-3</v>
      </c>
      <c r="U58" s="95">
        <f t="shared" si="6"/>
        <v>6.5536359991606096E-3</v>
      </c>
    </row>
    <row r="59" spans="1:21" ht="36" outlineLevel="2">
      <c r="A59" s="27" t="s">
        <v>57</v>
      </c>
      <c r="B59" s="74" t="s">
        <v>180</v>
      </c>
      <c r="C59" s="82" t="s">
        <v>181</v>
      </c>
      <c r="D59" s="76" t="s">
        <v>182</v>
      </c>
      <c r="E59" s="86" t="s">
        <v>57</v>
      </c>
      <c r="F59" s="87" t="s">
        <v>57</v>
      </c>
      <c r="G59" s="87" t="s">
        <v>57</v>
      </c>
      <c r="H59" s="88" t="s">
        <v>57</v>
      </c>
      <c r="I59" s="229">
        <f>0.0669</f>
        <v>6.6900000000000001E-2</v>
      </c>
      <c r="J59" s="240">
        <v>6.6900000000000001E-2</v>
      </c>
      <c r="K59" s="242" t="s">
        <v>57</v>
      </c>
      <c r="L59" s="94">
        <f>0.0437</f>
        <v>4.3700000000000003E-2</v>
      </c>
      <c r="M59" s="95">
        <f>0.0397</f>
        <v>3.9699999999999999E-2</v>
      </c>
      <c r="N59" s="95">
        <f>0.0515</f>
        <v>5.1499999999999997E-2</v>
      </c>
      <c r="O59" s="95">
        <f>0.0489</f>
        <v>4.8899999999999999E-2</v>
      </c>
      <c r="P59" s="95">
        <f>0.0386</f>
        <v>3.8600000000000002E-2</v>
      </c>
      <c r="Q59" s="95">
        <f>0.0269</f>
        <v>2.69E-2</v>
      </c>
      <c r="R59" s="95">
        <f>0.0217</f>
        <v>2.1700000000000001E-2</v>
      </c>
      <c r="S59" s="95">
        <f>0.0166</f>
        <v>1.66E-2</v>
      </c>
      <c r="T59" s="95">
        <f>0.0162</f>
        <v>1.6199999999999999E-2</v>
      </c>
      <c r="U59" s="95">
        <f>0.0135</f>
        <v>1.35E-2</v>
      </c>
    </row>
    <row r="60" spans="1:21" ht="36" outlineLevel="3">
      <c r="A60" s="27" t="s">
        <v>57</v>
      </c>
      <c r="B60" s="74" t="s">
        <v>183</v>
      </c>
      <c r="C60" s="82" t="s">
        <v>184</v>
      </c>
      <c r="D60" s="83" t="s">
        <v>185</v>
      </c>
      <c r="E60" s="86" t="s">
        <v>57</v>
      </c>
      <c r="F60" s="87" t="s">
        <v>57</v>
      </c>
      <c r="G60" s="87" t="s">
        <v>57</v>
      </c>
      <c r="H60" s="88" t="s">
        <v>57</v>
      </c>
      <c r="I60" s="229">
        <f>0.0888</f>
        <v>8.8800000000000004E-2</v>
      </c>
      <c r="J60" s="240">
        <v>8.8800000000000004E-2</v>
      </c>
      <c r="K60" s="242" t="s">
        <v>57</v>
      </c>
      <c r="L60" s="94">
        <f>0.0656</f>
        <v>6.5600000000000006E-2</v>
      </c>
      <c r="M60" s="95">
        <f>0.0616</f>
        <v>6.1600000000000002E-2</v>
      </c>
      <c r="N60" s="95">
        <f>0.0515</f>
        <v>5.1499999999999997E-2</v>
      </c>
      <c r="O60" s="95">
        <f>0.0489</f>
        <v>4.8899999999999999E-2</v>
      </c>
      <c r="P60" s="95">
        <f>0.0386</f>
        <v>3.8600000000000002E-2</v>
      </c>
      <c r="Q60" s="95">
        <f>0.0269</f>
        <v>2.69E-2</v>
      </c>
      <c r="R60" s="95">
        <f>0.0217</f>
        <v>2.1700000000000001E-2</v>
      </c>
      <c r="S60" s="95">
        <f>0.0166</f>
        <v>1.66E-2</v>
      </c>
      <c r="T60" s="95">
        <f>0.0162</f>
        <v>1.6199999999999999E-2</v>
      </c>
      <c r="U60" s="95">
        <f>0.0135</f>
        <v>1.35E-2</v>
      </c>
    </row>
    <row r="61" spans="1:21" ht="36" outlineLevel="2">
      <c r="A61" s="27" t="s">
        <v>57</v>
      </c>
      <c r="B61" s="74" t="s">
        <v>186</v>
      </c>
      <c r="C61" s="82" t="s">
        <v>187</v>
      </c>
      <c r="D61" s="76" t="s">
        <v>188</v>
      </c>
      <c r="E61" s="86" t="s">
        <v>57</v>
      </c>
      <c r="F61" s="87" t="s">
        <v>57</v>
      </c>
      <c r="G61" s="87" t="s">
        <v>57</v>
      </c>
      <c r="H61" s="88" t="s">
        <v>57</v>
      </c>
      <c r="I61" s="230" t="str">
        <f>IF(I57&lt;=I59,"Spełniona","Nie spełniona")</f>
        <v>Spełniona</v>
      </c>
      <c r="J61" s="241" t="s">
        <v>459</v>
      </c>
      <c r="K61" s="242" t="s">
        <v>57</v>
      </c>
      <c r="L61" s="98" t="str">
        <f t="shared" ref="L61:U61" si="7">IF(L57&lt;=L59,"Spełniona","Nie spełniona")</f>
        <v>Spełniona</v>
      </c>
      <c r="M61" s="99" t="str">
        <f t="shared" si="7"/>
        <v>Spełniona</v>
      </c>
      <c r="N61" s="99" t="str">
        <f t="shared" si="7"/>
        <v>Spełniona</v>
      </c>
      <c r="O61" s="99" t="str">
        <f t="shared" si="7"/>
        <v>Spełniona</v>
      </c>
      <c r="P61" s="99" t="str">
        <f t="shared" si="7"/>
        <v>Spełniona</v>
      </c>
      <c r="Q61" s="99" t="str">
        <f t="shared" si="7"/>
        <v>Spełniona</v>
      </c>
      <c r="R61" s="99" t="str">
        <f t="shared" si="7"/>
        <v>Spełniona</v>
      </c>
      <c r="S61" s="99" t="str">
        <f t="shared" si="7"/>
        <v>Spełniona</v>
      </c>
      <c r="T61" s="99" t="str">
        <f t="shared" si="7"/>
        <v>Spełniona</v>
      </c>
      <c r="U61" s="99" t="str">
        <f t="shared" si="7"/>
        <v>Spełniona</v>
      </c>
    </row>
    <row r="62" spans="1:21" ht="36" outlineLevel="3">
      <c r="A62" s="27" t="s">
        <v>57</v>
      </c>
      <c r="B62" s="74" t="s">
        <v>189</v>
      </c>
      <c r="C62" s="82" t="s">
        <v>190</v>
      </c>
      <c r="D62" s="83" t="s">
        <v>191</v>
      </c>
      <c r="E62" s="86" t="s">
        <v>57</v>
      </c>
      <c r="F62" s="87" t="s">
        <v>57</v>
      </c>
      <c r="G62" s="87" t="s">
        <v>57</v>
      </c>
      <c r="H62" s="88" t="s">
        <v>57</v>
      </c>
      <c r="I62" s="230" t="str">
        <f>IF(I57&lt;=I60,"Spełniona","Nie spełniona")</f>
        <v>Spełniona</v>
      </c>
      <c r="J62" s="241" t="s">
        <v>460</v>
      </c>
      <c r="K62" s="242" t="s">
        <v>57</v>
      </c>
      <c r="L62" s="98" t="str">
        <f t="shared" ref="L62:U62" si="8">IF(L57&lt;=L60,"Spełniona","Nie spełniona")</f>
        <v>Spełniona</v>
      </c>
      <c r="M62" s="99" t="str">
        <f t="shared" si="8"/>
        <v>Spełniona</v>
      </c>
      <c r="N62" s="99" t="str">
        <f t="shared" si="8"/>
        <v>Spełniona</v>
      </c>
      <c r="O62" s="99" t="str">
        <f t="shared" si="8"/>
        <v>Spełniona</v>
      </c>
      <c r="P62" s="99" t="str">
        <f t="shared" si="8"/>
        <v>Spełniona</v>
      </c>
      <c r="Q62" s="99" t="str">
        <f t="shared" si="8"/>
        <v>Spełniona</v>
      </c>
      <c r="R62" s="99" t="str">
        <f t="shared" si="8"/>
        <v>Spełniona</v>
      </c>
      <c r="S62" s="99" t="str">
        <f t="shared" si="8"/>
        <v>Spełniona</v>
      </c>
      <c r="T62" s="99" t="str">
        <f t="shared" si="8"/>
        <v>Spełniona</v>
      </c>
      <c r="U62" s="99" t="str">
        <f t="shared" si="8"/>
        <v>Spełniona</v>
      </c>
    </row>
    <row r="63" spans="1:21" outlineLevel="1">
      <c r="B63" s="66">
        <v>10</v>
      </c>
      <c r="C63" s="67" t="s">
        <v>192</v>
      </c>
      <c r="D63" s="68" t="s">
        <v>192</v>
      </c>
      <c r="E63" s="69">
        <f>0</f>
        <v>0</v>
      </c>
      <c r="F63" s="70">
        <f>0</f>
        <v>0</v>
      </c>
      <c r="G63" s="70">
        <f>0</f>
        <v>0</v>
      </c>
      <c r="H63" s="71">
        <f>0</f>
        <v>0</v>
      </c>
      <c r="I63" s="226">
        <f>0</f>
        <v>0</v>
      </c>
      <c r="J63" s="237">
        <f>J64</f>
        <v>0</v>
      </c>
      <c r="K63" s="239" t="s">
        <v>57</v>
      </c>
      <c r="L63" s="72">
        <f t="shared" ref="L63:O64" si="9">1676800</f>
        <v>1676800</v>
      </c>
      <c r="M63" s="73">
        <f t="shared" si="9"/>
        <v>1676800</v>
      </c>
      <c r="N63" s="73">
        <f t="shared" si="9"/>
        <v>1676800</v>
      </c>
      <c r="O63" s="73">
        <f t="shared" si="9"/>
        <v>1676800</v>
      </c>
      <c r="P63" s="73">
        <f t="shared" ref="P63:R64" si="10">944800</f>
        <v>944800</v>
      </c>
      <c r="Q63" s="73">
        <f t="shared" si="10"/>
        <v>944800</v>
      </c>
      <c r="R63" s="73">
        <f t="shared" si="10"/>
        <v>944800</v>
      </c>
      <c r="S63" s="73">
        <f>945000</f>
        <v>945000</v>
      </c>
      <c r="T63" s="73">
        <f>525000</f>
        <v>525000</v>
      </c>
      <c r="U63" s="73">
        <f>411601.24</f>
        <v>411601.24</v>
      </c>
    </row>
    <row r="64" spans="1:21" outlineLevel="2">
      <c r="B64" s="74" t="s">
        <v>193</v>
      </c>
      <c r="C64" s="82" t="s">
        <v>194</v>
      </c>
      <c r="D64" s="76" t="s">
        <v>195</v>
      </c>
      <c r="E64" s="77">
        <f>0</f>
        <v>0</v>
      </c>
      <c r="F64" s="78">
        <f>0</f>
        <v>0</v>
      </c>
      <c r="G64" s="78">
        <f>0</f>
        <v>0</v>
      </c>
      <c r="H64" s="79">
        <f>0</f>
        <v>0</v>
      </c>
      <c r="I64" s="227">
        <f>0</f>
        <v>0</v>
      </c>
      <c r="J64" s="236">
        <v>0</v>
      </c>
      <c r="K64" s="242" t="s">
        <v>57</v>
      </c>
      <c r="L64" s="80">
        <f t="shared" si="9"/>
        <v>1676800</v>
      </c>
      <c r="M64" s="81">
        <f t="shared" si="9"/>
        <v>1676800</v>
      </c>
      <c r="N64" s="81">
        <f t="shared" si="9"/>
        <v>1676800</v>
      </c>
      <c r="O64" s="81">
        <f t="shared" si="9"/>
        <v>1676800</v>
      </c>
      <c r="P64" s="81">
        <f t="shared" si="10"/>
        <v>944800</v>
      </c>
      <c r="Q64" s="81">
        <f t="shared" si="10"/>
        <v>944800</v>
      </c>
      <c r="R64" s="81">
        <f t="shared" si="10"/>
        <v>944800</v>
      </c>
      <c r="S64" s="81">
        <f>945000</f>
        <v>945000</v>
      </c>
      <c r="T64" s="81">
        <f>525000</f>
        <v>525000</v>
      </c>
      <c r="U64" s="81">
        <f>411601.24</f>
        <v>411601.24</v>
      </c>
    </row>
    <row r="65" spans="2:21" outlineLevel="1">
      <c r="B65" s="66">
        <v>11</v>
      </c>
      <c r="C65" s="67" t="s">
        <v>196</v>
      </c>
      <c r="D65" s="68" t="s">
        <v>196</v>
      </c>
      <c r="E65" s="86" t="s">
        <v>57</v>
      </c>
      <c r="F65" s="87" t="s">
        <v>57</v>
      </c>
      <c r="G65" s="87" t="s">
        <v>57</v>
      </c>
      <c r="H65" s="88" t="s">
        <v>57</v>
      </c>
      <c r="I65" s="228" t="s">
        <v>57</v>
      </c>
      <c r="J65" s="238" t="s">
        <v>57</v>
      </c>
      <c r="K65" s="239" t="s">
        <v>57</v>
      </c>
      <c r="L65" s="89" t="s">
        <v>57</v>
      </c>
      <c r="M65" s="90" t="s">
        <v>57</v>
      </c>
      <c r="N65" s="90" t="s">
        <v>57</v>
      </c>
      <c r="O65" s="90" t="s">
        <v>57</v>
      </c>
      <c r="P65" s="90" t="s">
        <v>57</v>
      </c>
      <c r="Q65" s="90" t="s">
        <v>57</v>
      </c>
      <c r="R65" s="90" t="s">
        <v>57</v>
      </c>
      <c r="S65" s="90" t="s">
        <v>57</v>
      </c>
      <c r="T65" s="90" t="s">
        <v>57</v>
      </c>
      <c r="U65" s="90" t="s">
        <v>57</v>
      </c>
    </row>
    <row r="66" spans="2:21" outlineLevel="2">
      <c r="B66" s="74" t="s">
        <v>197</v>
      </c>
      <c r="C66" s="82" t="s">
        <v>198</v>
      </c>
      <c r="D66" s="76" t="s">
        <v>199</v>
      </c>
      <c r="E66" s="77">
        <f>18344737.03</f>
        <v>18344737.030000001</v>
      </c>
      <c r="F66" s="78">
        <f>18777561.52</f>
        <v>18777561.52</v>
      </c>
      <c r="G66" s="78">
        <f>19083489.8</f>
        <v>19083489.800000001</v>
      </c>
      <c r="H66" s="79">
        <f>19156432.92</f>
        <v>19156432.920000002</v>
      </c>
      <c r="I66" s="227">
        <f>20350741.2</f>
        <v>20350741.199999999</v>
      </c>
      <c r="J66" s="236">
        <v>10315566.01</v>
      </c>
      <c r="K66" s="235">
        <f>J66/I66</f>
        <v>0.50688895842280179</v>
      </c>
      <c r="L66" s="80">
        <f>20847515</f>
        <v>20847515</v>
      </c>
      <c r="M66" s="81">
        <f>21368700</f>
        <v>21368700</v>
      </c>
      <c r="N66" s="81">
        <f>21796000</f>
        <v>21796000</v>
      </c>
      <c r="O66" s="81">
        <f>22341000</f>
        <v>22341000</v>
      </c>
      <c r="P66" s="81">
        <f>22900000</f>
        <v>22900000</v>
      </c>
      <c r="Q66" s="81">
        <f>23472000</f>
        <v>23472000</v>
      </c>
      <c r="R66" s="81">
        <f>23941000</f>
        <v>23941000</v>
      </c>
      <c r="S66" s="81">
        <f>24540000</f>
        <v>24540000</v>
      </c>
      <c r="T66" s="81">
        <f>25153500</f>
        <v>25153500</v>
      </c>
      <c r="U66" s="81">
        <f>25782300</f>
        <v>25782300</v>
      </c>
    </row>
    <row r="67" spans="2:21" outlineLevel="2">
      <c r="B67" s="74" t="s">
        <v>200</v>
      </c>
      <c r="C67" s="82" t="s">
        <v>201</v>
      </c>
      <c r="D67" s="76" t="s">
        <v>202</v>
      </c>
      <c r="E67" s="77">
        <f>3345026.92</f>
        <v>3345026.92</v>
      </c>
      <c r="F67" s="78">
        <f>3377117.92</f>
        <v>3377117.92</v>
      </c>
      <c r="G67" s="78">
        <f>3867645</f>
        <v>3867645</v>
      </c>
      <c r="H67" s="79">
        <f>3681939.13</f>
        <v>3681939.13</v>
      </c>
      <c r="I67" s="227">
        <f>4182312.29</f>
        <v>4182312.29</v>
      </c>
      <c r="J67" s="236">
        <v>2026031.18</v>
      </c>
      <c r="K67" s="235">
        <f>J67/I67</f>
        <v>0.48442847867776029</v>
      </c>
      <c r="L67" s="80">
        <f>4286870</f>
        <v>4286870</v>
      </c>
      <c r="M67" s="81">
        <f>4372600</f>
        <v>4372600</v>
      </c>
      <c r="N67" s="81">
        <f>4460052</f>
        <v>4460052</v>
      </c>
      <c r="O67" s="81">
        <f>4549253</f>
        <v>4549253</v>
      </c>
      <c r="P67" s="81">
        <f>4640200</f>
        <v>4640200</v>
      </c>
      <c r="Q67" s="81">
        <f>4733000</f>
        <v>4733000</v>
      </c>
      <c r="R67" s="81">
        <f>4827660</f>
        <v>4827660</v>
      </c>
      <c r="S67" s="81">
        <f>4924200</f>
        <v>4924200</v>
      </c>
      <c r="T67" s="81">
        <f>5022600</f>
        <v>5022600</v>
      </c>
      <c r="U67" s="81">
        <f>5123150</f>
        <v>5123150</v>
      </c>
    </row>
    <row r="68" spans="2:21" outlineLevel="2">
      <c r="B68" s="74" t="s">
        <v>203</v>
      </c>
      <c r="C68" s="82" t="s">
        <v>204</v>
      </c>
      <c r="D68" s="76" t="s">
        <v>205</v>
      </c>
      <c r="E68" s="77">
        <f>15578427.44</f>
        <v>15578427.439999999</v>
      </c>
      <c r="F68" s="78">
        <f>9668540.33</f>
        <v>9668540.3300000001</v>
      </c>
      <c r="G68" s="78">
        <f>5503997.09</f>
        <v>5503997.0899999999</v>
      </c>
      <c r="H68" s="79">
        <f>4133992.89</f>
        <v>4133992.89</v>
      </c>
      <c r="I68" s="227">
        <f>1086528.09</f>
        <v>1086528.0900000001</v>
      </c>
      <c r="J68" s="236">
        <v>1036528.09</v>
      </c>
      <c r="K68" s="235">
        <f>J68/I68</f>
        <v>0.95398186161942655</v>
      </c>
      <c r="L68" s="80">
        <f>256152</f>
        <v>256152</v>
      </c>
      <c r="M68" s="81">
        <f>0</f>
        <v>0</v>
      </c>
      <c r="N68" s="81">
        <f>0</f>
        <v>0</v>
      </c>
      <c r="O68" s="81">
        <f>0</f>
        <v>0</v>
      </c>
      <c r="P68" s="81">
        <f>0</f>
        <v>0</v>
      </c>
      <c r="Q68" s="81">
        <f>0</f>
        <v>0</v>
      </c>
      <c r="R68" s="81">
        <f>0</f>
        <v>0</v>
      </c>
      <c r="S68" s="81">
        <f>0</f>
        <v>0</v>
      </c>
      <c r="T68" s="81">
        <f>0</f>
        <v>0</v>
      </c>
      <c r="U68" s="81">
        <f>0</f>
        <v>0</v>
      </c>
    </row>
    <row r="69" spans="2:21" outlineLevel="3">
      <c r="B69" s="74" t="s">
        <v>206</v>
      </c>
      <c r="C69" s="82" t="s">
        <v>207</v>
      </c>
      <c r="D69" s="83" t="s">
        <v>208</v>
      </c>
      <c r="E69" s="77">
        <f>26779</f>
        <v>26779</v>
      </c>
      <c r="F69" s="78">
        <f>0</f>
        <v>0</v>
      </c>
      <c r="G69" s="78">
        <f>0</f>
        <v>0</v>
      </c>
      <c r="H69" s="79">
        <f>0</f>
        <v>0</v>
      </c>
      <c r="I69" s="227">
        <f>0</f>
        <v>0</v>
      </c>
      <c r="J69" s="236">
        <v>0</v>
      </c>
      <c r="K69" s="242" t="s">
        <v>57</v>
      </c>
      <c r="L69" s="80">
        <f>0</f>
        <v>0</v>
      </c>
      <c r="M69" s="81">
        <f>0</f>
        <v>0</v>
      </c>
      <c r="N69" s="81">
        <f>0</f>
        <v>0</v>
      </c>
      <c r="O69" s="81">
        <f>0</f>
        <v>0</v>
      </c>
      <c r="P69" s="81">
        <f>0</f>
        <v>0</v>
      </c>
      <c r="Q69" s="81">
        <f>0</f>
        <v>0</v>
      </c>
      <c r="R69" s="81">
        <f>0</f>
        <v>0</v>
      </c>
      <c r="S69" s="81">
        <f>0</f>
        <v>0</v>
      </c>
      <c r="T69" s="81">
        <f>0</f>
        <v>0</v>
      </c>
      <c r="U69" s="81">
        <f>0</f>
        <v>0</v>
      </c>
    </row>
    <row r="70" spans="2:21" outlineLevel="3">
      <c r="B70" s="74" t="s">
        <v>209</v>
      </c>
      <c r="C70" s="82" t="s">
        <v>210</v>
      </c>
      <c r="D70" s="83" t="s">
        <v>211</v>
      </c>
      <c r="E70" s="77">
        <f>15551648.44</f>
        <v>15551648.439999999</v>
      </c>
      <c r="F70" s="78">
        <f>9668540.33</f>
        <v>9668540.3300000001</v>
      </c>
      <c r="G70" s="78">
        <f>5503997.09</f>
        <v>5503997.0899999999</v>
      </c>
      <c r="H70" s="79">
        <f>4133992.89</f>
        <v>4133992.89</v>
      </c>
      <c r="I70" s="227">
        <f>1086528.09</f>
        <v>1086528.0900000001</v>
      </c>
      <c r="J70" s="236">
        <f>J68</f>
        <v>1036528.09</v>
      </c>
      <c r="K70" s="235">
        <f>J70/I70</f>
        <v>0.95398186161942655</v>
      </c>
      <c r="L70" s="80">
        <f>256152</f>
        <v>256152</v>
      </c>
      <c r="M70" s="81">
        <f>0</f>
        <v>0</v>
      </c>
      <c r="N70" s="81">
        <f>0</f>
        <v>0</v>
      </c>
      <c r="O70" s="81">
        <f>0</f>
        <v>0</v>
      </c>
      <c r="P70" s="81">
        <f>0</f>
        <v>0</v>
      </c>
      <c r="Q70" s="81">
        <f>0</f>
        <v>0</v>
      </c>
      <c r="R70" s="81">
        <f>0</f>
        <v>0</v>
      </c>
      <c r="S70" s="81">
        <f>0</f>
        <v>0</v>
      </c>
      <c r="T70" s="81">
        <f>0</f>
        <v>0</v>
      </c>
      <c r="U70" s="81">
        <f>0</f>
        <v>0</v>
      </c>
    </row>
    <row r="71" spans="2:21" outlineLevel="2">
      <c r="B71" s="74" t="s">
        <v>212</v>
      </c>
      <c r="C71" s="82" t="s">
        <v>213</v>
      </c>
      <c r="D71" s="76" t="s">
        <v>214</v>
      </c>
      <c r="E71" s="77">
        <f>0</f>
        <v>0</v>
      </c>
      <c r="F71" s="78">
        <f>9622931.51</f>
        <v>9622931.5099999998</v>
      </c>
      <c r="G71" s="78">
        <f>4742997.09</f>
        <v>4742997.09</v>
      </c>
      <c r="H71" s="79">
        <f>4732992.89</f>
        <v>4732992.8899999997</v>
      </c>
      <c r="I71" s="227">
        <f>1086528.09</f>
        <v>1086528.0900000001</v>
      </c>
      <c r="J71" s="236">
        <v>752248.09</v>
      </c>
      <c r="K71" s="235">
        <f>J71/I71</f>
        <v>0.69234113404283903</v>
      </c>
      <c r="L71" s="80">
        <f>256152</f>
        <v>256152</v>
      </c>
      <c r="M71" s="81">
        <f>0</f>
        <v>0</v>
      </c>
      <c r="N71" s="81">
        <f>0</f>
        <v>0</v>
      </c>
      <c r="O71" s="81">
        <f>0</f>
        <v>0</v>
      </c>
      <c r="P71" s="81">
        <f>0</f>
        <v>0</v>
      </c>
      <c r="Q71" s="81">
        <f>0</f>
        <v>0</v>
      </c>
      <c r="R71" s="81">
        <f>0</f>
        <v>0</v>
      </c>
      <c r="S71" s="81">
        <f>0</f>
        <v>0</v>
      </c>
      <c r="T71" s="81">
        <f>0</f>
        <v>0</v>
      </c>
      <c r="U71" s="81">
        <f>0</f>
        <v>0</v>
      </c>
    </row>
    <row r="72" spans="2:21" outlineLevel="2">
      <c r="B72" s="74" t="s">
        <v>215</v>
      </c>
      <c r="C72" s="82" t="s">
        <v>216</v>
      </c>
      <c r="D72" s="76" t="s">
        <v>217</v>
      </c>
      <c r="E72" s="77">
        <f>0</f>
        <v>0</v>
      </c>
      <c r="F72" s="78">
        <f>2073043.51</f>
        <v>2073043.51</v>
      </c>
      <c r="G72" s="78">
        <f>575142.23</f>
        <v>575142.23</v>
      </c>
      <c r="H72" s="79">
        <f>428937.51</f>
        <v>428937.51</v>
      </c>
      <c r="I72" s="227">
        <f>850991.91</f>
        <v>850991.91</v>
      </c>
      <c r="J72" s="236">
        <v>54873.36</v>
      </c>
      <c r="K72" s="235">
        <f>J72/I72</f>
        <v>6.4481647069946885E-2</v>
      </c>
      <c r="L72" s="80">
        <f>1213848</f>
        <v>1213848</v>
      </c>
      <c r="M72" s="81">
        <f>1000000</f>
        <v>1000000</v>
      </c>
      <c r="N72" s="81">
        <f>0</f>
        <v>0</v>
      </c>
      <c r="O72" s="81">
        <f>0</f>
        <v>0</v>
      </c>
      <c r="P72" s="81">
        <f>0</f>
        <v>0</v>
      </c>
      <c r="Q72" s="81">
        <f>0</f>
        <v>0</v>
      </c>
      <c r="R72" s="81">
        <f>0</f>
        <v>0</v>
      </c>
      <c r="S72" s="81">
        <f>0</f>
        <v>0</v>
      </c>
      <c r="T72" s="81">
        <f>0</f>
        <v>0</v>
      </c>
      <c r="U72" s="81">
        <f>0</f>
        <v>0</v>
      </c>
    </row>
    <row r="73" spans="2:21" outlineLevel="2">
      <c r="B73" s="74" t="s">
        <v>218</v>
      </c>
      <c r="C73" s="82" t="s">
        <v>219</v>
      </c>
      <c r="D73" s="76" t="s">
        <v>220</v>
      </c>
      <c r="E73" s="77">
        <f>0</f>
        <v>0</v>
      </c>
      <c r="F73" s="78">
        <f>205644.5</f>
        <v>205644.5</v>
      </c>
      <c r="G73" s="78">
        <f>872704</f>
        <v>872704</v>
      </c>
      <c r="H73" s="79">
        <f>418703.97</f>
        <v>418703.97</v>
      </c>
      <c r="I73" s="227">
        <f>1016280</f>
        <v>1016280</v>
      </c>
      <c r="J73" s="252">
        <v>536280</v>
      </c>
      <c r="K73" s="235">
        <f>J73/I73</f>
        <v>0.52768921950643521</v>
      </c>
      <c r="L73" s="80">
        <f>0</f>
        <v>0</v>
      </c>
      <c r="M73" s="81">
        <f>0</f>
        <v>0</v>
      </c>
      <c r="N73" s="81">
        <f>0</f>
        <v>0</v>
      </c>
      <c r="O73" s="81">
        <f>0</f>
        <v>0</v>
      </c>
      <c r="P73" s="81">
        <f>0</f>
        <v>0</v>
      </c>
      <c r="Q73" s="81">
        <f>0</f>
        <v>0</v>
      </c>
      <c r="R73" s="81">
        <f>0</f>
        <v>0</v>
      </c>
      <c r="S73" s="81">
        <f>0</f>
        <v>0</v>
      </c>
      <c r="T73" s="81">
        <f>0</f>
        <v>0</v>
      </c>
      <c r="U73" s="81">
        <f>0</f>
        <v>0</v>
      </c>
    </row>
    <row r="74" spans="2:21" ht="24" outlineLevel="1">
      <c r="B74" s="66">
        <v>12</v>
      </c>
      <c r="C74" s="67" t="s">
        <v>221</v>
      </c>
      <c r="D74" s="68" t="s">
        <v>221</v>
      </c>
      <c r="E74" s="86" t="s">
        <v>57</v>
      </c>
      <c r="F74" s="87" t="s">
        <v>57</v>
      </c>
      <c r="G74" s="87" t="s">
        <v>57</v>
      </c>
      <c r="H74" s="88" t="s">
        <v>57</v>
      </c>
      <c r="I74" s="228" t="s">
        <v>57</v>
      </c>
      <c r="J74" s="238" t="s">
        <v>57</v>
      </c>
      <c r="K74" s="239" t="s">
        <v>57</v>
      </c>
      <c r="L74" s="89" t="s">
        <v>57</v>
      </c>
      <c r="M74" s="90" t="s">
        <v>57</v>
      </c>
      <c r="N74" s="90" t="s">
        <v>57</v>
      </c>
      <c r="O74" s="90" t="s">
        <v>57</v>
      </c>
      <c r="P74" s="90" t="s">
        <v>57</v>
      </c>
      <c r="Q74" s="90" t="s">
        <v>57</v>
      </c>
      <c r="R74" s="90" t="s">
        <v>57</v>
      </c>
      <c r="S74" s="90" t="s">
        <v>57</v>
      </c>
      <c r="T74" s="90" t="s">
        <v>57</v>
      </c>
      <c r="U74" s="90" t="s">
        <v>57</v>
      </c>
    </row>
    <row r="75" spans="2:21" ht="24" outlineLevel="2">
      <c r="B75" s="74" t="s">
        <v>222</v>
      </c>
      <c r="C75" s="82" t="s">
        <v>223</v>
      </c>
      <c r="D75" s="76" t="s">
        <v>224</v>
      </c>
      <c r="E75" s="77">
        <f>171957.5</f>
        <v>171957.5</v>
      </c>
      <c r="F75" s="78">
        <f>188044.85</f>
        <v>188044.85</v>
      </c>
      <c r="G75" s="78">
        <f>0</f>
        <v>0</v>
      </c>
      <c r="H75" s="79">
        <f>0</f>
        <v>0</v>
      </c>
      <c r="I75" s="227">
        <f>0</f>
        <v>0</v>
      </c>
      <c r="J75" s="236">
        <v>0</v>
      </c>
      <c r="K75" s="242" t="s">
        <v>57</v>
      </c>
      <c r="L75" s="80">
        <f>0</f>
        <v>0</v>
      </c>
      <c r="M75" s="81">
        <f>0</f>
        <v>0</v>
      </c>
      <c r="N75" s="81">
        <f>0</f>
        <v>0</v>
      </c>
      <c r="O75" s="81">
        <f>0</f>
        <v>0</v>
      </c>
      <c r="P75" s="81">
        <f>0</f>
        <v>0</v>
      </c>
      <c r="Q75" s="81">
        <f>0</f>
        <v>0</v>
      </c>
      <c r="R75" s="81">
        <f>0</f>
        <v>0</v>
      </c>
      <c r="S75" s="81">
        <f>0</f>
        <v>0</v>
      </c>
      <c r="T75" s="81">
        <f>0</f>
        <v>0</v>
      </c>
      <c r="U75" s="81">
        <f>0</f>
        <v>0</v>
      </c>
    </row>
    <row r="76" spans="2:21" outlineLevel="3">
      <c r="B76" s="74" t="s">
        <v>225</v>
      </c>
      <c r="C76" s="82" t="s">
        <v>226</v>
      </c>
      <c r="D76" s="100" t="s">
        <v>227</v>
      </c>
      <c r="E76" s="77">
        <f>163311.59</f>
        <v>163311.59</v>
      </c>
      <c r="F76" s="78">
        <f>178590.08</f>
        <v>178590.07999999999</v>
      </c>
      <c r="G76" s="78">
        <f>0</f>
        <v>0</v>
      </c>
      <c r="H76" s="79">
        <f>0</f>
        <v>0</v>
      </c>
      <c r="I76" s="227">
        <f>0</f>
        <v>0</v>
      </c>
      <c r="J76" s="236">
        <v>0</v>
      </c>
      <c r="K76" s="242" t="s">
        <v>57</v>
      </c>
      <c r="L76" s="80">
        <f>0</f>
        <v>0</v>
      </c>
      <c r="M76" s="81">
        <f>0</f>
        <v>0</v>
      </c>
      <c r="N76" s="81">
        <f>0</f>
        <v>0</v>
      </c>
      <c r="O76" s="81">
        <f>0</f>
        <v>0</v>
      </c>
      <c r="P76" s="81">
        <f>0</f>
        <v>0</v>
      </c>
      <c r="Q76" s="81">
        <f>0</f>
        <v>0</v>
      </c>
      <c r="R76" s="81">
        <f>0</f>
        <v>0</v>
      </c>
      <c r="S76" s="81">
        <f>0</f>
        <v>0</v>
      </c>
      <c r="T76" s="81">
        <f>0</f>
        <v>0</v>
      </c>
      <c r="U76" s="81">
        <f>0</f>
        <v>0</v>
      </c>
    </row>
    <row r="77" spans="2:21" ht="24" outlineLevel="4">
      <c r="B77" s="74" t="s">
        <v>228</v>
      </c>
      <c r="C77" s="82" t="s">
        <v>229</v>
      </c>
      <c r="D77" s="101" t="s">
        <v>230</v>
      </c>
      <c r="E77" s="77">
        <f>0</f>
        <v>0</v>
      </c>
      <c r="F77" s="78">
        <f>178590.08</f>
        <v>178590.07999999999</v>
      </c>
      <c r="G77" s="78">
        <f>0</f>
        <v>0</v>
      </c>
      <c r="H77" s="79">
        <f>0</f>
        <v>0</v>
      </c>
      <c r="I77" s="227">
        <f>0</f>
        <v>0</v>
      </c>
      <c r="J77" s="236">
        <v>0</v>
      </c>
      <c r="K77" s="242" t="s">
        <v>57</v>
      </c>
      <c r="L77" s="80">
        <f>0</f>
        <v>0</v>
      </c>
      <c r="M77" s="81">
        <f>0</f>
        <v>0</v>
      </c>
      <c r="N77" s="81">
        <f>0</f>
        <v>0</v>
      </c>
      <c r="O77" s="81">
        <f>0</f>
        <v>0</v>
      </c>
      <c r="P77" s="81">
        <f>0</f>
        <v>0</v>
      </c>
      <c r="Q77" s="81">
        <f>0</f>
        <v>0</v>
      </c>
      <c r="R77" s="81">
        <f>0</f>
        <v>0</v>
      </c>
      <c r="S77" s="81">
        <f>0</f>
        <v>0</v>
      </c>
      <c r="T77" s="81">
        <f>0</f>
        <v>0</v>
      </c>
      <c r="U77" s="81">
        <f>0</f>
        <v>0</v>
      </c>
    </row>
    <row r="78" spans="2:21" ht="24" outlineLevel="2">
      <c r="B78" s="74" t="s">
        <v>231</v>
      </c>
      <c r="C78" s="82" t="s">
        <v>232</v>
      </c>
      <c r="D78" s="76" t="s">
        <v>233</v>
      </c>
      <c r="E78" s="77">
        <f>0</f>
        <v>0</v>
      </c>
      <c r="F78" s="78">
        <f>1987808.6</f>
        <v>1987808.6</v>
      </c>
      <c r="G78" s="78">
        <f>4269348.9</f>
        <v>4269348.9000000004</v>
      </c>
      <c r="H78" s="79">
        <f>0</f>
        <v>0</v>
      </c>
      <c r="I78" s="227">
        <f>768479.08</f>
        <v>768479.08</v>
      </c>
      <c r="J78" s="236">
        <v>768479.08</v>
      </c>
      <c r="K78" s="235">
        <f>J78/I78</f>
        <v>1</v>
      </c>
      <c r="L78" s="80">
        <f>0</f>
        <v>0</v>
      </c>
      <c r="M78" s="81">
        <f>0</f>
        <v>0</v>
      </c>
      <c r="N78" s="81">
        <f>0</f>
        <v>0</v>
      </c>
      <c r="O78" s="81">
        <f>0</f>
        <v>0</v>
      </c>
      <c r="P78" s="81">
        <f>0</f>
        <v>0</v>
      </c>
      <c r="Q78" s="81">
        <f>0</f>
        <v>0</v>
      </c>
      <c r="R78" s="81">
        <f>0</f>
        <v>0</v>
      </c>
      <c r="S78" s="81">
        <f>0</f>
        <v>0</v>
      </c>
      <c r="T78" s="81">
        <f>0</f>
        <v>0</v>
      </c>
      <c r="U78" s="81">
        <f>0</f>
        <v>0</v>
      </c>
    </row>
    <row r="79" spans="2:21" outlineLevel="3">
      <c r="B79" s="74" t="s">
        <v>234</v>
      </c>
      <c r="C79" s="82" t="s">
        <v>235</v>
      </c>
      <c r="D79" s="100" t="s">
        <v>227</v>
      </c>
      <c r="E79" s="77">
        <f>0</f>
        <v>0</v>
      </c>
      <c r="F79" s="78">
        <f>1987808.6</f>
        <v>1987808.6</v>
      </c>
      <c r="G79" s="78">
        <f>4082843.17</f>
        <v>4082843.17</v>
      </c>
      <c r="H79" s="79">
        <f>0</f>
        <v>0</v>
      </c>
      <c r="I79" s="227">
        <f>768479.08</f>
        <v>768479.08</v>
      </c>
      <c r="J79" s="236">
        <v>768479.08</v>
      </c>
      <c r="K79" s="235">
        <f t="shared" ref="K79:K80" si="11">J79/I79</f>
        <v>1</v>
      </c>
      <c r="L79" s="80">
        <f>0</f>
        <v>0</v>
      </c>
      <c r="M79" s="81">
        <f>0</f>
        <v>0</v>
      </c>
      <c r="N79" s="81">
        <f>0</f>
        <v>0</v>
      </c>
      <c r="O79" s="81">
        <f>0</f>
        <v>0</v>
      </c>
      <c r="P79" s="81">
        <f>0</f>
        <v>0</v>
      </c>
      <c r="Q79" s="81">
        <f>0</f>
        <v>0</v>
      </c>
      <c r="R79" s="81">
        <f>0</f>
        <v>0</v>
      </c>
      <c r="S79" s="81">
        <f>0</f>
        <v>0</v>
      </c>
      <c r="T79" s="81">
        <f>0</f>
        <v>0</v>
      </c>
      <c r="U79" s="81">
        <f>0</f>
        <v>0</v>
      </c>
    </row>
    <row r="80" spans="2:21" ht="24" outlineLevel="4">
      <c r="B80" s="74" t="s">
        <v>236</v>
      </c>
      <c r="C80" s="82" t="s">
        <v>237</v>
      </c>
      <c r="D80" s="101" t="s">
        <v>238</v>
      </c>
      <c r="E80" s="77">
        <f>0</f>
        <v>0</v>
      </c>
      <c r="F80" s="78">
        <f>1987808.6</f>
        <v>1987808.6</v>
      </c>
      <c r="G80" s="78">
        <f>4082843.17</f>
        <v>4082843.17</v>
      </c>
      <c r="H80" s="79">
        <f>0</f>
        <v>0</v>
      </c>
      <c r="I80" s="227">
        <f>768479.08</f>
        <v>768479.08</v>
      </c>
      <c r="J80" s="236">
        <v>768479.08</v>
      </c>
      <c r="K80" s="235">
        <f t="shared" si="11"/>
        <v>1</v>
      </c>
      <c r="L80" s="80">
        <f>0</f>
        <v>0</v>
      </c>
      <c r="M80" s="81">
        <f>0</f>
        <v>0</v>
      </c>
      <c r="N80" s="81">
        <f>0</f>
        <v>0</v>
      </c>
      <c r="O80" s="81">
        <f>0</f>
        <v>0</v>
      </c>
      <c r="P80" s="81">
        <f>0</f>
        <v>0</v>
      </c>
      <c r="Q80" s="81">
        <f>0</f>
        <v>0</v>
      </c>
      <c r="R80" s="81">
        <f>0</f>
        <v>0</v>
      </c>
      <c r="S80" s="81">
        <f>0</f>
        <v>0</v>
      </c>
      <c r="T80" s="81">
        <f>0</f>
        <v>0</v>
      </c>
      <c r="U80" s="81">
        <f>0</f>
        <v>0</v>
      </c>
    </row>
    <row r="81" spans="2:21" ht="24" outlineLevel="2">
      <c r="B81" s="74" t="s">
        <v>239</v>
      </c>
      <c r="C81" s="82" t="s">
        <v>240</v>
      </c>
      <c r="D81" s="76" t="s">
        <v>241</v>
      </c>
      <c r="E81" s="77">
        <f>0</f>
        <v>0</v>
      </c>
      <c r="F81" s="78">
        <f>210105.98</f>
        <v>210105.98</v>
      </c>
      <c r="G81" s="78">
        <f>0</f>
        <v>0</v>
      </c>
      <c r="H81" s="79">
        <f>0</f>
        <v>0</v>
      </c>
      <c r="I81" s="227">
        <f>0</f>
        <v>0</v>
      </c>
      <c r="J81" s="236">
        <v>0</v>
      </c>
      <c r="K81" s="242" t="s">
        <v>57</v>
      </c>
      <c r="L81" s="80">
        <f>0</f>
        <v>0</v>
      </c>
      <c r="M81" s="81">
        <f>0</f>
        <v>0</v>
      </c>
      <c r="N81" s="81">
        <f>0</f>
        <v>0</v>
      </c>
      <c r="O81" s="81">
        <f>0</f>
        <v>0</v>
      </c>
      <c r="P81" s="81">
        <f>0</f>
        <v>0</v>
      </c>
      <c r="Q81" s="81">
        <f>0</f>
        <v>0</v>
      </c>
      <c r="R81" s="81">
        <f>0</f>
        <v>0</v>
      </c>
      <c r="S81" s="81">
        <f>0</f>
        <v>0</v>
      </c>
      <c r="T81" s="81">
        <f>0</f>
        <v>0</v>
      </c>
      <c r="U81" s="81">
        <f>0</f>
        <v>0</v>
      </c>
    </row>
    <row r="82" spans="2:21" outlineLevel="3">
      <c r="B82" s="74" t="s">
        <v>242</v>
      </c>
      <c r="C82" s="82" t="s">
        <v>243</v>
      </c>
      <c r="D82" s="100" t="s">
        <v>244</v>
      </c>
      <c r="E82" s="77">
        <f>0</f>
        <v>0</v>
      </c>
      <c r="F82" s="78">
        <f>178590.08</f>
        <v>178590.07999999999</v>
      </c>
      <c r="G82" s="78">
        <f>0</f>
        <v>0</v>
      </c>
      <c r="H82" s="79">
        <f>0</f>
        <v>0</v>
      </c>
      <c r="I82" s="227">
        <f>0</f>
        <v>0</v>
      </c>
      <c r="J82" s="236">
        <v>0</v>
      </c>
      <c r="K82" s="242" t="s">
        <v>57</v>
      </c>
      <c r="L82" s="80">
        <f>0</f>
        <v>0</v>
      </c>
      <c r="M82" s="81">
        <f>0</f>
        <v>0</v>
      </c>
      <c r="N82" s="81">
        <f>0</f>
        <v>0</v>
      </c>
      <c r="O82" s="81">
        <f>0</f>
        <v>0</v>
      </c>
      <c r="P82" s="81">
        <f>0</f>
        <v>0</v>
      </c>
      <c r="Q82" s="81">
        <f>0</f>
        <v>0</v>
      </c>
      <c r="R82" s="81">
        <f>0</f>
        <v>0</v>
      </c>
      <c r="S82" s="81">
        <f>0</f>
        <v>0</v>
      </c>
      <c r="T82" s="81">
        <f>0</f>
        <v>0</v>
      </c>
      <c r="U82" s="81">
        <f>0</f>
        <v>0</v>
      </c>
    </row>
    <row r="83" spans="2:21" ht="24" outlineLevel="3">
      <c r="B83" s="74" t="s">
        <v>245</v>
      </c>
      <c r="C83" s="82" t="s">
        <v>246</v>
      </c>
      <c r="D83" s="83" t="s">
        <v>247</v>
      </c>
      <c r="E83" s="77">
        <f>0</f>
        <v>0</v>
      </c>
      <c r="F83" s="78">
        <f>210105.98</f>
        <v>210105.98</v>
      </c>
      <c r="G83" s="78">
        <f>0</f>
        <v>0</v>
      </c>
      <c r="H83" s="79">
        <f>0</f>
        <v>0</v>
      </c>
      <c r="I83" s="227">
        <f>0</f>
        <v>0</v>
      </c>
      <c r="J83" s="236">
        <v>0</v>
      </c>
      <c r="K83" s="242" t="s">
        <v>57</v>
      </c>
      <c r="L83" s="80">
        <f>0</f>
        <v>0</v>
      </c>
      <c r="M83" s="81">
        <f>0</f>
        <v>0</v>
      </c>
      <c r="N83" s="81">
        <f>0</f>
        <v>0</v>
      </c>
      <c r="O83" s="81">
        <f>0</f>
        <v>0</v>
      </c>
      <c r="P83" s="81">
        <f>0</f>
        <v>0</v>
      </c>
      <c r="Q83" s="81">
        <f>0</f>
        <v>0</v>
      </c>
      <c r="R83" s="81">
        <f>0</f>
        <v>0</v>
      </c>
      <c r="S83" s="81">
        <f>0</f>
        <v>0</v>
      </c>
      <c r="T83" s="81">
        <f>0</f>
        <v>0</v>
      </c>
      <c r="U83" s="81">
        <f>0</f>
        <v>0</v>
      </c>
    </row>
    <row r="84" spans="2:21" ht="24" outlineLevel="2">
      <c r="B84" s="74" t="s">
        <v>248</v>
      </c>
      <c r="C84" s="82" t="s">
        <v>249</v>
      </c>
      <c r="D84" s="76" t="s">
        <v>250</v>
      </c>
      <c r="E84" s="77">
        <f>0</f>
        <v>0</v>
      </c>
      <c r="F84" s="78">
        <f>9707754.25</f>
        <v>9707754.25</v>
      </c>
      <c r="G84" s="78">
        <f>4580169.01</f>
        <v>4580169.01</v>
      </c>
      <c r="H84" s="79">
        <f>0</f>
        <v>0</v>
      </c>
      <c r="I84" s="227">
        <f>0</f>
        <v>0</v>
      </c>
      <c r="J84" s="236">
        <v>0</v>
      </c>
      <c r="K84" s="242" t="s">
        <v>57</v>
      </c>
      <c r="L84" s="80">
        <f>0</f>
        <v>0</v>
      </c>
      <c r="M84" s="81">
        <f>0</f>
        <v>0</v>
      </c>
      <c r="N84" s="81">
        <f>0</f>
        <v>0</v>
      </c>
      <c r="O84" s="81">
        <f>0</f>
        <v>0</v>
      </c>
      <c r="P84" s="81">
        <f>0</f>
        <v>0</v>
      </c>
      <c r="Q84" s="81">
        <f>0</f>
        <v>0</v>
      </c>
      <c r="R84" s="81">
        <f>0</f>
        <v>0</v>
      </c>
      <c r="S84" s="81">
        <f>0</f>
        <v>0</v>
      </c>
      <c r="T84" s="81">
        <f>0</f>
        <v>0</v>
      </c>
      <c r="U84" s="81">
        <f>0</f>
        <v>0</v>
      </c>
    </row>
    <row r="85" spans="2:21" outlineLevel="3">
      <c r="B85" s="74" t="s">
        <v>251</v>
      </c>
      <c r="C85" s="82" t="s">
        <v>252</v>
      </c>
      <c r="D85" s="100" t="s">
        <v>253</v>
      </c>
      <c r="E85" s="77">
        <f>0</f>
        <v>0</v>
      </c>
      <c r="F85" s="78">
        <f>3920760.07</f>
        <v>3920760.07</v>
      </c>
      <c r="G85" s="78">
        <f>2315509.17</f>
        <v>2315509.17</v>
      </c>
      <c r="H85" s="79">
        <f>0</f>
        <v>0</v>
      </c>
      <c r="I85" s="227">
        <f>0</f>
        <v>0</v>
      </c>
      <c r="J85" s="236">
        <v>0</v>
      </c>
      <c r="K85" s="242" t="s">
        <v>57</v>
      </c>
      <c r="L85" s="80">
        <f>0</f>
        <v>0</v>
      </c>
      <c r="M85" s="81">
        <f>0</f>
        <v>0</v>
      </c>
      <c r="N85" s="81">
        <f>0</f>
        <v>0</v>
      </c>
      <c r="O85" s="81">
        <f>0</f>
        <v>0</v>
      </c>
      <c r="P85" s="81">
        <f>0</f>
        <v>0</v>
      </c>
      <c r="Q85" s="81">
        <f>0</f>
        <v>0</v>
      </c>
      <c r="R85" s="81">
        <f>0</f>
        <v>0</v>
      </c>
      <c r="S85" s="81">
        <f>0</f>
        <v>0</v>
      </c>
      <c r="T85" s="81">
        <f>0</f>
        <v>0</v>
      </c>
      <c r="U85" s="81">
        <f>0</f>
        <v>0</v>
      </c>
    </row>
    <row r="86" spans="2:21" ht="24" outlineLevel="3">
      <c r="B86" s="74" t="s">
        <v>254</v>
      </c>
      <c r="C86" s="82" t="s">
        <v>255</v>
      </c>
      <c r="D86" s="83" t="s">
        <v>256</v>
      </c>
      <c r="E86" s="77">
        <f>0</f>
        <v>0</v>
      </c>
      <c r="F86" s="78">
        <f>9707754.25</f>
        <v>9707754.25</v>
      </c>
      <c r="G86" s="78">
        <f>2315509.17</f>
        <v>2315509.17</v>
      </c>
      <c r="H86" s="79">
        <f>0</f>
        <v>0</v>
      </c>
      <c r="I86" s="227">
        <f>0</f>
        <v>0</v>
      </c>
      <c r="J86" s="236">
        <v>0</v>
      </c>
      <c r="K86" s="242" t="s">
        <v>57</v>
      </c>
      <c r="L86" s="80">
        <f>0</f>
        <v>0</v>
      </c>
      <c r="M86" s="81">
        <f>0</f>
        <v>0</v>
      </c>
      <c r="N86" s="81">
        <f>0</f>
        <v>0</v>
      </c>
      <c r="O86" s="81">
        <f>0</f>
        <v>0</v>
      </c>
      <c r="P86" s="81">
        <f>0</f>
        <v>0</v>
      </c>
      <c r="Q86" s="81">
        <f>0</f>
        <v>0</v>
      </c>
      <c r="R86" s="81">
        <f>0</f>
        <v>0</v>
      </c>
      <c r="S86" s="81">
        <f>0</f>
        <v>0</v>
      </c>
      <c r="T86" s="81">
        <f>0</f>
        <v>0</v>
      </c>
      <c r="U86" s="81">
        <f>0</f>
        <v>0</v>
      </c>
    </row>
    <row r="87" spans="2:21" ht="36" outlineLevel="2">
      <c r="B87" s="74" t="s">
        <v>257</v>
      </c>
      <c r="C87" s="82" t="s">
        <v>258</v>
      </c>
      <c r="D87" s="76" t="s">
        <v>259</v>
      </c>
      <c r="E87" s="77">
        <f>0</f>
        <v>0</v>
      </c>
      <c r="F87" s="78">
        <f>0</f>
        <v>0</v>
      </c>
      <c r="G87" s="78">
        <f>2264659.84</f>
        <v>2264659.84</v>
      </c>
      <c r="H87" s="79">
        <f>0</f>
        <v>0</v>
      </c>
      <c r="I87" s="227">
        <f>0</f>
        <v>0</v>
      </c>
      <c r="J87" s="236">
        <v>0</v>
      </c>
      <c r="K87" s="242" t="s">
        <v>57</v>
      </c>
      <c r="L87" s="80">
        <f>0</f>
        <v>0</v>
      </c>
      <c r="M87" s="81">
        <f>0</f>
        <v>0</v>
      </c>
      <c r="N87" s="81">
        <f>0</f>
        <v>0</v>
      </c>
      <c r="O87" s="81">
        <f>0</f>
        <v>0</v>
      </c>
      <c r="P87" s="81">
        <f>0</f>
        <v>0</v>
      </c>
      <c r="Q87" s="81">
        <f>0</f>
        <v>0</v>
      </c>
      <c r="R87" s="81">
        <f>0</f>
        <v>0</v>
      </c>
      <c r="S87" s="81">
        <f>0</f>
        <v>0</v>
      </c>
      <c r="T87" s="81">
        <f>0</f>
        <v>0</v>
      </c>
      <c r="U87" s="81">
        <f>0</f>
        <v>0</v>
      </c>
    </row>
    <row r="88" spans="2:21" outlineLevel="3">
      <c r="B88" s="74" t="s">
        <v>260</v>
      </c>
      <c r="C88" s="82" t="s">
        <v>261</v>
      </c>
      <c r="D88" s="83" t="s">
        <v>262</v>
      </c>
      <c r="E88" s="77">
        <f>0</f>
        <v>0</v>
      </c>
      <c r="F88" s="78">
        <f>0</f>
        <v>0</v>
      </c>
      <c r="G88" s="78">
        <f>2264659.84</f>
        <v>2264659.84</v>
      </c>
      <c r="H88" s="79">
        <f>0</f>
        <v>0</v>
      </c>
      <c r="I88" s="227">
        <f>0</f>
        <v>0</v>
      </c>
      <c r="J88" s="236">
        <v>0</v>
      </c>
      <c r="K88" s="242" t="s">
        <v>57</v>
      </c>
      <c r="L88" s="80">
        <f>0</f>
        <v>0</v>
      </c>
      <c r="M88" s="81">
        <f>0</f>
        <v>0</v>
      </c>
      <c r="N88" s="81">
        <f>0</f>
        <v>0</v>
      </c>
      <c r="O88" s="81">
        <f>0</f>
        <v>0</v>
      </c>
      <c r="P88" s="81">
        <f>0</f>
        <v>0</v>
      </c>
      <c r="Q88" s="81">
        <f>0</f>
        <v>0</v>
      </c>
      <c r="R88" s="81">
        <f>0</f>
        <v>0</v>
      </c>
      <c r="S88" s="81">
        <f>0</f>
        <v>0</v>
      </c>
      <c r="T88" s="81">
        <f>0</f>
        <v>0</v>
      </c>
      <c r="U88" s="81">
        <f>0</f>
        <v>0</v>
      </c>
    </row>
    <row r="89" spans="2:21" ht="36" outlineLevel="2">
      <c r="B89" s="74" t="s">
        <v>263</v>
      </c>
      <c r="C89" s="82" t="s">
        <v>264</v>
      </c>
      <c r="D89" s="76" t="s">
        <v>265</v>
      </c>
      <c r="E89" s="77">
        <f>0</f>
        <v>0</v>
      </c>
      <c r="F89" s="78">
        <f>0</f>
        <v>0</v>
      </c>
      <c r="G89" s="78">
        <f>968517.84</f>
        <v>968517.84</v>
      </c>
      <c r="H89" s="79">
        <f>0</f>
        <v>0</v>
      </c>
      <c r="I89" s="227">
        <f>0</f>
        <v>0</v>
      </c>
      <c r="J89" s="236">
        <v>0</v>
      </c>
      <c r="K89" s="242" t="s">
        <v>57</v>
      </c>
      <c r="L89" s="80">
        <f>0</f>
        <v>0</v>
      </c>
      <c r="M89" s="81">
        <f>0</f>
        <v>0</v>
      </c>
      <c r="N89" s="81">
        <f>0</f>
        <v>0</v>
      </c>
      <c r="O89" s="81">
        <f>0</f>
        <v>0</v>
      </c>
      <c r="P89" s="81">
        <f>0</f>
        <v>0</v>
      </c>
      <c r="Q89" s="81">
        <f>0</f>
        <v>0</v>
      </c>
      <c r="R89" s="81">
        <f>0</f>
        <v>0</v>
      </c>
      <c r="S89" s="81">
        <f>0</f>
        <v>0</v>
      </c>
      <c r="T89" s="81">
        <f>0</f>
        <v>0</v>
      </c>
      <c r="U89" s="81">
        <f>0</f>
        <v>0</v>
      </c>
    </row>
    <row r="90" spans="2:21" outlineLevel="3">
      <c r="B90" s="74" t="s">
        <v>266</v>
      </c>
      <c r="C90" s="82" t="s">
        <v>261</v>
      </c>
      <c r="D90" s="83" t="s">
        <v>262</v>
      </c>
      <c r="E90" s="77">
        <f>0</f>
        <v>0</v>
      </c>
      <c r="F90" s="78">
        <f>0</f>
        <v>0</v>
      </c>
      <c r="G90" s="78">
        <f>968517.84</f>
        <v>968517.84</v>
      </c>
      <c r="H90" s="79">
        <f>0</f>
        <v>0</v>
      </c>
      <c r="I90" s="227">
        <f>0</f>
        <v>0</v>
      </c>
      <c r="J90" s="236">
        <v>0</v>
      </c>
      <c r="K90" s="242" t="s">
        <v>57</v>
      </c>
      <c r="L90" s="80">
        <f>0</f>
        <v>0</v>
      </c>
      <c r="M90" s="81">
        <f>0</f>
        <v>0</v>
      </c>
      <c r="N90" s="81">
        <f>0</f>
        <v>0</v>
      </c>
      <c r="O90" s="81">
        <f>0</f>
        <v>0</v>
      </c>
      <c r="P90" s="81">
        <f>0</f>
        <v>0</v>
      </c>
      <c r="Q90" s="81">
        <f>0</f>
        <v>0</v>
      </c>
      <c r="R90" s="81">
        <f>0</f>
        <v>0</v>
      </c>
      <c r="S90" s="81">
        <f>0</f>
        <v>0</v>
      </c>
      <c r="T90" s="81">
        <f>0</f>
        <v>0</v>
      </c>
      <c r="U90" s="81">
        <f>0</f>
        <v>0</v>
      </c>
    </row>
    <row r="91" spans="2:21" ht="36" outlineLevel="2">
      <c r="B91" s="74" t="s">
        <v>267</v>
      </c>
      <c r="C91" s="82" t="s">
        <v>268</v>
      </c>
      <c r="D91" s="76" t="s">
        <v>269</v>
      </c>
      <c r="E91" s="77">
        <f>0</f>
        <v>0</v>
      </c>
      <c r="F91" s="78">
        <f>0</f>
        <v>0</v>
      </c>
      <c r="G91" s="78">
        <f>0</f>
        <v>0</v>
      </c>
      <c r="H91" s="79">
        <f>0</f>
        <v>0</v>
      </c>
      <c r="I91" s="227">
        <f>0</f>
        <v>0</v>
      </c>
      <c r="J91" s="236">
        <v>0</v>
      </c>
      <c r="K91" s="242" t="s">
        <v>57</v>
      </c>
      <c r="L91" s="80">
        <f>0</f>
        <v>0</v>
      </c>
      <c r="M91" s="81">
        <f>0</f>
        <v>0</v>
      </c>
      <c r="N91" s="81">
        <f>0</f>
        <v>0</v>
      </c>
      <c r="O91" s="81">
        <f>0</f>
        <v>0</v>
      </c>
      <c r="P91" s="81">
        <f>0</f>
        <v>0</v>
      </c>
      <c r="Q91" s="81">
        <f>0</f>
        <v>0</v>
      </c>
      <c r="R91" s="81">
        <f>0</f>
        <v>0</v>
      </c>
      <c r="S91" s="81">
        <f>0</f>
        <v>0</v>
      </c>
      <c r="T91" s="81">
        <f>0</f>
        <v>0</v>
      </c>
      <c r="U91" s="81">
        <f>0</f>
        <v>0</v>
      </c>
    </row>
    <row r="92" spans="2:21" outlineLevel="3">
      <c r="B92" s="74" t="s">
        <v>270</v>
      </c>
      <c r="C92" s="82" t="s">
        <v>261</v>
      </c>
      <c r="D92" s="83" t="s">
        <v>262</v>
      </c>
      <c r="E92" s="77">
        <f>0</f>
        <v>0</v>
      </c>
      <c r="F92" s="78">
        <f>0</f>
        <v>0</v>
      </c>
      <c r="G92" s="78">
        <f>0</f>
        <v>0</v>
      </c>
      <c r="H92" s="79">
        <f>0</f>
        <v>0</v>
      </c>
      <c r="I92" s="227">
        <f>0</f>
        <v>0</v>
      </c>
      <c r="J92" s="236">
        <v>0</v>
      </c>
      <c r="K92" s="242" t="s">
        <v>57</v>
      </c>
      <c r="L92" s="80">
        <f>0</f>
        <v>0</v>
      </c>
      <c r="M92" s="81">
        <f>0</f>
        <v>0</v>
      </c>
      <c r="N92" s="81">
        <f>0</f>
        <v>0</v>
      </c>
      <c r="O92" s="81">
        <f>0</f>
        <v>0</v>
      </c>
      <c r="P92" s="81">
        <f>0</f>
        <v>0</v>
      </c>
      <c r="Q92" s="81">
        <f>0</f>
        <v>0</v>
      </c>
      <c r="R92" s="81">
        <f>0</f>
        <v>0</v>
      </c>
      <c r="S92" s="81">
        <f>0</f>
        <v>0</v>
      </c>
      <c r="T92" s="81">
        <f>0</f>
        <v>0</v>
      </c>
      <c r="U92" s="81">
        <f>0</f>
        <v>0</v>
      </c>
    </row>
    <row r="93" spans="2:21" ht="36" outlineLevel="2">
      <c r="B93" s="74" t="s">
        <v>271</v>
      </c>
      <c r="C93" s="82" t="s">
        <v>272</v>
      </c>
      <c r="D93" s="76" t="s">
        <v>273</v>
      </c>
      <c r="E93" s="77">
        <f>0</f>
        <v>0</v>
      </c>
      <c r="F93" s="78">
        <f>0</f>
        <v>0</v>
      </c>
      <c r="G93" s="78">
        <f>0</f>
        <v>0</v>
      </c>
      <c r="H93" s="79">
        <f>0</f>
        <v>0</v>
      </c>
      <c r="I93" s="227">
        <f>0</f>
        <v>0</v>
      </c>
      <c r="J93" s="236">
        <v>0</v>
      </c>
      <c r="K93" s="242" t="s">
        <v>57</v>
      </c>
      <c r="L93" s="80">
        <f>0</f>
        <v>0</v>
      </c>
      <c r="M93" s="81">
        <f>0</f>
        <v>0</v>
      </c>
      <c r="N93" s="81">
        <f>0</f>
        <v>0</v>
      </c>
      <c r="O93" s="81">
        <f>0</f>
        <v>0</v>
      </c>
      <c r="P93" s="81">
        <f>0</f>
        <v>0</v>
      </c>
      <c r="Q93" s="81">
        <f>0</f>
        <v>0</v>
      </c>
      <c r="R93" s="81">
        <f>0</f>
        <v>0</v>
      </c>
      <c r="S93" s="81">
        <f>0</f>
        <v>0</v>
      </c>
      <c r="T93" s="81">
        <f>0</f>
        <v>0</v>
      </c>
      <c r="U93" s="81">
        <f>0</f>
        <v>0</v>
      </c>
    </row>
    <row r="94" spans="2:21" outlineLevel="3">
      <c r="B94" s="74" t="s">
        <v>274</v>
      </c>
      <c r="C94" s="82" t="s">
        <v>261</v>
      </c>
      <c r="D94" s="83" t="s">
        <v>262</v>
      </c>
      <c r="E94" s="77">
        <f>0</f>
        <v>0</v>
      </c>
      <c r="F94" s="78">
        <f>0</f>
        <v>0</v>
      </c>
      <c r="G94" s="78">
        <f>0</f>
        <v>0</v>
      </c>
      <c r="H94" s="79">
        <f>0</f>
        <v>0</v>
      </c>
      <c r="I94" s="227">
        <f>0</f>
        <v>0</v>
      </c>
      <c r="J94" s="236">
        <v>0</v>
      </c>
      <c r="K94" s="242" t="s">
        <v>57</v>
      </c>
      <c r="L94" s="80">
        <f>0</f>
        <v>0</v>
      </c>
      <c r="M94" s="81">
        <f>0</f>
        <v>0</v>
      </c>
      <c r="N94" s="81">
        <f>0</f>
        <v>0</v>
      </c>
      <c r="O94" s="81">
        <f>0</f>
        <v>0</v>
      </c>
      <c r="P94" s="81">
        <f>0</f>
        <v>0</v>
      </c>
      <c r="Q94" s="81">
        <f>0</f>
        <v>0</v>
      </c>
      <c r="R94" s="81">
        <f>0</f>
        <v>0</v>
      </c>
      <c r="S94" s="81">
        <f>0</f>
        <v>0</v>
      </c>
      <c r="T94" s="81">
        <f>0</f>
        <v>0</v>
      </c>
      <c r="U94" s="81">
        <f>0</f>
        <v>0</v>
      </c>
    </row>
    <row r="95" spans="2:21" ht="24" outlineLevel="1">
      <c r="B95" s="66">
        <v>13</v>
      </c>
      <c r="C95" s="67" t="s">
        <v>275</v>
      </c>
      <c r="D95" s="102" t="s">
        <v>275</v>
      </c>
      <c r="E95" s="86" t="s">
        <v>57</v>
      </c>
      <c r="F95" s="87" t="s">
        <v>57</v>
      </c>
      <c r="G95" s="87" t="s">
        <v>57</v>
      </c>
      <c r="H95" s="88" t="s">
        <v>57</v>
      </c>
      <c r="I95" s="228" t="s">
        <v>57</v>
      </c>
      <c r="J95" s="238" t="s">
        <v>57</v>
      </c>
      <c r="K95" s="239" t="s">
        <v>57</v>
      </c>
      <c r="L95" s="89" t="s">
        <v>57</v>
      </c>
      <c r="M95" s="90" t="s">
        <v>57</v>
      </c>
      <c r="N95" s="90" t="s">
        <v>57</v>
      </c>
      <c r="O95" s="90" t="s">
        <v>57</v>
      </c>
      <c r="P95" s="90" t="s">
        <v>57</v>
      </c>
      <c r="Q95" s="90" t="s">
        <v>57</v>
      </c>
      <c r="R95" s="90" t="s">
        <v>57</v>
      </c>
      <c r="S95" s="90" t="s">
        <v>57</v>
      </c>
      <c r="T95" s="90" t="s">
        <v>57</v>
      </c>
      <c r="U95" s="90" t="s">
        <v>57</v>
      </c>
    </row>
    <row r="96" spans="2:21" ht="24" outlineLevel="2">
      <c r="B96" s="74" t="s">
        <v>276</v>
      </c>
      <c r="C96" s="82" t="s">
        <v>277</v>
      </c>
      <c r="D96" s="76" t="s">
        <v>278</v>
      </c>
      <c r="E96" s="77">
        <f>0</f>
        <v>0</v>
      </c>
      <c r="F96" s="78">
        <f>0</f>
        <v>0</v>
      </c>
      <c r="G96" s="78">
        <f>0</f>
        <v>0</v>
      </c>
      <c r="H96" s="79">
        <f>0</f>
        <v>0</v>
      </c>
      <c r="I96" s="227">
        <f>0</f>
        <v>0</v>
      </c>
      <c r="J96" s="236">
        <v>0</v>
      </c>
      <c r="K96" s="242" t="s">
        <v>57</v>
      </c>
      <c r="L96" s="80">
        <f>0</f>
        <v>0</v>
      </c>
      <c r="M96" s="81">
        <f>0</f>
        <v>0</v>
      </c>
      <c r="N96" s="81">
        <f>0</f>
        <v>0</v>
      </c>
      <c r="O96" s="81">
        <f>0</f>
        <v>0</v>
      </c>
      <c r="P96" s="81">
        <f>0</f>
        <v>0</v>
      </c>
      <c r="Q96" s="81">
        <f>0</f>
        <v>0</v>
      </c>
      <c r="R96" s="81">
        <f>0</f>
        <v>0</v>
      </c>
      <c r="S96" s="81">
        <f>0</f>
        <v>0</v>
      </c>
      <c r="T96" s="81">
        <f>0</f>
        <v>0</v>
      </c>
      <c r="U96" s="81">
        <f>0</f>
        <v>0</v>
      </c>
    </row>
    <row r="97" spans="1:21" ht="24" outlineLevel="2">
      <c r="B97" s="74" t="s">
        <v>279</v>
      </c>
      <c r="C97" s="82" t="s">
        <v>280</v>
      </c>
      <c r="D97" s="76" t="s">
        <v>281</v>
      </c>
      <c r="E97" s="77">
        <f>0</f>
        <v>0</v>
      </c>
      <c r="F97" s="78">
        <f>0</f>
        <v>0</v>
      </c>
      <c r="G97" s="78">
        <f>0</f>
        <v>0</v>
      </c>
      <c r="H97" s="79">
        <f>0</f>
        <v>0</v>
      </c>
      <c r="I97" s="227">
        <f>0</f>
        <v>0</v>
      </c>
      <c r="J97" s="236">
        <v>0</v>
      </c>
      <c r="K97" s="242" t="s">
        <v>57</v>
      </c>
      <c r="L97" s="80">
        <f>0</f>
        <v>0</v>
      </c>
      <c r="M97" s="81">
        <f>0</f>
        <v>0</v>
      </c>
      <c r="N97" s="81">
        <f>0</f>
        <v>0</v>
      </c>
      <c r="O97" s="81">
        <f>0</f>
        <v>0</v>
      </c>
      <c r="P97" s="81">
        <f>0</f>
        <v>0</v>
      </c>
      <c r="Q97" s="81">
        <f>0</f>
        <v>0</v>
      </c>
      <c r="R97" s="81">
        <f>0</f>
        <v>0</v>
      </c>
      <c r="S97" s="81">
        <f>0</f>
        <v>0</v>
      </c>
      <c r="T97" s="81">
        <f>0</f>
        <v>0</v>
      </c>
      <c r="U97" s="81">
        <f>0</f>
        <v>0</v>
      </c>
    </row>
    <row r="98" spans="1:21" outlineLevel="2">
      <c r="B98" s="74" t="s">
        <v>282</v>
      </c>
      <c r="C98" s="82" t="s">
        <v>283</v>
      </c>
      <c r="D98" s="76" t="s">
        <v>284</v>
      </c>
      <c r="E98" s="77">
        <f>0</f>
        <v>0</v>
      </c>
      <c r="F98" s="78">
        <f>0</f>
        <v>0</v>
      </c>
      <c r="G98" s="78">
        <f>0</f>
        <v>0</v>
      </c>
      <c r="H98" s="79">
        <f>0</f>
        <v>0</v>
      </c>
      <c r="I98" s="227">
        <f>0</f>
        <v>0</v>
      </c>
      <c r="J98" s="236">
        <v>0</v>
      </c>
      <c r="K98" s="242" t="s">
        <v>57</v>
      </c>
      <c r="L98" s="80">
        <f>0</f>
        <v>0</v>
      </c>
      <c r="M98" s="81">
        <f>0</f>
        <v>0</v>
      </c>
      <c r="N98" s="81">
        <f>0</f>
        <v>0</v>
      </c>
      <c r="O98" s="81">
        <f>0</f>
        <v>0</v>
      </c>
      <c r="P98" s="81">
        <f>0</f>
        <v>0</v>
      </c>
      <c r="Q98" s="81">
        <f>0</f>
        <v>0</v>
      </c>
      <c r="R98" s="81">
        <f>0</f>
        <v>0</v>
      </c>
      <c r="S98" s="81">
        <f>0</f>
        <v>0</v>
      </c>
      <c r="T98" s="81">
        <f>0</f>
        <v>0</v>
      </c>
      <c r="U98" s="81">
        <f>0</f>
        <v>0</v>
      </c>
    </row>
    <row r="99" spans="1:21" ht="24" outlineLevel="2">
      <c r="B99" s="74" t="s">
        <v>285</v>
      </c>
      <c r="C99" s="82" t="s">
        <v>286</v>
      </c>
      <c r="D99" s="76" t="s">
        <v>287</v>
      </c>
      <c r="E99" s="77">
        <f>0</f>
        <v>0</v>
      </c>
      <c r="F99" s="78">
        <f>0</f>
        <v>0</v>
      </c>
      <c r="G99" s="78">
        <f>0</f>
        <v>0</v>
      </c>
      <c r="H99" s="79">
        <f>0</f>
        <v>0</v>
      </c>
      <c r="I99" s="227">
        <f>0</f>
        <v>0</v>
      </c>
      <c r="J99" s="236">
        <v>0</v>
      </c>
      <c r="K99" s="242" t="s">
        <v>57</v>
      </c>
      <c r="L99" s="80">
        <f>0</f>
        <v>0</v>
      </c>
      <c r="M99" s="81">
        <f>0</f>
        <v>0</v>
      </c>
      <c r="N99" s="81">
        <f>0</f>
        <v>0</v>
      </c>
      <c r="O99" s="81">
        <f>0</f>
        <v>0</v>
      </c>
      <c r="P99" s="81">
        <f>0</f>
        <v>0</v>
      </c>
      <c r="Q99" s="81">
        <f>0</f>
        <v>0</v>
      </c>
      <c r="R99" s="81">
        <f>0</f>
        <v>0</v>
      </c>
      <c r="S99" s="81">
        <f>0</f>
        <v>0</v>
      </c>
      <c r="T99" s="81">
        <f>0</f>
        <v>0</v>
      </c>
      <c r="U99" s="81">
        <f>0</f>
        <v>0</v>
      </c>
    </row>
    <row r="100" spans="1:21" ht="24" outlineLevel="2">
      <c r="B100" s="74" t="s">
        <v>288</v>
      </c>
      <c r="C100" s="82" t="s">
        <v>289</v>
      </c>
      <c r="D100" s="76" t="s">
        <v>290</v>
      </c>
      <c r="E100" s="77">
        <f>0</f>
        <v>0</v>
      </c>
      <c r="F100" s="78">
        <f>0</f>
        <v>0</v>
      </c>
      <c r="G100" s="78">
        <f>0</f>
        <v>0</v>
      </c>
      <c r="H100" s="79">
        <f>0</f>
        <v>0</v>
      </c>
      <c r="I100" s="227">
        <f>0</f>
        <v>0</v>
      </c>
      <c r="J100" s="236">
        <v>0</v>
      </c>
      <c r="K100" s="242" t="s">
        <v>57</v>
      </c>
      <c r="L100" s="80">
        <f>0</f>
        <v>0</v>
      </c>
      <c r="M100" s="81">
        <f>0</f>
        <v>0</v>
      </c>
      <c r="N100" s="81">
        <f>0</f>
        <v>0</v>
      </c>
      <c r="O100" s="81">
        <f>0</f>
        <v>0</v>
      </c>
      <c r="P100" s="81">
        <f>0</f>
        <v>0</v>
      </c>
      <c r="Q100" s="81">
        <f>0</f>
        <v>0</v>
      </c>
      <c r="R100" s="81">
        <f>0</f>
        <v>0</v>
      </c>
      <c r="S100" s="81">
        <f>0</f>
        <v>0</v>
      </c>
      <c r="T100" s="81">
        <f>0</f>
        <v>0</v>
      </c>
      <c r="U100" s="81">
        <f>0</f>
        <v>0</v>
      </c>
    </row>
    <row r="101" spans="1:21" ht="24" outlineLevel="2">
      <c r="B101" s="74" t="s">
        <v>291</v>
      </c>
      <c r="C101" s="82" t="s">
        <v>292</v>
      </c>
      <c r="D101" s="76" t="s">
        <v>293</v>
      </c>
      <c r="E101" s="77">
        <f>0</f>
        <v>0</v>
      </c>
      <c r="F101" s="78">
        <f>0</f>
        <v>0</v>
      </c>
      <c r="G101" s="78">
        <f>0</f>
        <v>0</v>
      </c>
      <c r="H101" s="79">
        <f>0</f>
        <v>0</v>
      </c>
      <c r="I101" s="227">
        <f>0</f>
        <v>0</v>
      </c>
      <c r="J101" s="236">
        <v>0</v>
      </c>
      <c r="K101" s="242" t="s">
        <v>57</v>
      </c>
      <c r="L101" s="80">
        <f>0</f>
        <v>0</v>
      </c>
      <c r="M101" s="81">
        <f>0</f>
        <v>0</v>
      </c>
      <c r="N101" s="81">
        <f>0</f>
        <v>0</v>
      </c>
      <c r="O101" s="81">
        <f>0</f>
        <v>0</v>
      </c>
      <c r="P101" s="81">
        <f>0</f>
        <v>0</v>
      </c>
      <c r="Q101" s="81">
        <f>0</f>
        <v>0</v>
      </c>
      <c r="R101" s="81">
        <f>0</f>
        <v>0</v>
      </c>
      <c r="S101" s="81">
        <f>0</f>
        <v>0</v>
      </c>
      <c r="T101" s="81">
        <f>0</f>
        <v>0</v>
      </c>
      <c r="U101" s="81">
        <f>0</f>
        <v>0</v>
      </c>
    </row>
    <row r="102" spans="1:21" ht="24" outlineLevel="2">
      <c r="B102" s="74" t="s">
        <v>294</v>
      </c>
      <c r="C102" s="82" t="s">
        <v>295</v>
      </c>
      <c r="D102" s="76" t="s">
        <v>296</v>
      </c>
      <c r="E102" s="77">
        <f>0</f>
        <v>0</v>
      </c>
      <c r="F102" s="78">
        <f>0</f>
        <v>0</v>
      </c>
      <c r="G102" s="78">
        <f>0</f>
        <v>0</v>
      </c>
      <c r="H102" s="79">
        <f>0</f>
        <v>0</v>
      </c>
      <c r="I102" s="227">
        <f>0</f>
        <v>0</v>
      </c>
      <c r="J102" s="236">
        <v>0</v>
      </c>
      <c r="K102" s="242" t="s">
        <v>57</v>
      </c>
      <c r="L102" s="80">
        <f>0</f>
        <v>0</v>
      </c>
      <c r="M102" s="81">
        <f>0</f>
        <v>0</v>
      </c>
      <c r="N102" s="81">
        <f>0</f>
        <v>0</v>
      </c>
      <c r="O102" s="81">
        <f>0</f>
        <v>0</v>
      </c>
      <c r="P102" s="81">
        <f>0</f>
        <v>0</v>
      </c>
      <c r="Q102" s="81">
        <f>0</f>
        <v>0</v>
      </c>
      <c r="R102" s="81">
        <f>0</f>
        <v>0</v>
      </c>
      <c r="S102" s="81">
        <f>0</f>
        <v>0</v>
      </c>
      <c r="T102" s="81">
        <f>0</f>
        <v>0</v>
      </c>
      <c r="U102" s="81">
        <f>0</f>
        <v>0</v>
      </c>
    </row>
    <row r="103" spans="1:21" outlineLevel="1">
      <c r="A103" s="27" t="s">
        <v>57</v>
      </c>
      <c r="B103" s="66">
        <v>14</v>
      </c>
      <c r="C103" s="67" t="s">
        <v>297</v>
      </c>
      <c r="D103" s="68" t="s">
        <v>297</v>
      </c>
      <c r="E103" s="86" t="s">
        <v>57</v>
      </c>
      <c r="F103" s="87" t="s">
        <v>57</v>
      </c>
      <c r="G103" s="87" t="s">
        <v>57</v>
      </c>
      <c r="H103" s="88" t="s">
        <v>57</v>
      </c>
      <c r="I103" s="228" t="s">
        <v>57</v>
      </c>
      <c r="J103" s="238" t="s">
        <v>57</v>
      </c>
      <c r="K103" s="239" t="s">
        <v>57</v>
      </c>
      <c r="L103" s="89" t="s">
        <v>57</v>
      </c>
      <c r="M103" s="90" t="s">
        <v>57</v>
      </c>
      <c r="N103" s="90" t="s">
        <v>57</v>
      </c>
      <c r="O103" s="90" t="s">
        <v>57</v>
      </c>
      <c r="P103" s="90" t="s">
        <v>57</v>
      </c>
      <c r="Q103" s="90" t="s">
        <v>57</v>
      </c>
      <c r="R103" s="90" t="s">
        <v>57</v>
      </c>
      <c r="S103" s="90" t="s">
        <v>57</v>
      </c>
      <c r="T103" s="90" t="s">
        <v>57</v>
      </c>
      <c r="U103" s="90" t="s">
        <v>57</v>
      </c>
    </row>
    <row r="104" spans="1:21" ht="24" outlineLevel="2">
      <c r="A104" s="27" t="s">
        <v>57</v>
      </c>
      <c r="B104" s="74" t="s">
        <v>298</v>
      </c>
      <c r="C104" s="82" t="s">
        <v>299</v>
      </c>
      <c r="D104" s="76" t="s">
        <v>300</v>
      </c>
      <c r="E104" s="77">
        <f>0</f>
        <v>0</v>
      </c>
      <c r="F104" s="78">
        <f>931400</f>
        <v>931400</v>
      </c>
      <c r="G104" s="78">
        <f>1654549.98</f>
        <v>1654549.98</v>
      </c>
      <c r="H104" s="79">
        <f t="shared" ref="H104:O104" si="12">1676800</f>
        <v>1676800</v>
      </c>
      <c r="I104" s="227">
        <f t="shared" si="12"/>
        <v>1676800</v>
      </c>
      <c r="J104" s="236">
        <v>200000</v>
      </c>
      <c r="K104" s="235">
        <f>J104/I104</f>
        <v>0.11927480916030535</v>
      </c>
      <c r="L104" s="80">
        <f t="shared" si="12"/>
        <v>1676800</v>
      </c>
      <c r="M104" s="81">
        <f t="shared" si="12"/>
        <v>1676800</v>
      </c>
      <c r="N104" s="81">
        <f t="shared" si="12"/>
        <v>1676800</v>
      </c>
      <c r="O104" s="81">
        <f t="shared" si="12"/>
        <v>1676800</v>
      </c>
      <c r="P104" s="81">
        <f>944800</f>
        <v>944800</v>
      </c>
      <c r="Q104" s="81">
        <f>944800</f>
        <v>944800</v>
      </c>
      <c r="R104" s="81">
        <f>944800</f>
        <v>944800</v>
      </c>
      <c r="S104" s="81">
        <f>945000</f>
        <v>945000</v>
      </c>
      <c r="T104" s="81">
        <f>525000</f>
        <v>525000</v>
      </c>
      <c r="U104" s="81">
        <f>411601.24</f>
        <v>411601.24</v>
      </c>
    </row>
    <row r="105" spans="1:21" outlineLevel="2">
      <c r="A105" s="27" t="s">
        <v>57</v>
      </c>
      <c r="B105" s="74" t="s">
        <v>301</v>
      </c>
      <c r="C105" s="82" t="s">
        <v>302</v>
      </c>
      <c r="D105" s="76" t="s">
        <v>303</v>
      </c>
      <c r="E105" s="77">
        <f>0</f>
        <v>0</v>
      </c>
      <c r="F105" s="78">
        <f>0</f>
        <v>0</v>
      </c>
      <c r="G105" s="78">
        <f>0</f>
        <v>0</v>
      </c>
      <c r="H105" s="79">
        <f>0</f>
        <v>0</v>
      </c>
      <c r="I105" s="227">
        <f>0</f>
        <v>0</v>
      </c>
      <c r="J105" s="236">
        <v>0</v>
      </c>
      <c r="K105" s="242" t="s">
        <v>57</v>
      </c>
      <c r="L105" s="80">
        <f>0</f>
        <v>0</v>
      </c>
      <c r="M105" s="81">
        <f>0</f>
        <v>0</v>
      </c>
      <c r="N105" s="81">
        <f>0</f>
        <v>0</v>
      </c>
      <c r="O105" s="81">
        <f>0</f>
        <v>0</v>
      </c>
      <c r="P105" s="81">
        <f>0</f>
        <v>0</v>
      </c>
      <c r="Q105" s="81">
        <f>0</f>
        <v>0</v>
      </c>
      <c r="R105" s="81">
        <f>0</f>
        <v>0</v>
      </c>
      <c r="S105" s="81">
        <f>0</f>
        <v>0</v>
      </c>
      <c r="T105" s="81">
        <f>0</f>
        <v>0</v>
      </c>
      <c r="U105" s="81">
        <f>0</f>
        <v>0</v>
      </c>
    </row>
    <row r="106" spans="1:21" outlineLevel="2">
      <c r="A106" s="27" t="s">
        <v>57</v>
      </c>
      <c r="B106" s="74" t="s">
        <v>304</v>
      </c>
      <c r="C106" s="82" t="s">
        <v>305</v>
      </c>
      <c r="D106" s="76" t="s">
        <v>306</v>
      </c>
      <c r="E106" s="77">
        <f>0</f>
        <v>0</v>
      </c>
      <c r="F106" s="78">
        <f>0</f>
        <v>0</v>
      </c>
      <c r="G106" s="78">
        <f>0</f>
        <v>0</v>
      </c>
      <c r="H106" s="79">
        <f>0</f>
        <v>0</v>
      </c>
      <c r="I106" s="227">
        <f>0</f>
        <v>0</v>
      </c>
      <c r="J106" s="236">
        <v>0</v>
      </c>
      <c r="K106" s="242" t="s">
        <v>57</v>
      </c>
      <c r="L106" s="80">
        <f>0</f>
        <v>0</v>
      </c>
      <c r="M106" s="81">
        <f>0</f>
        <v>0</v>
      </c>
      <c r="N106" s="81">
        <f>0</f>
        <v>0</v>
      </c>
      <c r="O106" s="81">
        <f>0</f>
        <v>0</v>
      </c>
      <c r="P106" s="81">
        <f>0</f>
        <v>0</v>
      </c>
      <c r="Q106" s="81">
        <f>0</f>
        <v>0</v>
      </c>
      <c r="R106" s="81">
        <f>0</f>
        <v>0</v>
      </c>
      <c r="S106" s="81">
        <f>0</f>
        <v>0</v>
      </c>
      <c r="T106" s="81">
        <f>0</f>
        <v>0</v>
      </c>
      <c r="U106" s="81">
        <f>0</f>
        <v>0</v>
      </c>
    </row>
    <row r="107" spans="1:21" outlineLevel="3">
      <c r="A107" s="27" t="s">
        <v>57</v>
      </c>
      <c r="B107" s="74" t="s">
        <v>307</v>
      </c>
      <c r="C107" s="82" t="s">
        <v>308</v>
      </c>
      <c r="D107" s="83" t="s">
        <v>309</v>
      </c>
      <c r="E107" s="77">
        <f>0</f>
        <v>0</v>
      </c>
      <c r="F107" s="78">
        <f>0</f>
        <v>0</v>
      </c>
      <c r="G107" s="78">
        <f>0</f>
        <v>0</v>
      </c>
      <c r="H107" s="79">
        <f>0</f>
        <v>0</v>
      </c>
      <c r="I107" s="227">
        <f>0</f>
        <v>0</v>
      </c>
      <c r="J107" s="236">
        <v>0</v>
      </c>
      <c r="K107" s="242" t="s">
        <v>57</v>
      </c>
      <c r="L107" s="80">
        <f>0</f>
        <v>0</v>
      </c>
      <c r="M107" s="81">
        <f>0</f>
        <v>0</v>
      </c>
      <c r="N107" s="81">
        <f>0</f>
        <v>0</v>
      </c>
      <c r="O107" s="81">
        <f>0</f>
        <v>0</v>
      </c>
      <c r="P107" s="81">
        <f>0</f>
        <v>0</v>
      </c>
      <c r="Q107" s="81">
        <f>0</f>
        <v>0</v>
      </c>
      <c r="R107" s="81">
        <f>0</f>
        <v>0</v>
      </c>
      <c r="S107" s="81">
        <f>0</f>
        <v>0</v>
      </c>
      <c r="T107" s="81">
        <f>0</f>
        <v>0</v>
      </c>
      <c r="U107" s="81">
        <f>0</f>
        <v>0</v>
      </c>
    </row>
    <row r="108" spans="1:21" outlineLevel="3">
      <c r="A108" s="27" t="s">
        <v>57</v>
      </c>
      <c r="B108" s="74" t="s">
        <v>310</v>
      </c>
      <c r="C108" s="82" t="s">
        <v>311</v>
      </c>
      <c r="D108" s="83" t="s">
        <v>312</v>
      </c>
      <c r="E108" s="77">
        <f>0</f>
        <v>0</v>
      </c>
      <c r="F108" s="78">
        <f>0</f>
        <v>0</v>
      </c>
      <c r="G108" s="78">
        <f>0</f>
        <v>0</v>
      </c>
      <c r="H108" s="79">
        <f>0</f>
        <v>0</v>
      </c>
      <c r="I108" s="227">
        <f>0</f>
        <v>0</v>
      </c>
      <c r="J108" s="236">
        <v>0</v>
      </c>
      <c r="K108" s="242" t="s">
        <v>57</v>
      </c>
      <c r="L108" s="80">
        <f>0</f>
        <v>0</v>
      </c>
      <c r="M108" s="81">
        <f>0</f>
        <v>0</v>
      </c>
      <c r="N108" s="81">
        <f>0</f>
        <v>0</v>
      </c>
      <c r="O108" s="81">
        <f>0</f>
        <v>0</v>
      </c>
      <c r="P108" s="81">
        <f>0</f>
        <v>0</v>
      </c>
      <c r="Q108" s="81">
        <f>0</f>
        <v>0</v>
      </c>
      <c r="R108" s="81">
        <f>0</f>
        <v>0</v>
      </c>
      <c r="S108" s="81">
        <f>0</f>
        <v>0</v>
      </c>
      <c r="T108" s="81">
        <f>0</f>
        <v>0</v>
      </c>
      <c r="U108" s="81">
        <f>0</f>
        <v>0</v>
      </c>
    </row>
    <row r="109" spans="1:21" outlineLevel="3">
      <c r="A109" s="27" t="s">
        <v>57</v>
      </c>
      <c r="B109" s="74" t="s">
        <v>313</v>
      </c>
      <c r="C109" s="82" t="s">
        <v>314</v>
      </c>
      <c r="D109" s="83" t="s">
        <v>315</v>
      </c>
      <c r="E109" s="77">
        <f>0</f>
        <v>0</v>
      </c>
      <c r="F109" s="78">
        <f>0</f>
        <v>0</v>
      </c>
      <c r="G109" s="78">
        <f>0</f>
        <v>0</v>
      </c>
      <c r="H109" s="79">
        <f>0</f>
        <v>0</v>
      </c>
      <c r="I109" s="227">
        <f>0</f>
        <v>0</v>
      </c>
      <c r="J109" s="236">
        <v>0</v>
      </c>
      <c r="K109" s="242" t="s">
        <v>57</v>
      </c>
      <c r="L109" s="80">
        <f>0</f>
        <v>0</v>
      </c>
      <c r="M109" s="81">
        <f>0</f>
        <v>0</v>
      </c>
      <c r="N109" s="81">
        <f>0</f>
        <v>0</v>
      </c>
      <c r="O109" s="81">
        <f>0</f>
        <v>0</v>
      </c>
      <c r="P109" s="81">
        <f>0</f>
        <v>0</v>
      </c>
      <c r="Q109" s="81">
        <f>0</f>
        <v>0</v>
      </c>
      <c r="R109" s="81">
        <f>0</f>
        <v>0</v>
      </c>
      <c r="S109" s="81">
        <f>0</f>
        <v>0</v>
      </c>
      <c r="T109" s="81">
        <f>0</f>
        <v>0</v>
      </c>
      <c r="U109" s="81">
        <f>0</f>
        <v>0</v>
      </c>
    </row>
    <row r="110" spans="1:21" outlineLevel="2">
      <c r="A110" s="27" t="s">
        <v>57</v>
      </c>
      <c r="B110" s="74" t="s">
        <v>316</v>
      </c>
      <c r="C110" s="82" t="s">
        <v>317</v>
      </c>
      <c r="D110" s="76" t="s">
        <v>318</v>
      </c>
      <c r="E110" s="77">
        <f>0</f>
        <v>0</v>
      </c>
      <c r="F110" s="78">
        <f>0</f>
        <v>0</v>
      </c>
      <c r="G110" s="78">
        <f>0</f>
        <v>0</v>
      </c>
      <c r="H110" s="79">
        <f>0</f>
        <v>0</v>
      </c>
      <c r="I110" s="227">
        <f>0</f>
        <v>0</v>
      </c>
      <c r="J110" s="236">
        <v>0</v>
      </c>
      <c r="K110" s="242" t="s">
        <v>57</v>
      </c>
      <c r="L110" s="80">
        <f>0</f>
        <v>0</v>
      </c>
      <c r="M110" s="81">
        <f>0</f>
        <v>0</v>
      </c>
      <c r="N110" s="81">
        <f>0</f>
        <v>0</v>
      </c>
      <c r="O110" s="81">
        <f>0</f>
        <v>0</v>
      </c>
      <c r="P110" s="81">
        <f>0</f>
        <v>0</v>
      </c>
      <c r="Q110" s="81">
        <f>0</f>
        <v>0</v>
      </c>
      <c r="R110" s="81">
        <f>0</f>
        <v>0</v>
      </c>
      <c r="S110" s="81">
        <f>0</f>
        <v>0</v>
      </c>
      <c r="T110" s="81">
        <f>0</f>
        <v>0</v>
      </c>
      <c r="U110" s="81">
        <f>0</f>
        <v>0</v>
      </c>
    </row>
    <row r="111" spans="1:21" outlineLevel="1">
      <c r="B111" s="66">
        <v>15</v>
      </c>
      <c r="C111" s="67" t="s">
        <v>319</v>
      </c>
      <c r="D111" s="68" t="s">
        <v>319</v>
      </c>
      <c r="E111" s="86" t="s">
        <v>57</v>
      </c>
      <c r="F111" s="87" t="s">
        <v>57</v>
      </c>
      <c r="G111" s="87" t="s">
        <v>57</v>
      </c>
      <c r="H111" s="88" t="s">
        <v>57</v>
      </c>
      <c r="I111" s="228" t="s">
        <v>57</v>
      </c>
      <c r="J111" s="238" t="s">
        <v>57</v>
      </c>
      <c r="K111" s="239" t="s">
        <v>57</v>
      </c>
      <c r="L111" s="89" t="s">
        <v>57</v>
      </c>
      <c r="M111" s="90" t="s">
        <v>57</v>
      </c>
      <c r="N111" s="90" t="s">
        <v>57</v>
      </c>
      <c r="O111" s="90" t="s">
        <v>57</v>
      </c>
      <c r="P111" s="90" t="s">
        <v>57</v>
      </c>
      <c r="Q111" s="90" t="s">
        <v>57</v>
      </c>
      <c r="R111" s="90" t="s">
        <v>57</v>
      </c>
      <c r="S111" s="90" t="s">
        <v>57</v>
      </c>
      <c r="T111" s="90" t="s">
        <v>57</v>
      </c>
      <c r="U111" s="90" t="s">
        <v>57</v>
      </c>
    </row>
    <row r="112" spans="1:21" outlineLevel="2">
      <c r="B112" s="74" t="s">
        <v>320</v>
      </c>
      <c r="C112" s="82" t="s">
        <v>321</v>
      </c>
      <c r="D112" s="76" t="s">
        <v>322</v>
      </c>
      <c r="E112" s="77">
        <f>0</f>
        <v>0</v>
      </c>
      <c r="F112" s="78">
        <f>0</f>
        <v>0</v>
      </c>
      <c r="G112" s="78">
        <f>0</f>
        <v>0</v>
      </c>
      <c r="H112" s="79">
        <f>0</f>
        <v>0</v>
      </c>
      <c r="I112" s="227">
        <f>0</f>
        <v>0</v>
      </c>
      <c r="J112" s="236">
        <v>0</v>
      </c>
      <c r="K112" s="242" t="s">
        <v>57</v>
      </c>
      <c r="L112" s="80">
        <f>0</f>
        <v>0</v>
      </c>
      <c r="M112" s="81">
        <f>0</f>
        <v>0</v>
      </c>
      <c r="N112" s="81">
        <f>0</f>
        <v>0</v>
      </c>
      <c r="O112" s="81">
        <f>0</f>
        <v>0</v>
      </c>
      <c r="P112" s="81">
        <f>0</f>
        <v>0</v>
      </c>
      <c r="Q112" s="81">
        <f>0</f>
        <v>0</v>
      </c>
      <c r="R112" s="81">
        <f>0</f>
        <v>0</v>
      </c>
      <c r="S112" s="81">
        <f>0</f>
        <v>0</v>
      </c>
      <c r="T112" s="81">
        <f>0</f>
        <v>0</v>
      </c>
      <c r="U112" s="81">
        <f>0</f>
        <v>0</v>
      </c>
    </row>
    <row r="113" spans="1:21" outlineLevel="3">
      <c r="A113" s="27" t="s">
        <v>57</v>
      </c>
      <c r="B113" s="74" t="s">
        <v>323</v>
      </c>
      <c r="C113" s="82" t="s">
        <v>324</v>
      </c>
      <c r="D113" s="83" t="s">
        <v>325</v>
      </c>
      <c r="E113" s="77">
        <f>0</f>
        <v>0</v>
      </c>
      <c r="F113" s="78">
        <f>0</f>
        <v>0</v>
      </c>
      <c r="G113" s="78">
        <f>0</f>
        <v>0</v>
      </c>
      <c r="H113" s="79">
        <f>0</f>
        <v>0</v>
      </c>
      <c r="I113" s="227">
        <f>0</f>
        <v>0</v>
      </c>
      <c r="J113" s="236">
        <v>0</v>
      </c>
      <c r="K113" s="242" t="s">
        <v>57</v>
      </c>
      <c r="L113" s="80">
        <f>0</f>
        <v>0</v>
      </c>
      <c r="M113" s="81">
        <f>0</f>
        <v>0</v>
      </c>
      <c r="N113" s="81">
        <f>0</f>
        <v>0</v>
      </c>
      <c r="O113" s="81">
        <f>0</f>
        <v>0</v>
      </c>
      <c r="P113" s="81">
        <f>0</f>
        <v>0</v>
      </c>
      <c r="Q113" s="81">
        <f>0</f>
        <v>0</v>
      </c>
      <c r="R113" s="81">
        <f>0</f>
        <v>0</v>
      </c>
      <c r="S113" s="81">
        <f>0</f>
        <v>0</v>
      </c>
      <c r="T113" s="81">
        <f>0</f>
        <v>0</v>
      </c>
      <c r="U113" s="81">
        <f>0</f>
        <v>0</v>
      </c>
    </row>
    <row r="114" spans="1:21" ht="24" outlineLevel="2">
      <c r="A114" s="27" t="s">
        <v>57</v>
      </c>
      <c r="B114" s="103" t="s">
        <v>326</v>
      </c>
      <c r="C114" s="104" t="s">
        <v>327</v>
      </c>
      <c r="D114" s="105" t="s">
        <v>327</v>
      </c>
      <c r="E114" s="106">
        <f>0</f>
        <v>0</v>
      </c>
      <c r="F114" s="107">
        <f>0</f>
        <v>0</v>
      </c>
      <c r="G114" s="107">
        <f>0</f>
        <v>0</v>
      </c>
      <c r="H114" s="108">
        <f>0</f>
        <v>0</v>
      </c>
      <c r="I114" s="231">
        <f>0</f>
        <v>0</v>
      </c>
      <c r="J114" s="243">
        <v>0</v>
      </c>
      <c r="K114" s="254" t="s">
        <v>57</v>
      </c>
      <c r="L114" s="109">
        <f>0</f>
        <v>0</v>
      </c>
      <c r="M114" s="110">
        <f>0</f>
        <v>0</v>
      </c>
      <c r="N114" s="110">
        <f>0</f>
        <v>0</v>
      </c>
      <c r="O114" s="110">
        <f>0</f>
        <v>0</v>
      </c>
      <c r="P114" s="110">
        <f>0</f>
        <v>0</v>
      </c>
      <c r="Q114" s="110">
        <f>0</f>
        <v>0</v>
      </c>
      <c r="R114" s="110">
        <f>0</f>
        <v>0</v>
      </c>
      <c r="S114" s="110">
        <f>0</f>
        <v>0</v>
      </c>
      <c r="T114" s="110">
        <f>0</f>
        <v>0</v>
      </c>
      <c r="U114" s="110">
        <f>0</f>
        <v>0</v>
      </c>
    </row>
    <row r="115" spans="1:21" ht="24" outlineLevel="2">
      <c r="A115" s="27" t="s">
        <v>57</v>
      </c>
      <c r="B115" s="111">
        <v>16</v>
      </c>
      <c r="C115" s="112"/>
      <c r="D115" s="113" t="s">
        <v>328</v>
      </c>
      <c r="E115" s="86" t="s">
        <v>57</v>
      </c>
      <c r="F115" s="87" t="s">
        <v>57</v>
      </c>
      <c r="G115" s="87" t="s">
        <v>57</v>
      </c>
      <c r="H115" s="88" t="s">
        <v>57</v>
      </c>
      <c r="I115" s="228" t="s">
        <v>57</v>
      </c>
      <c r="J115" s="238" t="s">
        <v>57</v>
      </c>
      <c r="K115" s="239" t="s">
        <v>57</v>
      </c>
      <c r="L115" s="89" t="s">
        <v>57</v>
      </c>
      <c r="M115" s="89" t="s">
        <v>57</v>
      </c>
      <c r="N115" s="89" t="s">
        <v>57</v>
      </c>
      <c r="O115" s="89" t="s">
        <v>57</v>
      </c>
      <c r="P115" s="89" t="s">
        <v>57</v>
      </c>
      <c r="Q115" s="89" t="s">
        <v>57</v>
      </c>
      <c r="R115" s="89" t="s">
        <v>57</v>
      </c>
      <c r="S115" s="89" t="s">
        <v>57</v>
      </c>
      <c r="T115" s="89" t="s">
        <v>57</v>
      </c>
      <c r="U115" s="89" t="s">
        <v>57</v>
      </c>
    </row>
    <row r="116" spans="1:21" outlineLevel="3">
      <c r="A116" s="27" t="s">
        <v>57</v>
      </c>
      <c r="B116" s="114" t="s">
        <v>329</v>
      </c>
      <c r="C116" s="112"/>
      <c r="D116" s="115" t="s">
        <v>330</v>
      </c>
      <c r="E116" s="116" t="s">
        <v>57</v>
      </c>
      <c r="F116" s="117" t="s">
        <v>57</v>
      </c>
      <c r="G116" s="117" t="s">
        <v>57</v>
      </c>
      <c r="H116" s="118" t="s">
        <v>57</v>
      </c>
      <c r="I116" s="227" t="str">
        <f>+IF(I52&lt;0,I52,"")</f>
        <v/>
      </c>
      <c r="J116" s="236"/>
      <c r="K116" s="235"/>
      <c r="L116" s="80" t="str">
        <f>+IF(L52&lt;0,L52,"")</f>
        <v/>
      </c>
      <c r="M116" s="80" t="str">
        <f t="shared" ref="M116:U116" si="13">+IF(M52&lt;0,M52,"")</f>
        <v/>
      </c>
      <c r="N116" s="80" t="str">
        <f t="shared" si="13"/>
        <v/>
      </c>
      <c r="O116" s="80" t="str">
        <f t="shared" si="13"/>
        <v/>
      </c>
      <c r="P116" s="80" t="str">
        <f t="shared" si="13"/>
        <v/>
      </c>
      <c r="Q116" s="80" t="str">
        <f t="shared" si="13"/>
        <v/>
      </c>
      <c r="R116" s="80" t="str">
        <f t="shared" si="13"/>
        <v/>
      </c>
      <c r="S116" s="80" t="str">
        <f t="shared" si="13"/>
        <v/>
      </c>
      <c r="T116" s="80" t="str">
        <f t="shared" si="13"/>
        <v/>
      </c>
      <c r="U116" s="80" t="str">
        <f t="shared" si="13"/>
        <v/>
      </c>
    </row>
    <row r="117" spans="1:21" outlineLevel="3">
      <c r="A117" s="27" t="s">
        <v>57</v>
      </c>
      <c r="B117" s="114" t="s">
        <v>331</v>
      </c>
      <c r="C117" s="112"/>
      <c r="D117" s="115" t="s">
        <v>332</v>
      </c>
      <c r="E117" s="116" t="s">
        <v>57</v>
      </c>
      <c r="F117" s="117" t="s">
        <v>57</v>
      </c>
      <c r="G117" s="117" t="s">
        <v>57</v>
      </c>
      <c r="H117" s="118" t="s">
        <v>57</v>
      </c>
      <c r="I117" s="232" t="str">
        <f>IF(I57&lt;=I59,"",I59- I57)</f>
        <v/>
      </c>
      <c r="J117" s="244"/>
      <c r="K117" s="245"/>
      <c r="L117" s="119" t="str">
        <f>IF(L57&lt;=L59,"",L59-L57)</f>
        <v/>
      </c>
      <c r="M117" s="119" t="str">
        <f t="shared" ref="M117:U117" si="14">IF(M57&lt;=M59,"",M59-M57)</f>
        <v/>
      </c>
      <c r="N117" s="119" t="str">
        <f t="shared" si="14"/>
        <v/>
      </c>
      <c r="O117" s="119" t="str">
        <f t="shared" si="14"/>
        <v/>
      </c>
      <c r="P117" s="119" t="str">
        <f t="shared" si="14"/>
        <v/>
      </c>
      <c r="Q117" s="119" t="str">
        <f t="shared" si="14"/>
        <v/>
      </c>
      <c r="R117" s="119" t="str">
        <f t="shared" si="14"/>
        <v/>
      </c>
      <c r="S117" s="119" t="str">
        <f t="shared" si="14"/>
        <v/>
      </c>
      <c r="T117" s="119" t="str">
        <f t="shared" si="14"/>
        <v/>
      </c>
      <c r="U117" s="119" t="str">
        <f t="shared" si="14"/>
        <v/>
      </c>
    </row>
    <row r="118" spans="1:21" outlineLevel="3">
      <c r="A118" s="27" t="s">
        <v>57</v>
      </c>
      <c r="B118" s="120" t="s">
        <v>333</v>
      </c>
      <c r="C118" s="121"/>
      <c r="D118" s="122" t="s">
        <v>334</v>
      </c>
      <c r="E118" s="123" t="s">
        <v>57</v>
      </c>
      <c r="F118" s="124" t="s">
        <v>57</v>
      </c>
      <c r="G118" s="124" t="s">
        <v>57</v>
      </c>
      <c r="H118" s="125" t="s">
        <v>57</v>
      </c>
      <c r="I118" s="233" t="str">
        <f>IF(I57&lt;=I60,"",I60-I57)</f>
        <v/>
      </c>
      <c r="J118" s="246"/>
      <c r="K118" s="247"/>
      <c r="L118" s="126" t="str">
        <f>IF(L57&lt;=L60,"",L60-L57)</f>
        <v/>
      </c>
      <c r="M118" s="126" t="str">
        <f t="shared" ref="M118:U118" si="15">IF(M57&lt;=M60,"",M60-M57)</f>
        <v/>
      </c>
      <c r="N118" s="126" t="str">
        <f t="shared" si="15"/>
        <v/>
      </c>
      <c r="O118" s="126" t="str">
        <f t="shared" si="15"/>
        <v/>
      </c>
      <c r="P118" s="126" t="str">
        <f t="shared" si="15"/>
        <v/>
      </c>
      <c r="Q118" s="126" t="str">
        <f t="shared" si="15"/>
        <v/>
      </c>
      <c r="R118" s="126" t="str">
        <f t="shared" si="15"/>
        <v/>
      </c>
      <c r="S118" s="126" t="str">
        <f t="shared" si="15"/>
        <v/>
      </c>
      <c r="T118" s="126" t="str">
        <f t="shared" si="15"/>
        <v/>
      </c>
      <c r="U118" s="126" t="str">
        <f t="shared" si="15"/>
        <v/>
      </c>
    </row>
    <row r="119" spans="1:21"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7"/>
    </row>
    <row r="120" spans="1:21" ht="15" hidden="1">
      <c r="B120" s="128"/>
      <c r="C120" s="127"/>
      <c r="D120" s="127"/>
      <c r="E120" s="129"/>
      <c r="F120" s="129"/>
      <c r="G120" s="129"/>
      <c r="H120" s="129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</row>
    <row r="121" spans="1:21" ht="15" hidden="1">
      <c r="B121" s="130"/>
      <c r="C121" s="127"/>
      <c r="D121" s="127"/>
      <c r="E121" s="131"/>
      <c r="F121" s="131"/>
      <c r="G121" s="131"/>
      <c r="H121" s="131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</row>
    <row r="122" spans="1:21" hidden="1">
      <c r="B122" s="132"/>
      <c r="C122" s="132"/>
      <c r="D122" s="127"/>
      <c r="E122" s="131"/>
      <c r="F122" s="131"/>
      <c r="G122" s="131"/>
      <c r="H122" s="131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</row>
    <row r="123" spans="1:21" hidden="1">
      <c r="B123" s="132"/>
      <c r="C123" s="132"/>
      <c r="D123" s="127"/>
      <c r="E123" s="131"/>
      <c r="F123" s="131"/>
      <c r="G123" s="131"/>
      <c r="H123" s="131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</row>
    <row r="124" spans="1:21" ht="15" hidden="1">
      <c r="B124" s="133" t="s">
        <v>335</v>
      </c>
      <c r="C124" s="133"/>
      <c r="D124" s="133"/>
      <c r="E124" s="134"/>
      <c r="F124" s="134"/>
      <c r="G124" s="134"/>
      <c r="H124" s="131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</row>
    <row r="125" spans="1:21" hidden="1" outlineLevel="1">
      <c r="B125" s="135"/>
      <c r="C125" s="135"/>
      <c r="D125" s="136" t="s">
        <v>336</v>
      </c>
      <c r="E125" s="131"/>
      <c r="F125" s="131"/>
      <c r="G125" s="131"/>
      <c r="H125" s="131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</row>
    <row r="126" spans="1:21" hidden="1" outlineLevel="1">
      <c r="B126" s="135"/>
      <c r="C126" s="135"/>
      <c r="D126" s="137" t="s">
        <v>337</v>
      </c>
      <c r="E126" s="131"/>
      <c r="F126" s="131"/>
      <c r="G126" s="131"/>
      <c r="H126" s="131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7"/>
    </row>
    <row r="127" spans="1:21" hidden="1" outlineLevel="1">
      <c r="B127" s="135"/>
      <c r="C127" s="135"/>
      <c r="D127" s="138" t="s">
        <v>338</v>
      </c>
      <c r="E127" s="131"/>
      <c r="F127" s="131"/>
      <c r="G127" s="131"/>
      <c r="H127" s="131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7"/>
    </row>
    <row r="128" spans="1:21" hidden="1" outlineLevel="1">
      <c r="B128" s="139"/>
      <c r="C128" s="139"/>
      <c r="D128" s="140" t="s">
        <v>339</v>
      </c>
      <c r="E128" s="131"/>
      <c r="F128" s="131"/>
      <c r="G128" s="131"/>
      <c r="H128" s="131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</row>
    <row r="129" spans="2:21" hidden="1" outlineLevel="2">
      <c r="B129" s="141" t="s">
        <v>340</v>
      </c>
      <c r="C129" s="142" t="s">
        <v>340</v>
      </c>
      <c r="D129" s="143" t="s">
        <v>341</v>
      </c>
      <c r="E129" s="144" t="s">
        <v>57</v>
      </c>
      <c r="F129" s="145" t="s">
        <v>57</v>
      </c>
      <c r="G129" s="145" t="s">
        <v>57</v>
      </c>
      <c r="H129" s="146" t="s">
        <v>57</v>
      </c>
      <c r="I129" s="147" t="str">
        <f t="shared" ref="I129:U129" si="16">IF(ROUND(I11+I33+I35,2)&gt;=ROUND(I22-I25,2),"TAK","NIE")</f>
        <v>TAK</v>
      </c>
      <c r="J129" s="147"/>
      <c r="K129" s="147"/>
      <c r="L129" s="148" t="str">
        <f t="shared" si="16"/>
        <v>TAK</v>
      </c>
      <c r="M129" s="148" t="str">
        <f t="shared" si="16"/>
        <v>TAK</v>
      </c>
      <c r="N129" s="148" t="str">
        <f t="shared" si="16"/>
        <v>TAK</v>
      </c>
      <c r="O129" s="148" t="str">
        <f t="shared" si="16"/>
        <v>TAK</v>
      </c>
      <c r="P129" s="148" t="str">
        <f t="shared" si="16"/>
        <v>TAK</v>
      </c>
      <c r="Q129" s="148" t="str">
        <f t="shared" si="16"/>
        <v>TAK</v>
      </c>
      <c r="R129" s="148" t="str">
        <f t="shared" si="16"/>
        <v>TAK</v>
      </c>
      <c r="S129" s="148" t="str">
        <f t="shared" si="16"/>
        <v>TAK</v>
      </c>
      <c r="T129" s="148" t="str">
        <f t="shared" si="16"/>
        <v>TAK</v>
      </c>
      <c r="U129" s="148" t="str">
        <f t="shared" si="16"/>
        <v>TAK</v>
      </c>
    </row>
    <row r="130" spans="2:21" ht="24" hidden="1" outlineLevel="2">
      <c r="B130" s="149" t="s">
        <v>342</v>
      </c>
      <c r="C130" s="150" t="s">
        <v>342</v>
      </c>
      <c r="D130" s="151" t="s">
        <v>343</v>
      </c>
      <c r="E130" s="152" t="s">
        <v>57</v>
      </c>
      <c r="F130" s="153" t="s">
        <v>57</v>
      </c>
      <c r="G130" s="153" t="s">
        <v>57</v>
      </c>
      <c r="H130" s="154" t="s">
        <v>57</v>
      </c>
      <c r="I130" s="155" t="s">
        <v>57</v>
      </c>
      <c r="J130" s="155"/>
      <c r="K130" s="155"/>
      <c r="L130" s="156" t="s">
        <v>57</v>
      </c>
      <c r="M130" s="156" t="str">
        <f t="shared" ref="M130:U130" si="17">IF(M98=0,"TAK","BŁĄD")</f>
        <v>TAK</v>
      </c>
      <c r="N130" s="156" t="str">
        <f t="shared" si="17"/>
        <v>TAK</v>
      </c>
      <c r="O130" s="156" t="str">
        <f t="shared" si="17"/>
        <v>TAK</v>
      </c>
      <c r="P130" s="156" t="str">
        <f t="shared" si="17"/>
        <v>TAK</v>
      </c>
      <c r="Q130" s="156" t="str">
        <f t="shared" si="17"/>
        <v>TAK</v>
      </c>
      <c r="R130" s="156" t="str">
        <f t="shared" si="17"/>
        <v>TAK</v>
      </c>
      <c r="S130" s="156" t="str">
        <f t="shared" si="17"/>
        <v>TAK</v>
      </c>
      <c r="T130" s="156" t="str">
        <f t="shared" si="17"/>
        <v>TAK</v>
      </c>
      <c r="U130" s="156" t="str">
        <f t="shared" si="17"/>
        <v>TAK</v>
      </c>
    </row>
    <row r="131" spans="2:21" hidden="1" outlineLevel="1">
      <c r="B131" s="149" t="s">
        <v>344</v>
      </c>
      <c r="C131" s="150" t="s">
        <v>344</v>
      </c>
      <c r="D131" s="157" t="s">
        <v>345</v>
      </c>
      <c r="E131" s="152" t="s">
        <v>57</v>
      </c>
      <c r="F131" s="153" t="s">
        <v>57</v>
      </c>
      <c r="G131" s="153" t="s">
        <v>57</v>
      </c>
      <c r="H131" s="154" t="s">
        <v>57</v>
      </c>
      <c r="I131" s="158" t="str">
        <f t="shared" ref="I131:U131" si="18">IF(ROUND(I10+I32-I21-I41,2)=0,"OK",ROUND(I10+I32-I21-I41,2))</f>
        <v>OK</v>
      </c>
      <c r="J131" s="158"/>
      <c r="K131" s="158"/>
      <c r="L131" s="159" t="str">
        <f t="shared" si="18"/>
        <v>OK</v>
      </c>
      <c r="M131" s="159" t="str">
        <f t="shared" si="18"/>
        <v>OK</v>
      </c>
      <c r="N131" s="159" t="str">
        <f t="shared" si="18"/>
        <v>OK</v>
      </c>
      <c r="O131" s="159" t="str">
        <f t="shared" si="18"/>
        <v>OK</v>
      </c>
      <c r="P131" s="159" t="str">
        <f t="shared" si="18"/>
        <v>OK</v>
      </c>
      <c r="Q131" s="159" t="str">
        <f t="shared" si="18"/>
        <v>OK</v>
      </c>
      <c r="R131" s="159" t="str">
        <f t="shared" si="18"/>
        <v>OK</v>
      </c>
      <c r="S131" s="159" t="str">
        <f t="shared" si="18"/>
        <v>OK</v>
      </c>
      <c r="T131" s="159" t="str">
        <f t="shared" si="18"/>
        <v>OK</v>
      </c>
      <c r="U131" s="159" t="str">
        <f t="shared" si="18"/>
        <v>OK</v>
      </c>
    </row>
    <row r="132" spans="2:21" hidden="1" outlineLevel="2">
      <c r="B132" s="160" t="s">
        <v>346</v>
      </c>
      <c r="C132" s="161" t="s">
        <v>346</v>
      </c>
      <c r="D132" s="157" t="s">
        <v>347</v>
      </c>
      <c r="E132" s="152" t="s">
        <v>57</v>
      </c>
      <c r="F132" s="153" t="s">
        <v>57</v>
      </c>
      <c r="G132" s="153" t="s">
        <v>57</v>
      </c>
      <c r="H132" s="154" t="s">
        <v>57</v>
      </c>
      <c r="I132" s="158" t="str">
        <f t="shared" ref="I132:U132" si="19">+IF(ROUND(H48+I37-I42+(I105-H105)+I110-I48,2)=0,"OK",ROUND(H48+I37-I42+(I105-H105)+I110-I48,2))</f>
        <v>OK</v>
      </c>
      <c r="J132" s="158"/>
      <c r="K132" s="158"/>
      <c r="L132" s="159" t="str">
        <f>+IF(ROUND(I48+L37-L42+(L105-I105)+L110-L48,2)=0,"OK",ROUND(I48+L37-L42+(L105-I105)+L110-L48,2))</f>
        <v>OK</v>
      </c>
      <c r="M132" s="159" t="str">
        <f t="shared" si="19"/>
        <v>OK</v>
      </c>
      <c r="N132" s="159" t="str">
        <f t="shared" si="19"/>
        <v>OK</v>
      </c>
      <c r="O132" s="159" t="str">
        <f t="shared" si="19"/>
        <v>OK</v>
      </c>
      <c r="P132" s="159" t="str">
        <f t="shared" si="19"/>
        <v>OK</v>
      </c>
      <c r="Q132" s="159" t="str">
        <f t="shared" si="19"/>
        <v>OK</v>
      </c>
      <c r="R132" s="159" t="str">
        <f t="shared" si="19"/>
        <v>OK</v>
      </c>
      <c r="S132" s="159" t="str">
        <f t="shared" si="19"/>
        <v>OK</v>
      </c>
      <c r="T132" s="159" t="str">
        <f t="shared" si="19"/>
        <v>OK</v>
      </c>
      <c r="U132" s="159" t="str">
        <f t="shared" si="19"/>
        <v>OK</v>
      </c>
    </row>
    <row r="133" spans="2:21" ht="48" hidden="1" outlineLevel="2">
      <c r="B133" s="160" t="s">
        <v>348</v>
      </c>
      <c r="C133" s="161" t="s">
        <v>348</v>
      </c>
      <c r="D133" s="157" t="s">
        <v>349</v>
      </c>
      <c r="E133" s="162" t="s">
        <v>57</v>
      </c>
      <c r="F133" s="153" t="s">
        <v>57</v>
      </c>
      <c r="G133" s="153" t="s">
        <v>57</v>
      </c>
      <c r="H133" s="154" t="s">
        <v>57</v>
      </c>
      <c r="I133" s="159" t="str">
        <f t="shared" ref="I133:U133" si="20">+IF(H105=0,"N/D",IF(ROUND(I105+I106-H105,2)=0,"OK",ROUND(I105+I106-H105,2)))</f>
        <v>N/D</v>
      </c>
      <c r="J133" s="159"/>
      <c r="K133" s="159"/>
      <c r="L133" s="159" t="str">
        <f>+IF(I105=0,"N/D",IF(ROUND(L105+L106-I105,2)=0,"OK",ROUND(L105+L106-I105,2)))</f>
        <v>N/D</v>
      </c>
      <c r="M133" s="159" t="str">
        <f t="shared" si="20"/>
        <v>N/D</v>
      </c>
      <c r="N133" s="159" t="str">
        <f t="shared" si="20"/>
        <v>N/D</v>
      </c>
      <c r="O133" s="159" t="str">
        <f t="shared" si="20"/>
        <v>N/D</v>
      </c>
      <c r="P133" s="159" t="str">
        <f t="shared" si="20"/>
        <v>N/D</v>
      </c>
      <c r="Q133" s="159" t="str">
        <f t="shared" si="20"/>
        <v>N/D</v>
      </c>
      <c r="R133" s="159" t="str">
        <f t="shared" si="20"/>
        <v>N/D</v>
      </c>
      <c r="S133" s="159" t="str">
        <f t="shared" si="20"/>
        <v>N/D</v>
      </c>
      <c r="T133" s="159" t="str">
        <f t="shared" si="20"/>
        <v>N/D</v>
      </c>
      <c r="U133" s="159" t="str">
        <f t="shared" si="20"/>
        <v>N/D</v>
      </c>
    </row>
    <row r="134" spans="2:21" ht="36" hidden="1" outlineLevel="2">
      <c r="B134" s="160" t="s">
        <v>350</v>
      </c>
      <c r="C134" s="161" t="s">
        <v>350</v>
      </c>
      <c r="D134" s="157" t="s">
        <v>351</v>
      </c>
      <c r="E134" s="152" t="s">
        <v>57</v>
      </c>
      <c r="F134" s="153" t="s">
        <v>57</v>
      </c>
      <c r="G134" s="153" t="s">
        <v>57</v>
      </c>
      <c r="H134" s="154" t="s">
        <v>57</v>
      </c>
      <c r="I134" s="158" t="str">
        <f t="shared" ref="I134:U134" si="21">+IF(H96=0,"N/D",IF(ROUND(I96+(I98+I99+I100+I101)-H96,2)=0,"OK",ROUND(I96+(I98+I99+I100+I101)-H96,2)))</f>
        <v>N/D</v>
      </c>
      <c r="J134" s="158"/>
      <c r="K134" s="158"/>
      <c r="L134" s="159" t="str">
        <f>+IF(I96=0,"N/D",IF(ROUND(L96+(L98+L99+L100+L101)-I96,2)=0,"OK",ROUND(L96+(L98+L99+L100+L101)-I96,2)))</f>
        <v>N/D</v>
      </c>
      <c r="M134" s="159" t="str">
        <f t="shared" si="21"/>
        <v>N/D</v>
      </c>
      <c r="N134" s="159" t="str">
        <f t="shared" si="21"/>
        <v>N/D</v>
      </c>
      <c r="O134" s="159" t="str">
        <f t="shared" si="21"/>
        <v>N/D</v>
      </c>
      <c r="P134" s="159" t="str">
        <f t="shared" si="21"/>
        <v>N/D</v>
      </c>
      <c r="Q134" s="159" t="str">
        <f t="shared" si="21"/>
        <v>N/D</v>
      </c>
      <c r="R134" s="159" t="str">
        <f t="shared" si="21"/>
        <v>N/D</v>
      </c>
      <c r="S134" s="159" t="str">
        <f t="shared" si="21"/>
        <v>N/D</v>
      </c>
      <c r="T134" s="159" t="str">
        <f t="shared" si="21"/>
        <v>N/D</v>
      </c>
      <c r="U134" s="159" t="str">
        <f t="shared" si="21"/>
        <v>N/D</v>
      </c>
    </row>
    <row r="135" spans="2:21" hidden="1" outlineLevel="1">
      <c r="B135" s="149" t="s">
        <v>352</v>
      </c>
      <c r="C135" s="150" t="s">
        <v>352</v>
      </c>
      <c r="D135" s="163" t="s">
        <v>353</v>
      </c>
      <c r="E135" s="152" t="s">
        <v>57</v>
      </c>
      <c r="F135" s="153" t="s">
        <v>57</v>
      </c>
      <c r="G135" s="153" t="s">
        <v>57</v>
      </c>
      <c r="H135" s="154" t="s">
        <v>57</v>
      </c>
      <c r="I135" s="164" t="str">
        <f t="shared" ref="I135:U135" si="22">IF(I31&lt;0,IF(ROUND(I34+I36+I38+I40+I31,2)=0,"OK",ROUND(I34+I36+I38+I40+I31,2)),"N/D")</f>
        <v>OK</v>
      </c>
      <c r="J135" s="164"/>
      <c r="K135" s="164"/>
      <c r="L135" s="165" t="str">
        <f t="shared" si="22"/>
        <v>N/D</v>
      </c>
      <c r="M135" s="165" t="str">
        <f t="shared" si="22"/>
        <v>N/D</v>
      </c>
      <c r="N135" s="165" t="str">
        <f t="shared" si="22"/>
        <v>N/D</v>
      </c>
      <c r="O135" s="165" t="str">
        <f t="shared" si="22"/>
        <v>N/D</v>
      </c>
      <c r="P135" s="165" t="str">
        <f t="shared" si="22"/>
        <v>N/D</v>
      </c>
      <c r="Q135" s="165" t="str">
        <f t="shared" si="22"/>
        <v>N/D</v>
      </c>
      <c r="R135" s="165" t="str">
        <f t="shared" si="22"/>
        <v>N/D</v>
      </c>
      <c r="S135" s="165" t="str">
        <f t="shared" si="22"/>
        <v>N/D</v>
      </c>
      <c r="T135" s="165" t="str">
        <f t="shared" si="22"/>
        <v>N/D</v>
      </c>
      <c r="U135" s="165" t="str">
        <f t="shared" si="22"/>
        <v>N/D</v>
      </c>
    </row>
    <row r="136" spans="2:21" hidden="1" outlineLevel="2">
      <c r="B136" s="149" t="s">
        <v>354</v>
      </c>
      <c r="C136" s="150" t="s">
        <v>354</v>
      </c>
      <c r="D136" s="163" t="s">
        <v>355</v>
      </c>
      <c r="E136" s="152" t="s">
        <v>57</v>
      </c>
      <c r="F136" s="153" t="s">
        <v>57</v>
      </c>
      <c r="G136" s="153" t="s">
        <v>57</v>
      </c>
      <c r="H136" s="154" t="s">
        <v>57</v>
      </c>
      <c r="I136" s="164" t="str">
        <f t="shared" ref="I136:U136" si="23">IF(I31&gt;=0,IF(ROUND(I34+I36+I38+I40,2)=0,"OK",ROUND(I34+I36+I38+I40,2)),"N/D")</f>
        <v>N/D</v>
      </c>
      <c r="J136" s="164"/>
      <c r="K136" s="164"/>
      <c r="L136" s="165" t="str">
        <f t="shared" si="23"/>
        <v>OK</v>
      </c>
      <c r="M136" s="165" t="str">
        <f t="shared" si="23"/>
        <v>OK</v>
      </c>
      <c r="N136" s="165" t="str">
        <f t="shared" si="23"/>
        <v>OK</v>
      </c>
      <c r="O136" s="165" t="str">
        <f t="shared" si="23"/>
        <v>OK</v>
      </c>
      <c r="P136" s="165" t="str">
        <f t="shared" si="23"/>
        <v>OK</v>
      </c>
      <c r="Q136" s="165" t="str">
        <f t="shared" si="23"/>
        <v>OK</v>
      </c>
      <c r="R136" s="165" t="str">
        <f t="shared" si="23"/>
        <v>OK</v>
      </c>
      <c r="S136" s="165" t="str">
        <f t="shared" si="23"/>
        <v>OK</v>
      </c>
      <c r="T136" s="165" t="str">
        <f t="shared" si="23"/>
        <v>OK</v>
      </c>
      <c r="U136" s="165" t="str">
        <f t="shared" si="23"/>
        <v>OK</v>
      </c>
    </row>
    <row r="137" spans="2:21" hidden="1" outlineLevel="2">
      <c r="B137" s="149" t="s">
        <v>356</v>
      </c>
      <c r="C137" s="150" t="s">
        <v>356</v>
      </c>
      <c r="D137" s="163" t="s">
        <v>357</v>
      </c>
      <c r="E137" s="152" t="s">
        <v>57</v>
      </c>
      <c r="F137" s="153" t="s">
        <v>57</v>
      </c>
      <c r="G137" s="153" t="s">
        <v>57</v>
      </c>
      <c r="H137" s="154" t="s">
        <v>57</v>
      </c>
      <c r="I137" s="155" t="str">
        <f t="shared" ref="I137:U137" si="24">IF(I14&gt;=I15,"OK","BŁĄD")</f>
        <v>OK</v>
      </c>
      <c r="J137" s="155"/>
      <c r="K137" s="155"/>
      <c r="L137" s="156" t="str">
        <f t="shared" si="24"/>
        <v>OK</v>
      </c>
      <c r="M137" s="156" t="str">
        <f t="shared" si="24"/>
        <v>OK</v>
      </c>
      <c r="N137" s="156" t="str">
        <f t="shared" si="24"/>
        <v>OK</v>
      </c>
      <c r="O137" s="156" t="str">
        <f t="shared" si="24"/>
        <v>OK</v>
      </c>
      <c r="P137" s="156" t="str">
        <f t="shared" si="24"/>
        <v>OK</v>
      </c>
      <c r="Q137" s="156" t="str">
        <f t="shared" si="24"/>
        <v>OK</v>
      </c>
      <c r="R137" s="156" t="str">
        <f t="shared" si="24"/>
        <v>OK</v>
      </c>
      <c r="S137" s="156" t="str">
        <f t="shared" si="24"/>
        <v>OK</v>
      </c>
      <c r="T137" s="156" t="str">
        <f t="shared" si="24"/>
        <v>OK</v>
      </c>
      <c r="U137" s="156" t="str">
        <f t="shared" si="24"/>
        <v>OK</v>
      </c>
    </row>
    <row r="138" spans="2:21" hidden="1" outlineLevel="2">
      <c r="B138" s="149" t="s">
        <v>358</v>
      </c>
      <c r="C138" s="150" t="s">
        <v>358</v>
      </c>
      <c r="D138" s="163" t="s">
        <v>359</v>
      </c>
      <c r="E138" s="152" t="s">
        <v>57</v>
      </c>
      <c r="F138" s="153" t="s">
        <v>57</v>
      </c>
      <c r="G138" s="153" t="s">
        <v>57</v>
      </c>
      <c r="H138" s="154" t="s">
        <v>57</v>
      </c>
      <c r="I138" s="155" t="str">
        <f t="shared" ref="I138:U138" si="25">IF(I17&gt;=I97,"OK","BŁĄD")</f>
        <v>OK</v>
      </c>
      <c r="J138" s="155"/>
      <c r="K138" s="155"/>
      <c r="L138" s="156" t="str">
        <f t="shared" si="25"/>
        <v>OK</v>
      </c>
      <c r="M138" s="156" t="str">
        <f t="shared" si="25"/>
        <v>OK</v>
      </c>
      <c r="N138" s="156" t="str">
        <f t="shared" si="25"/>
        <v>OK</v>
      </c>
      <c r="O138" s="156" t="str">
        <f t="shared" si="25"/>
        <v>OK</v>
      </c>
      <c r="P138" s="156" t="str">
        <f t="shared" si="25"/>
        <v>OK</v>
      </c>
      <c r="Q138" s="156" t="str">
        <f t="shared" si="25"/>
        <v>OK</v>
      </c>
      <c r="R138" s="156" t="str">
        <f t="shared" si="25"/>
        <v>OK</v>
      </c>
      <c r="S138" s="156" t="str">
        <f t="shared" si="25"/>
        <v>OK</v>
      </c>
      <c r="T138" s="156" t="str">
        <f t="shared" si="25"/>
        <v>OK</v>
      </c>
      <c r="U138" s="156" t="str">
        <f t="shared" si="25"/>
        <v>OK</v>
      </c>
    </row>
    <row r="139" spans="2:21" hidden="1" outlineLevel="2">
      <c r="B139" s="149" t="s">
        <v>360</v>
      </c>
      <c r="C139" s="150" t="s">
        <v>360</v>
      </c>
      <c r="D139" s="163" t="s">
        <v>361</v>
      </c>
      <c r="E139" s="152" t="s">
        <v>57</v>
      </c>
      <c r="F139" s="153" t="s">
        <v>57</v>
      </c>
      <c r="G139" s="153" t="s">
        <v>57</v>
      </c>
      <c r="H139" s="154" t="s">
        <v>57</v>
      </c>
      <c r="I139" s="155" t="str">
        <f t="shared" ref="I139:U139" si="26">IF(I11&gt;=I12+I13+I14+I16+I17,"OK","BŁĄD")</f>
        <v>OK</v>
      </c>
      <c r="J139" s="155"/>
      <c r="K139" s="155"/>
      <c r="L139" s="156" t="str">
        <f t="shared" si="26"/>
        <v>OK</v>
      </c>
      <c r="M139" s="156" t="str">
        <f t="shared" si="26"/>
        <v>OK</v>
      </c>
      <c r="N139" s="156" t="str">
        <f t="shared" si="26"/>
        <v>OK</v>
      </c>
      <c r="O139" s="156" t="str">
        <f t="shared" si="26"/>
        <v>OK</v>
      </c>
      <c r="P139" s="156" t="str">
        <f t="shared" si="26"/>
        <v>OK</v>
      </c>
      <c r="Q139" s="156" t="str">
        <f t="shared" si="26"/>
        <v>OK</v>
      </c>
      <c r="R139" s="156" t="str">
        <f t="shared" si="26"/>
        <v>OK</v>
      </c>
      <c r="S139" s="156" t="str">
        <f t="shared" si="26"/>
        <v>OK</v>
      </c>
      <c r="T139" s="156" t="str">
        <f t="shared" si="26"/>
        <v>OK</v>
      </c>
      <c r="U139" s="156" t="str">
        <f t="shared" si="26"/>
        <v>OK</v>
      </c>
    </row>
    <row r="140" spans="2:21" hidden="1" outlineLevel="2">
      <c r="B140" s="149" t="s">
        <v>362</v>
      </c>
      <c r="C140" s="150" t="s">
        <v>362</v>
      </c>
      <c r="D140" s="163" t="s">
        <v>363</v>
      </c>
      <c r="E140" s="152" t="s">
        <v>57</v>
      </c>
      <c r="F140" s="153" t="s">
        <v>57</v>
      </c>
      <c r="G140" s="153" t="s">
        <v>57</v>
      </c>
      <c r="H140" s="154" t="s">
        <v>57</v>
      </c>
      <c r="I140" s="155" t="str">
        <f t="shared" ref="I140:U140" si="27">IF(I11&gt;=I75,"OK","BŁĄD")</f>
        <v>OK</v>
      </c>
      <c r="J140" s="155"/>
      <c r="K140" s="155"/>
      <c r="L140" s="156" t="str">
        <f t="shared" si="27"/>
        <v>OK</v>
      </c>
      <c r="M140" s="156" t="str">
        <f t="shared" si="27"/>
        <v>OK</v>
      </c>
      <c r="N140" s="156" t="str">
        <f t="shared" si="27"/>
        <v>OK</v>
      </c>
      <c r="O140" s="156" t="str">
        <f t="shared" si="27"/>
        <v>OK</v>
      </c>
      <c r="P140" s="156" t="str">
        <f t="shared" si="27"/>
        <v>OK</v>
      </c>
      <c r="Q140" s="156" t="str">
        <f t="shared" si="27"/>
        <v>OK</v>
      </c>
      <c r="R140" s="156" t="str">
        <f t="shared" si="27"/>
        <v>OK</v>
      </c>
      <c r="S140" s="156" t="str">
        <f t="shared" si="27"/>
        <v>OK</v>
      </c>
      <c r="T140" s="156" t="str">
        <f t="shared" si="27"/>
        <v>OK</v>
      </c>
      <c r="U140" s="156" t="str">
        <f t="shared" si="27"/>
        <v>OK</v>
      </c>
    </row>
    <row r="141" spans="2:21" hidden="1" outlineLevel="2">
      <c r="B141" s="149" t="s">
        <v>364</v>
      </c>
      <c r="C141" s="150" t="s">
        <v>364</v>
      </c>
      <c r="D141" s="163" t="s">
        <v>365</v>
      </c>
      <c r="E141" s="152" t="s">
        <v>57</v>
      </c>
      <c r="F141" s="153" t="s">
        <v>57</v>
      </c>
      <c r="G141" s="153" t="s">
        <v>57</v>
      </c>
      <c r="H141" s="154" t="s">
        <v>57</v>
      </c>
      <c r="I141" s="155" t="str">
        <f t="shared" ref="I141:U141" si="28">IF(I18&gt;=I19,"OK","BŁĄD")</f>
        <v>OK</v>
      </c>
      <c r="J141" s="155"/>
      <c r="K141" s="155"/>
      <c r="L141" s="156" t="str">
        <f t="shared" si="28"/>
        <v>OK</v>
      </c>
      <c r="M141" s="156" t="str">
        <f t="shared" si="28"/>
        <v>OK</v>
      </c>
      <c r="N141" s="156" t="str">
        <f t="shared" si="28"/>
        <v>OK</v>
      </c>
      <c r="O141" s="156" t="str">
        <f t="shared" si="28"/>
        <v>OK</v>
      </c>
      <c r="P141" s="156" t="str">
        <f t="shared" si="28"/>
        <v>OK</v>
      </c>
      <c r="Q141" s="156" t="str">
        <f t="shared" si="28"/>
        <v>OK</v>
      </c>
      <c r="R141" s="156" t="str">
        <f t="shared" si="28"/>
        <v>OK</v>
      </c>
      <c r="S141" s="156" t="str">
        <f t="shared" si="28"/>
        <v>OK</v>
      </c>
      <c r="T141" s="156" t="str">
        <f t="shared" si="28"/>
        <v>OK</v>
      </c>
      <c r="U141" s="156" t="str">
        <f t="shared" si="28"/>
        <v>OK</v>
      </c>
    </row>
    <row r="142" spans="2:21" hidden="1" outlineLevel="2">
      <c r="B142" s="149" t="s">
        <v>366</v>
      </c>
      <c r="C142" s="150" t="s">
        <v>366</v>
      </c>
      <c r="D142" s="163" t="s">
        <v>367</v>
      </c>
      <c r="E142" s="152" t="s">
        <v>57</v>
      </c>
      <c r="F142" s="153" t="s">
        <v>57</v>
      </c>
      <c r="G142" s="153" t="s">
        <v>57</v>
      </c>
      <c r="H142" s="154" t="s">
        <v>57</v>
      </c>
      <c r="I142" s="155" t="str">
        <f t="shared" ref="I142:U142" si="29">IF(I18&gt;=I20,"OK","BŁĄD")</f>
        <v>OK</v>
      </c>
      <c r="J142" s="155"/>
      <c r="K142" s="155"/>
      <c r="L142" s="156" t="str">
        <f t="shared" si="29"/>
        <v>OK</v>
      </c>
      <c r="M142" s="156" t="str">
        <f t="shared" si="29"/>
        <v>OK</v>
      </c>
      <c r="N142" s="156" t="str">
        <f t="shared" si="29"/>
        <v>OK</v>
      </c>
      <c r="O142" s="156" t="str">
        <f t="shared" si="29"/>
        <v>OK</v>
      </c>
      <c r="P142" s="156" t="str">
        <f t="shared" si="29"/>
        <v>OK</v>
      </c>
      <c r="Q142" s="156" t="str">
        <f t="shared" si="29"/>
        <v>OK</v>
      </c>
      <c r="R142" s="156" t="str">
        <f t="shared" si="29"/>
        <v>OK</v>
      </c>
      <c r="S142" s="156" t="str">
        <f t="shared" si="29"/>
        <v>OK</v>
      </c>
      <c r="T142" s="156" t="str">
        <f t="shared" si="29"/>
        <v>OK</v>
      </c>
      <c r="U142" s="156" t="str">
        <f t="shared" si="29"/>
        <v>OK</v>
      </c>
    </row>
    <row r="143" spans="2:21" hidden="1" outlineLevel="2">
      <c r="B143" s="149" t="s">
        <v>368</v>
      </c>
      <c r="C143" s="150" t="s">
        <v>368</v>
      </c>
      <c r="D143" s="163" t="s">
        <v>369</v>
      </c>
      <c r="E143" s="152" t="s">
        <v>57</v>
      </c>
      <c r="F143" s="153" t="s">
        <v>57</v>
      </c>
      <c r="G143" s="153" t="s">
        <v>57</v>
      </c>
      <c r="H143" s="154" t="s">
        <v>57</v>
      </c>
      <c r="I143" s="155" t="str">
        <f t="shared" ref="I143:U143" si="30">IF(I18&gt;=I78,"OK","BŁĄD")</f>
        <v>OK</v>
      </c>
      <c r="J143" s="155"/>
      <c r="K143" s="155"/>
      <c r="L143" s="156" t="str">
        <f t="shared" si="30"/>
        <v>OK</v>
      </c>
      <c r="M143" s="156" t="str">
        <f t="shared" si="30"/>
        <v>OK</v>
      </c>
      <c r="N143" s="156" t="str">
        <f t="shared" si="30"/>
        <v>OK</v>
      </c>
      <c r="O143" s="156" t="str">
        <f t="shared" si="30"/>
        <v>OK</v>
      </c>
      <c r="P143" s="156" t="str">
        <f t="shared" si="30"/>
        <v>OK</v>
      </c>
      <c r="Q143" s="156" t="str">
        <f t="shared" si="30"/>
        <v>OK</v>
      </c>
      <c r="R143" s="156" t="str">
        <f t="shared" si="30"/>
        <v>OK</v>
      </c>
      <c r="S143" s="156" t="str">
        <f t="shared" si="30"/>
        <v>OK</v>
      </c>
      <c r="T143" s="156" t="str">
        <f t="shared" si="30"/>
        <v>OK</v>
      </c>
      <c r="U143" s="156" t="str">
        <f t="shared" si="30"/>
        <v>OK</v>
      </c>
    </row>
    <row r="144" spans="2:21" hidden="1" outlineLevel="2">
      <c r="B144" s="149"/>
      <c r="C144" s="150"/>
      <c r="D144" s="163" t="s">
        <v>370</v>
      </c>
      <c r="E144" s="152" t="s">
        <v>57</v>
      </c>
      <c r="F144" s="153" t="s">
        <v>57</v>
      </c>
      <c r="G144" s="153" t="s">
        <v>57</v>
      </c>
      <c r="H144" s="154" t="s">
        <v>57</v>
      </c>
      <c r="I144" s="155" t="str">
        <f t="shared" ref="I144:U144" si="31">+IF(I31&gt;0,IF(I31=I63,"OK","Błąd"),"N/D")</f>
        <v>N/D</v>
      </c>
      <c r="J144" s="155"/>
      <c r="K144" s="155"/>
      <c r="L144" s="155" t="str">
        <f t="shared" si="31"/>
        <v>OK</v>
      </c>
      <c r="M144" s="155" t="str">
        <f t="shared" si="31"/>
        <v>OK</v>
      </c>
      <c r="N144" s="155" t="str">
        <f t="shared" si="31"/>
        <v>OK</v>
      </c>
      <c r="O144" s="155" t="str">
        <f t="shared" si="31"/>
        <v>OK</v>
      </c>
      <c r="P144" s="155" t="str">
        <f t="shared" si="31"/>
        <v>OK</v>
      </c>
      <c r="Q144" s="155" t="str">
        <f t="shared" si="31"/>
        <v>OK</v>
      </c>
      <c r="R144" s="155" t="str">
        <f t="shared" si="31"/>
        <v>OK</v>
      </c>
      <c r="S144" s="155" t="str">
        <f t="shared" si="31"/>
        <v>OK</v>
      </c>
      <c r="T144" s="155" t="str">
        <f t="shared" si="31"/>
        <v>OK</v>
      </c>
      <c r="U144" s="155" t="str">
        <f t="shared" si="31"/>
        <v>OK</v>
      </c>
    </row>
    <row r="145" spans="2:21" hidden="1" outlineLevel="2">
      <c r="B145" s="149" t="s">
        <v>371</v>
      </c>
      <c r="C145" s="150" t="s">
        <v>371</v>
      </c>
      <c r="D145" s="163" t="s">
        <v>372</v>
      </c>
      <c r="E145" s="152" t="s">
        <v>57</v>
      </c>
      <c r="F145" s="153" t="s">
        <v>57</v>
      </c>
      <c r="G145" s="153" t="s">
        <v>57</v>
      </c>
      <c r="H145" s="154" t="s">
        <v>57</v>
      </c>
      <c r="I145" s="155" t="str">
        <f t="shared" ref="I145:U145" si="32">IF(I63&gt;=I64,"OK","BŁĄD")</f>
        <v>OK</v>
      </c>
      <c r="J145" s="155"/>
      <c r="K145" s="155"/>
      <c r="L145" s="156" t="str">
        <f t="shared" si="32"/>
        <v>OK</v>
      </c>
      <c r="M145" s="156" t="str">
        <f t="shared" si="32"/>
        <v>OK</v>
      </c>
      <c r="N145" s="156" t="str">
        <f t="shared" si="32"/>
        <v>OK</v>
      </c>
      <c r="O145" s="156" t="str">
        <f t="shared" si="32"/>
        <v>OK</v>
      </c>
      <c r="P145" s="156" t="str">
        <f t="shared" si="32"/>
        <v>OK</v>
      </c>
      <c r="Q145" s="156" t="str">
        <f t="shared" si="32"/>
        <v>OK</v>
      </c>
      <c r="R145" s="156" t="str">
        <f t="shared" si="32"/>
        <v>OK</v>
      </c>
      <c r="S145" s="156" t="str">
        <f t="shared" si="32"/>
        <v>OK</v>
      </c>
      <c r="T145" s="156" t="str">
        <f t="shared" si="32"/>
        <v>OK</v>
      </c>
      <c r="U145" s="156" t="str">
        <f t="shared" si="32"/>
        <v>OK</v>
      </c>
    </row>
    <row r="146" spans="2:21" hidden="1" outlineLevel="2">
      <c r="B146" s="149"/>
      <c r="C146" s="150" t="s">
        <v>373</v>
      </c>
      <c r="D146" s="163" t="s">
        <v>374</v>
      </c>
      <c r="E146" s="152" t="s">
        <v>57</v>
      </c>
      <c r="F146" s="153" t="s">
        <v>57</v>
      </c>
      <c r="G146" s="153" t="s">
        <v>57</v>
      </c>
      <c r="H146" s="154" t="s">
        <v>57</v>
      </c>
      <c r="I146" s="155" t="str">
        <f t="shared" ref="I146:U146" si="33">IF(I63&gt;0,IF(I64&gt;0,"OK","BŁĄD"),"N/D")</f>
        <v>N/D</v>
      </c>
      <c r="J146" s="155"/>
      <c r="K146" s="155"/>
      <c r="L146" s="156" t="str">
        <f t="shared" si="33"/>
        <v>OK</v>
      </c>
      <c r="M146" s="156" t="str">
        <f t="shared" si="33"/>
        <v>OK</v>
      </c>
      <c r="N146" s="156" t="str">
        <f t="shared" si="33"/>
        <v>OK</v>
      </c>
      <c r="O146" s="156" t="str">
        <f t="shared" si="33"/>
        <v>OK</v>
      </c>
      <c r="P146" s="156" t="str">
        <f t="shared" si="33"/>
        <v>OK</v>
      </c>
      <c r="Q146" s="156" t="str">
        <f t="shared" si="33"/>
        <v>OK</v>
      </c>
      <c r="R146" s="156" t="str">
        <f t="shared" si="33"/>
        <v>OK</v>
      </c>
      <c r="S146" s="156" t="str">
        <f t="shared" si="33"/>
        <v>OK</v>
      </c>
      <c r="T146" s="156" t="str">
        <f t="shared" si="33"/>
        <v>OK</v>
      </c>
      <c r="U146" s="156" t="str">
        <f t="shared" si="33"/>
        <v>OK</v>
      </c>
    </row>
    <row r="147" spans="2:21" hidden="1" outlineLevel="2">
      <c r="B147" s="149" t="s">
        <v>375</v>
      </c>
      <c r="C147" s="150" t="s">
        <v>375</v>
      </c>
      <c r="D147" s="163" t="s">
        <v>376</v>
      </c>
      <c r="E147" s="152" t="s">
        <v>57</v>
      </c>
      <c r="F147" s="153" t="s">
        <v>57</v>
      </c>
      <c r="G147" s="153" t="s">
        <v>57</v>
      </c>
      <c r="H147" s="154" t="s">
        <v>57</v>
      </c>
      <c r="I147" s="155" t="str">
        <f t="shared" ref="I147:U148" si="34">IF(I75&gt;=I76,"OK","BŁĄD")</f>
        <v>OK</v>
      </c>
      <c r="J147" s="155"/>
      <c r="K147" s="155"/>
      <c r="L147" s="156" t="str">
        <f t="shared" si="34"/>
        <v>OK</v>
      </c>
      <c r="M147" s="156" t="str">
        <f t="shared" si="34"/>
        <v>OK</v>
      </c>
      <c r="N147" s="156" t="str">
        <f t="shared" si="34"/>
        <v>OK</v>
      </c>
      <c r="O147" s="156" t="str">
        <f t="shared" si="34"/>
        <v>OK</v>
      </c>
      <c r="P147" s="156" t="str">
        <f t="shared" si="34"/>
        <v>OK</v>
      </c>
      <c r="Q147" s="156" t="str">
        <f t="shared" si="34"/>
        <v>OK</v>
      </c>
      <c r="R147" s="156" t="str">
        <f t="shared" si="34"/>
        <v>OK</v>
      </c>
      <c r="S147" s="156" t="str">
        <f t="shared" si="34"/>
        <v>OK</v>
      </c>
      <c r="T147" s="156" t="str">
        <f t="shared" si="34"/>
        <v>OK</v>
      </c>
      <c r="U147" s="156" t="str">
        <f t="shared" si="34"/>
        <v>OK</v>
      </c>
    </row>
    <row r="148" spans="2:21" hidden="1" outlineLevel="2">
      <c r="B148" s="149" t="s">
        <v>377</v>
      </c>
      <c r="C148" s="150" t="s">
        <v>377</v>
      </c>
      <c r="D148" s="163" t="s">
        <v>378</v>
      </c>
      <c r="E148" s="152" t="s">
        <v>57</v>
      </c>
      <c r="F148" s="153" t="s">
        <v>57</v>
      </c>
      <c r="G148" s="153" t="s">
        <v>57</v>
      </c>
      <c r="H148" s="154" t="s">
        <v>57</v>
      </c>
      <c r="I148" s="155" t="str">
        <f t="shared" si="34"/>
        <v>OK</v>
      </c>
      <c r="J148" s="155"/>
      <c r="K148" s="155"/>
      <c r="L148" s="156" t="str">
        <f t="shared" si="34"/>
        <v>OK</v>
      </c>
      <c r="M148" s="156" t="str">
        <f t="shared" si="34"/>
        <v>OK</v>
      </c>
      <c r="N148" s="156" t="str">
        <f t="shared" si="34"/>
        <v>OK</v>
      </c>
      <c r="O148" s="156" t="str">
        <f t="shared" si="34"/>
        <v>OK</v>
      </c>
      <c r="P148" s="156" t="str">
        <f t="shared" si="34"/>
        <v>OK</v>
      </c>
      <c r="Q148" s="156" t="str">
        <f t="shared" si="34"/>
        <v>OK</v>
      </c>
      <c r="R148" s="156" t="str">
        <f t="shared" si="34"/>
        <v>OK</v>
      </c>
      <c r="S148" s="156" t="str">
        <f t="shared" si="34"/>
        <v>OK</v>
      </c>
      <c r="T148" s="156" t="str">
        <f t="shared" si="34"/>
        <v>OK</v>
      </c>
      <c r="U148" s="156" t="str">
        <f t="shared" si="34"/>
        <v>OK</v>
      </c>
    </row>
    <row r="149" spans="2:21" hidden="1" outlineLevel="2">
      <c r="B149" s="149" t="s">
        <v>379</v>
      </c>
      <c r="C149" s="150" t="s">
        <v>379</v>
      </c>
      <c r="D149" s="163" t="s">
        <v>380</v>
      </c>
      <c r="E149" s="152" t="s">
        <v>57</v>
      </c>
      <c r="F149" s="153" t="s">
        <v>57</v>
      </c>
      <c r="G149" s="153" t="s">
        <v>57</v>
      </c>
      <c r="H149" s="154" t="s">
        <v>57</v>
      </c>
      <c r="I149" s="155" t="str">
        <f t="shared" ref="I149:U150" si="35">IF(I78&gt;=I79,"OK","BŁĄD")</f>
        <v>OK</v>
      </c>
      <c r="J149" s="155"/>
      <c r="K149" s="155"/>
      <c r="L149" s="156" t="str">
        <f t="shared" si="35"/>
        <v>OK</v>
      </c>
      <c r="M149" s="156" t="str">
        <f t="shared" si="35"/>
        <v>OK</v>
      </c>
      <c r="N149" s="156" t="str">
        <f t="shared" si="35"/>
        <v>OK</v>
      </c>
      <c r="O149" s="156" t="str">
        <f t="shared" si="35"/>
        <v>OK</v>
      </c>
      <c r="P149" s="156" t="str">
        <f t="shared" si="35"/>
        <v>OK</v>
      </c>
      <c r="Q149" s="156" t="str">
        <f t="shared" si="35"/>
        <v>OK</v>
      </c>
      <c r="R149" s="156" t="str">
        <f t="shared" si="35"/>
        <v>OK</v>
      </c>
      <c r="S149" s="156" t="str">
        <f t="shared" si="35"/>
        <v>OK</v>
      </c>
      <c r="T149" s="156" t="str">
        <f t="shared" si="35"/>
        <v>OK</v>
      </c>
      <c r="U149" s="156" t="str">
        <f t="shared" si="35"/>
        <v>OK</v>
      </c>
    </row>
    <row r="150" spans="2:21" hidden="1" outlineLevel="2">
      <c r="B150" s="149" t="s">
        <v>381</v>
      </c>
      <c r="C150" s="150" t="s">
        <v>381</v>
      </c>
      <c r="D150" s="163" t="s">
        <v>382</v>
      </c>
      <c r="E150" s="152" t="s">
        <v>57</v>
      </c>
      <c r="F150" s="153" t="s">
        <v>57</v>
      </c>
      <c r="G150" s="153" t="s">
        <v>57</v>
      </c>
      <c r="H150" s="154" t="s">
        <v>57</v>
      </c>
      <c r="I150" s="155" t="str">
        <f t="shared" si="35"/>
        <v>OK</v>
      </c>
      <c r="J150" s="155"/>
      <c r="K150" s="155"/>
      <c r="L150" s="156" t="str">
        <f t="shared" si="35"/>
        <v>OK</v>
      </c>
      <c r="M150" s="156" t="str">
        <f t="shared" si="35"/>
        <v>OK</v>
      </c>
      <c r="N150" s="156" t="str">
        <f t="shared" si="35"/>
        <v>OK</v>
      </c>
      <c r="O150" s="156" t="str">
        <f t="shared" si="35"/>
        <v>OK</v>
      </c>
      <c r="P150" s="156" t="str">
        <f t="shared" si="35"/>
        <v>OK</v>
      </c>
      <c r="Q150" s="156" t="str">
        <f t="shared" si="35"/>
        <v>OK</v>
      </c>
      <c r="R150" s="156" t="str">
        <f t="shared" si="35"/>
        <v>OK</v>
      </c>
      <c r="S150" s="156" t="str">
        <f t="shared" si="35"/>
        <v>OK</v>
      </c>
      <c r="T150" s="156" t="str">
        <f t="shared" si="35"/>
        <v>OK</v>
      </c>
      <c r="U150" s="156" t="str">
        <f t="shared" si="35"/>
        <v>OK</v>
      </c>
    </row>
    <row r="151" spans="2:21" hidden="1" outlineLevel="2">
      <c r="B151" s="149" t="s">
        <v>383</v>
      </c>
      <c r="C151" s="150" t="s">
        <v>383</v>
      </c>
      <c r="D151" s="163" t="s">
        <v>384</v>
      </c>
      <c r="E151" s="152" t="s">
        <v>57</v>
      </c>
      <c r="F151" s="153" t="s">
        <v>57</v>
      </c>
      <c r="G151" s="153" t="s">
        <v>57</v>
      </c>
      <c r="H151" s="154" t="s">
        <v>57</v>
      </c>
      <c r="I151" s="155" t="str">
        <f t="shared" ref="I151:U151" si="36">IF(I81&gt;=I82,"OK","BŁĄD")</f>
        <v>OK</v>
      </c>
      <c r="J151" s="155"/>
      <c r="K151" s="155"/>
      <c r="L151" s="156" t="str">
        <f t="shared" si="36"/>
        <v>OK</v>
      </c>
      <c r="M151" s="156" t="str">
        <f t="shared" si="36"/>
        <v>OK</v>
      </c>
      <c r="N151" s="156" t="str">
        <f t="shared" si="36"/>
        <v>OK</v>
      </c>
      <c r="O151" s="156" t="str">
        <f t="shared" si="36"/>
        <v>OK</v>
      </c>
      <c r="P151" s="156" t="str">
        <f t="shared" si="36"/>
        <v>OK</v>
      </c>
      <c r="Q151" s="156" t="str">
        <f t="shared" si="36"/>
        <v>OK</v>
      </c>
      <c r="R151" s="156" t="str">
        <f t="shared" si="36"/>
        <v>OK</v>
      </c>
      <c r="S151" s="156" t="str">
        <f t="shared" si="36"/>
        <v>OK</v>
      </c>
      <c r="T151" s="156" t="str">
        <f t="shared" si="36"/>
        <v>OK</v>
      </c>
      <c r="U151" s="156" t="str">
        <f t="shared" si="36"/>
        <v>OK</v>
      </c>
    </row>
    <row r="152" spans="2:21" hidden="1" outlineLevel="2">
      <c r="B152" s="149" t="s">
        <v>385</v>
      </c>
      <c r="C152" s="150" t="s">
        <v>385</v>
      </c>
      <c r="D152" s="163" t="s">
        <v>386</v>
      </c>
      <c r="E152" s="152" t="s">
        <v>57</v>
      </c>
      <c r="F152" s="153" t="s">
        <v>57</v>
      </c>
      <c r="G152" s="153" t="s">
        <v>57</v>
      </c>
      <c r="H152" s="154" t="s">
        <v>57</v>
      </c>
      <c r="I152" s="155" t="str">
        <f t="shared" ref="I152:U152" si="37">IF(I81&gt;=I83,"OK","BŁĄD")</f>
        <v>OK</v>
      </c>
      <c r="J152" s="155"/>
      <c r="K152" s="155"/>
      <c r="L152" s="156" t="str">
        <f t="shared" si="37"/>
        <v>OK</v>
      </c>
      <c r="M152" s="156" t="str">
        <f t="shared" si="37"/>
        <v>OK</v>
      </c>
      <c r="N152" s="156" t="str">
        <f t="shared" si="37"/>
        <v>OK</v>
      </c>
      <c r="O152" s="156" t="str">
        <f t="shared" si="37"/>
        <v>OK</v>
      </c>
      <c r="P152" s="156" t="str">
        <f t="shared" si="37"/>
        <v>OK</v>
      </c>
      <c r="Q152" s="156" t="str">
        <f t="shared" si="37"/>
        <v>OK</v>
      </c>
      <c r="R152" s="156" t="str">
        <f t="shared" si="37"/>
        <v>OK</v>
      </c>
      <c r="S152" s="156" t="str">
        <f t="shared" si="37"/>
        <v>OK</v>
      </c>
      <c r="T152" s="156" t="str">
        <f t="shared" si="37"/>
        <v>OK</v>
      </c>
      <c r="U152" s="156" t="str">
        <f t="shared" si="37"/>
        <v>OK</v>
      </c>
    </row>
    <row r="153" spans="2:21" hidden="1" outlineLevel="2">
      <c r="B153" s="149" t="s">
        <v>387</v>
      </c>
      <c r="C153" s="150" t="s">
        <v>387</v>
      </c>
      <c r="D153" s="163" t="s">
        <v>388</v>
      </c>
      <c r="E153" s="152" t="s">
        <v>57</v>
      </c>
      <c r="F153" s="153" t="s">
        <v>57</v>
      </c>
      <c r="G153" s="153" t="s">
        <v>57</v>
      </c>
      <c r="H153" s="154" t="s">
        <v>57</v>
      </c>
      <c r="I153" s="155" t="str">
        <f t="shared" ref="I153:U153" si="38">IF(I84&gt;=I85,"OK","BŁĄD")</f>
        <v>OK</v>
      </c>
      <c r="J153" s="155"/>
      <c r="K153" s="155"/>
      <c r="L153" s="156" t="str">
        <f t="shared" si="38"/>
        <v>OK</v>
      </c>
      <c r="M153" s="156" t="str">
        <f t="shared" si="38"/>
        <v>OK</v>
      </c>
      <c r="N153" s="156" t="str">
        <f t="shared" si="38"/>
        <v>OK</v>
      </c>
      <c r="O153" s="156" t="str">
        <f t="shared" si="38"/>
        <v>OK</v>
      </c>
      <c r="P153" s="156" t="str">
        <f t="shared" si="38"/>
        <v>OK</v>
      </c>
      <c r="Q153" s="156" t="str">
        <f t="shared" si="38"/>
        <v>OK</v>
      </c>
      <c r="R153" s="156" t="str">
        <f t="shared" si="38"/>
        <v>OK</v>
      </c>
      <c r="S153" s="156" t="str">
        <f t="shared" si="38"/>
        <v>OK</v>
      </c>
      <c r="T153" s="156" t="str">
        <f t="shared" si="38"/>
        <v>OK</v>
      </c>
      <c r="U153" s="156" t="str">
        <f t="shared" si="38"/>
        <v>OK</v>
      </c>
    </row>
    <row r="154" spans="2:21" hidden="1" outlineLevel="2">
      <c r="B154" s="149" t="s">
        <v>389</v>
      </c>
      <c r="C154" s="150" t="s">
        <v>389</v>
      </c>
      <c r="D154" s="163" t="s">
        <v>390</v>
      </c>
      <c r="E154" s="152" t="s">
        <v>57</v>
      </c>
      <c r="F154" s="153" t="s">
        <v>57</v>
      </c>
      <c r="G154" s="153" t="s">
        <v>57</v>
      </c>
      <c r="H154" s="154" t="s">
        <v>57</v>
      </c>
      <c r="I154" s="155" t="str">
        <f t="shared" ref="I154:U154" si="39">IF(I84&gt;=I86,"OK","BŁĄD")</f>
        <v>OK</v>
      </c>
      <c r="J154" s="155"/>
      <c r="K154" s="155"/>
      <c r="L154" s="156" t="str">
        <f t="shared" si="39"/>
        <v>OK</v>
      </c>
      <c r="M154" s="156" t="str">
        <f t="shared" si="39"/>
        <v>OK</v>
      </c>
      <c r="N154" s="156" t="str">
        <f t="shared" si="39"/>
        <v>OK</v>
      </c>
      <c r="O154" s="156" t="str">
        <f t="shared" si="39"/>
        <v>OK</v>
      </c>
      <c r="P154" s="156" t="str">
        <f t="shared" si="39"/>
        <v>OK</v>
      </c>
      <c r="Q154" s="156" t="str">
        <f t="shared" si="39"/>
        <v>OK</v>
      </c>
      <c r="R154" s="156" t="str">
        <f t="shared" si="39"/>
        <v>OK</v>
      </c>
      <c r="S154" s="156" t="str">
        <f t="shared" si="39"/>
        <v>OK</v>
      </c>
      <c r="T154" s="156" t="str">
        <f t="shared" si="39"/>
        <v>OK</v>
      </c>
      <c r="U154" s="156" t="str">
        <f t="shared" si="39"/>
        <v>OK</v>
      </c>
    </row>
    <row r="155" spans="2:21" hidden="1" outlineLevel="2">
      <c r="B155" s="149" t="s">
        <v>387</v>
      </c>
      <c r="C155" s="150" t="s">
        <v>387</v>
      </c>
      <c r="D155" s="163" t="s">
        <v>391</v>
      </c>
      <c r="E155" s="152" t="s">
        <v>57</v>
      </c>
      <c r="F155" s="153" t="s">
        <v>57</v>
      </c>
      <c r="G155" s="153" t="s">
        <v>57</v>
      </c>
      <c r="H155" s="154" t="s">
        <v>57</v>
      </c>
      <c r="I155" s="155" t="str">
        <f>IF(I87&gt;=I88,"OK","BŁĄD")</f>
        <v>OK</v>
      </c>
      <c r="J155" s="155"/>
      <c r="K155" s="155"/>
      <c r="L155" s="156" t="str">
        <f t="shared" ref="L155:U155" si="40">IF(L87&gt;=L88,"OK","BŁĄD")</f>
        <v>OK</v>
      </c>
      <c r="M155" s="156" t="str">
        <f t="shared" si="40"/>
        <v>OK</v>
      </c>
      <c r="N155" s="156" t="str">
        <f t="shared" si="40"/>
        <v>OK</v>
      </c>
      <c r="O155" s="156" t="str">
        <f t="shared" si="40"/>
        <v>OK</v>
      </c>
      <c r="P155" s="156" t="str">
        <f t="shared" si="40"/>
        <v>OK</v>
      </c>
      <c r="Q155" s="156" t="str">
        <f t="shared" si="40"/>
        <v>OK</v>
      </c>
      <c r="R155" s="156" t="str">
        <f t="shared" si="40"/>
        <v>OK</v>
      </c>
      <c r="S155" s="156" t="str">
        <f t="shared" si="40"/>
        <v>OK</v>
      </c>
      <c r="T155" s="156" t="str">
        <f t="shared" si="40"/>
        <v>OK</v>
      </c>
      <c r="U155" s="156" t="str">
        <f t="shared" si="40"/>
        <v>OK</v>
      </c>
    </row>
    <row r="156" spans="2:21" hidden="1" outlineLevel="2">
      <c r="B156" s="149" t="s">
        <v>387</v>
      </c>
      <c r="C156" s="150" t="s">
        <v>387</v>
      </c>
      <c r="D156" s="163" t="s">
        <v>392</v>
      </c>
      <c r="E156" s="152" t="s">
        <v>57</v>
      </c>
      <c r="F156" s="153" t="s">
        <v>57</v>
      </c>
      <c r="G156" s="153" t="s">
        <v>57</v>
      </c>
      <c r="H156" s="154" t="s">
        <v>57</v>
      </c>
      <c r="I156" s="155" t="str">
        <f>IF(I89&gt;=I90,"OK","BŁĄD")</f>
        <v>OK</v>
      </c>
      <c r="J156" s="155"/>
      <c r="K156" s="155"/>
      <c r="L156" s="156" t="str">
        <f t="shared" ref="L156:U156" si="41">IF(L89&gt;=L90,"OK","BŁĄD")</f>
        <v>OK</v>
      </c>
      <c r="M156" s="156" t="str">
        <f t="shared" si="41"/>
        <v>OK</v>
      </c>
      <c r="N156" s="156" t="str">
        <f t="shared" si="41"/>
        <v>OK</v>
      </c>
      <c r="O156" s="156" t="str">
        <f t="shared" si="41"/>
        <v>OK</v>
      </c>
      <c r="P156" s="156" t="str">
        <f t="shared" si="41"/>
        <v>OK</v>
      </c>
      <c r="Q156" s="156" t="str">
        <f t="shared" si="41"/>
        <v>OK</v>
      </c>
      <c r="R156" s="156" t="str">
        <f t="shared" si="41"/>
        <v>OK</v>
      </c>
      <c r="S156" s="156" t="str">
        <f t="shared" si="41"/>
        <v>OK</v>
      </c>
      <c r="T156" s="156" t="str">
        <f t="shared" si="41"/>
        <v>OK</v>
      </c>
      <c r="U156" s="156" t="str">
        <f t="shared" si="41"/>
        <v>OK</v>
      </c>
    </row>
    <row r="157" spans="2:21" hidden="1" outlineLevel="2">
      <c r="B157" s="149" t="s">
        <v>387</v>
      </c>
      <c r="C157" s="150" t="s">
        <v>387</v>
      </c>
      <c r="D157" s="163" t="s">
        <v>393</v>
      </c>
      <c r="E157" s="152" t="s">
        <v>57</v>
      </c>
      <c r="F157" s="153" t="s">
        <v>57</v>
      </c>
      <c r="G157" s="153" t="s">
        <v>57</v>
      </c>
      <c r="H157" s="154" t="s">
        <v>57</v>
      </c>
      <c r="I157" s="155" t="str">
        <f>IF(I91&gt;=I92,"OK","BŁĄD")</f>
        <v>OK</v>
      </c>
      <c r="J157" s="155"/>
      <c r="K157" s="155"/>
      <c r="L157" s="156" t="str">
        <f t="shared" ref="L157:U157" si="42">IF(L91&gt;=L92,"OK","BŁĄD")</f>
        <v>OK</v>
      </c>
      <c r="M157" s="156" t="str">
        <f t="shared" si="42"/>
        <v>OK</v>
      </c>
      <c r="N157" s="156" t="str">
        <f t="shared" si="42"/>
        <v>OK</v>
      </c>
      <c r="O157" s="156" t="str">
        <f t="shared" si="42"/>
        <v>OK</v>
      </c>
      <c r="P157" s="156" t="str">
        <f t="shared" si="42"/>
        <v>OK</v>
      </c>
      <c r="Q157" s="156" t="str">
        <f t="shared" si="42"/>
        <v>OK</v>
      </c>
      <c r="R157" s="156" t="str">
        <f t="shared" si="42"/>
        <v>OK</v>
      </c>
      <c r="S157" s="156" t="str">
        <f t="shared" si="42"/>
        <v>OK</v>
      </c>
      <c r="T157" s="156" t="str">
        <f t="shared" si="42"/>
        <v>OK</v>
      </c>
      <c r="U157" s="156" t="str">
        <f t="shared" si="42"/>
        <v>OK</v>
      </c>
    </row>
    <row r="158" spans="2:21" hidden="1" outlineLevel="2">
      <c r="B158" s="149" t="s">
        <v>387</v>
      </c>
      <c r="C158" s="150" t="s">
        <v>387</v>
      </c>
      <c r="D158" s="163" t="s">
        <v>394</v>
      </c>
      <c r="E158" s="152" t="s">
        <v>57</v>
      </c>
      <c r="F158" s="153" t="s">
        <v>57</v>
      </c>
      <c r="G158" s="153" t="s">
        <v>57</v>
      </c>
      <c r="H158" s="154" t="s">
        <v>57</v>
      </c>
      <c r="I158" s="155" t="str">
        <f>IF(I93&gt;=I94,"OK","BŁĄD")</f>
        <v>OK</v>
      </c>
      <c r="J158" s="155"/>
      <c r="K158" s="155"/>
      <c r="L158" s="156" t="str">
        <f t="shared" ref="L158:U158" si="43">IF(L93&gt;=L94,"OK","BŁĄD")</f>
        <v>OK</v>
      </c>
      <c r="M158" s="156" t="str">
        <f t="shared" si="43"/>
        <v>OK</v>
      </c>
      <c r="N158" s="156" t="str">
        <f t="shared" si="43"/>
        <v>OK</v>
      </c>
      <c r="O158" s="156" t="str">
        <f t="shared" si="43"/>
        <v>OK</v>
      </c>
      <c r="P158" s="156" t="str">
        <f t="shared" si="43"/>
        <v>OK</v>
      </c>
      <c r="Q158" s="156" t="str">
        <f t="shared" si="43"/>
        <v>OK</v>
      </c>
      <c r="R158" s="156" t="str">
        <f t="shared" si="43"/>
        <v>OK</v>
      </c>
      <c r="S158" s="156" t="str">
        <f t="shared" si="43"/>
        <v>OK</v>
      </c>
      <c r="T158" s="156" t="str">
        <f t="shared" si="43"/>
        <v>OK</v>
      </c>
      <c r="U158" s="156" t="str">
        <f t="shared" si="43"/>
        <v>OK</v>
      </c>
    </row>
    <row r="159" spans="2:21" hidden="1" outlineLevel="2">
      <c r="B159" s="149" t="s">
        <v>395</v>
      </c>
      <c r="C159" s="150" t="s">
        <v>395</v>
      </c>
      <c r="D159" s="163" t="s">
        <v>396</v>
      </c>
      <c r="E159" s="152" t="s">
        <v>57</v>
      </c>
      <c r="F159" s="153" t="s">
        <v>57</v>
      </c>
      <c r="G159" s="153" t="s">
        <v>57</v>
      </c>
      <c r="H159" s="154" t="s">
        <v>57</v>
      </c>
      <c r="I159" s="155" t="str">
        <f t="shared" ref="I159:U159" si="44">IF(I96&gt;=I98,"OK","BŁĄD")</f>
        <v>OK</v>
      </c>
      <c r="J159" s="155"/>
      <c r="K159" s="155"/>
      <c r="L159" s="156" t="str">
        <f t="shared" si="44"/>
        <v>OK</v>
      </c>
      <c r="M159" s="156" t="str">
        <f t="shared" si="44"/>
        <v>OK</v>
      </c>
      <c r="N159" s="156" t="str">
        <f t="shared" si="44"/>
        <v>OK</v>
      </c>
      <c r="O159" s="156" t="str">
        <f t="shared" si="44"/>
        <v>OK</v>
      </c>
      <c r="P159" s="156" t="str">
        <f t="shared" si="44"/>
        <v>OK</v>
      </c>
      <c r="Q159" s="156" t="str">
        <f t="shared" si="44"/>
        <v>OK</v>
      </c>
      <c r="R159" s="156" t="str">
        <f t="shared" si="44"/>
        <v>OK</v>
      </c>
      <c r="S159" s="156" t="str">
        <f t="shared" si="44"/>
        <v>OK</v>
      </c>
      <c r="T159" s="156" t="str">
        <f t="shared" si="44"/>
        <v>OK</v>
      </c>
      <c r="U159" s="156" t="str">
        <f t="shared" si="44"/>
        <v>OK</v>
      </c>
    </row>
    <row r="160" spans="2:21" hidden="1" outlineLevel="2">
      <c r="B160" s="149" t="s">
        <v>397</v>
      </c>
      <c r="C160" s="150" t="s">
        <v>397</v>
      </c>
      <c r="D160" s="163" t="s">
        <v>398</v>
      </c>
      <c r="E160" s="152" t="s">
        <v>57</v>
      </c>
      <c r="F160" s="153" t="s">
        <v>57</v>
      </c>
      <c r="G160" s="153" t="s">
        <v>57</v>
      </c>
      <c r="H160" s="154" t="s">
        <v>57</v>
      </c>
      <c r="I160" s="155" t="str">
        <f t="shared" ref="I160:U160" si="45">IF(I99&gt;=I25,"OK","BŁĄD")</f>
        <v>OK</v>
      </c>
      <c r="J160" s="155"/>
      <c r="K160" s="155"/>
      <c r="L160" s="156" t="str">
        <f t="shared" si="45"/>
        <v>OK</v>
      </c>
      <c r="M160" s="156" t="str">
        <f t="shared" si="45"/>
        <v>OK</v>
      </c>
      <c r="N160" s="156" t="str">
        <f t="shared" si="45"/>
        <v>OK</v>
      </c>
      <c r="O160" s="156" t="str">
        <f t="shared" si="45"/>
        <v>OK</v>
      </c>
      <c r="P160" s="156" t="str">
        <f t="shared" si="45"/>
        <v>OK</v>
      </c>
      <c r="Q160" s="156" t="str">
        <f t="shared" si="45"/>
        <v>OK</v>
      </c>
      <c r="R160" s="156" t="str">
        <f t="shared" si="45"/>
        <v>OK</v>
      </c>
      <c r="S160" s="156" t="str">
        <f t="shared" si="45"/>
        <v>OK</v>
      </c>
      <c r="T160" s="156" t="str">
        <f t="shared" si="45"/>
        <v>OK</v>
      </c>
      <c r="U160" s="156" t="str">
        <f t="shared" si="45"/>
        <v>OK</v>
      </c>
    </row>
    <row r="161" spans="2:21" hidden="1" outlineLevel="2">
      <c r="B161" s="149" t="s">
        <v>399</v>
      </c>
      <c r="C161" s="150" t="s">
        <v>399</v>
      </c>
      <c r="D161" s="163" t="s">
        <v>400</v>
      </c>
      <c r="E161" s="152" t="s">
        <v>57</v>
      </c>
      <c r="F161" s="153" t="s">
        <v>57</v>
      </c>
      <c r="G161" s="153" t="s">
        <v>57</v>
      </c>
      <c r="H161" s="154" t="s">
        <v>57</v>
      </c>
      <c r="I161" s="155" t="str">
        <f t="shared" ref="I161:U161" si="46">IF(I106&gt;=(I107+I108+I109),"OK","BŁĄD")</f>
        <v>OK</v>
      </c>
      <c r="J161" s="155"/>
      <c r="K161" s="155"/>
      <c r="L161" s="156" t="str">
        <f t="shared" si="46"/>
        <v>OK</v>
      </c>
      <c r="M161" s="156" t="str">
        <f t="shared" si="46"/>
        <v>OK</v>
      </c>
      <c r="N161" s="156" t="str">
        <f t="shared" si="46"/>
        <v>OK</v>
      </c>
      <c r="O161" s="156" t="str">
        <f t="shared" si="46"/>
        <v>OK</v>
      </c>
      <c r="P161" s="156" t="str">
        <f t="shared" si="46"/>
        <v>OK</v>
      </c>
      <c r="Q161" s="156" t="str">
        <f t="shared" si="46"/>
        <v>OK</v>
      </c>
      <c r="R161" s="156" t="str">
        <f t="shared" si="46"/>
        <v>OK</v>
      </c>
      <c r="S161" s="156" t="str">
        <f t="shared" si="46"/>
        <v>OK</v>
      </c>
      <c r="T161" s="156" t="str">
        <f t="shared" si="46"/>
        <v>OK</v>
      </c>
      <c r="U161" s="156" t="str">
        <f t="shared" si="46"/>
        <v>OK</v>
      </c>
    </row>
    <row r="162" spans="2:21" hidden="1" outlineLevel="2">
      <c r="B162" s="149" t="s">
        <v>395</v>
      </c>
      <c r="C162" s="150" t="s">
        <v>395</v>
      </c>
      <c r="D162" s="163" t="s">
        <v>401</v>
      </c>
      <c r="E162" s="152" t="s">
        <v>57</v>
      </c>
      <c r="F162" s="153" t="s">
        <v>57</v>
      </c>
      <c r="G162" s="153" t="s">
        <v>57</v>
      </c>
      <c r="H162" s="154" t="s">
        <v>57</v>
      </c>
      <c r="I162" s="155" t="str">
        <f>IF(I112&gt;=I113,"OK","BŁĄD")</f>
        <v>OK</v>
      </c>
      <c r="J162" s="155"/>
      <c r="K162" s="155"/>
      <c r="L162" s="156" t="str">
        <f t="shared" ref="L162:U162" si="47">IF(L112&gt;=L113,"OK","BŁĄD")</f>
        <v>OK</v>
      </c>
      <c r="M162" s="156" t="str">
        <f t="shared" si="47"/>
        <v>OK</v>
      </c>
      <c r="N162" s="156" t="str">
        <f t="shared" si="47"/>
        <v>OK</v>
      </c>
      <c r="O162" s="156" t="str">
        <f t="shared" si="47"/>
        <v>OK</v>
      </c>
      <c r="P162" s="156" t="str">
        <f t="shared" si="47"/>
        <v>OK</v>
      </c>
      <c r="Q162" s="156" t="str">
        <f t="shared" si="47"/>
        <v>OK</v>
      </c>
      <c r="R162" s="156" t="str">
        <f t="shared" si="47"/>
        <v>OK</v>
      </c>
      <c r="S162" s="156" t="str">
        <f t="shared" si="47"/>
        <v>OK</v>
      </c>
      <c r="T162" s="156" t="str">
        <f t="shared" si="47"/>
        <v>OK</v>
      </c>
      <c r="U162" s="156" t="str">
        <f t="shared" si="47"/>
        <v>OK</v>
      </c>
    </row>
    <row r="163" spans="2:21" hidden="1" outlineLevel="2">
      <c r="B163" s="149" t="s">
        <v>402</v>
      </c>
      <c r="C163" s="150" t="s">
        <v>402</v>
      </c>
      <c r="D163" s="163" t="s">
        <v>403</v>
      </c>
      <c r="E163" s="152" t="s">
        <v>57</v>
      </c>
      <c r="F163" s="153" t="s">
        <v>57</v>
      </c>
      <c r="G163" s="153" t="s">
        <v>57</v>
      </c>
      <c r="H163" s="154" t="s">
        <v>57</v>
      </c>
      <c r="I163" s="155" t="str">
        <f t="shared" ref="I163:U163" si="48">IF(I23&gt;=I24,"OK","BŁĄD")</f>
        <v>OK</v>
      </c>
      <c r="J163" s="155"/>
      <c r="K163" s="155"/>
      <c r="L163" s="156" t="str">
        <f t="shared" si="48"/>
        <v>OK</v>
      </c>
      <c r="M163" s="156" t="str">
        <f t="shared" si="48"/>
        <v>OK</v>
      </c>
      <c r="N163" s="156" t="str">
        <f t="shared" si="48"/>
        <v>OK</v>
      </c>
      <c r="O163" s="156" t="str">
        <f t="shared" si="48"/>
        <v>OK</v>
      </c>
      <c r="P163" s="156" t="str">
        <f t="shared" si="48"/>
        <v>OK</v>
      </c>
      <c r="Q163" s="156" t="str">
        <f t="shared" si="48"/>
        <v>OK</v>
      </c>
      <c r="R163" s="156" t="str">
        <f t="shared" si="48"/>
        <v>OK</v>
      </c>
      <c r="S163" s="156" t="str">
        <f t="shared" si="48"/>
        <v>OK</v>
      </c>
      <c r="T163" s="156" t="str">
        <f t="shared" si="48"/>
        <v>OK</v>
      </c>
      <c r="U163" s="156" t="str">
        <f t="shared" si="48"/>
        <v>OK</v>
      </c>
    </row>
    <row r="164" spans="2:21" hidden="1" outlineLevel="2">
      <c r="B164" s="149" t="s">
        <v>404</v>
      </c>
      <c r="C164" s="150" t="s">
        <v>404</v>
      </c>
      <c r="D164" s="163" t="s">
        <v>405</v>
      </c>
      <c r="E164" s="152" t="s">
        <v>57</v>
      </c>
      <c r="F164" s="153" t="s">
        <v>57</v>
      </c>
      <c r="G164" s="153" t="s">
        <v>57</v>
      </c>
      <c r="H164" s="154" t="s">
        <v>57</v>
      </c>
      <c r="I164" s="155" t="str">
        <f t="shared" ref="I164:U164" si="49">IF(I23&gt;=I109,"OK","BŁĄD")</f>
        <v>OK</v>
      </c>
      <c r="J164" s="155"/>
      <c r="K164" s="155"/>
      <c r="L164" s="156" t="str">
        <f t="shared" si="49"/>
        <v>OK</v>
      </c>
      <c r="M164" s="156" t="str">
        <f t="shared" si="49"/>
        <v>OK</v>
      </c>
      <c r="N164" s="156" t="str">
        <f t="shared" si="49"/>
        <v>OK</v>
      </c>
      <c r="O164" s="156" t="str">
        <f t="shared" si="49"/>
        <v>OK</v>
      </c>
      <c r="P164" s="156" t="str">
        <f t="shared" si="49"/>
        <v>OK</v>
      </c>
      <c r="Q164" s="156" t="str">
        <f t="shared" si="49"/>
        <v>OK</v>
      </c>
      <c r="R164" s="156" t="str">
        <f t="shared" si="49"/>
        <v>OK</v>
      </c>
      <c r="S164" s="156" t="str">
        <f t="shared" si="49"/>
        <v>OK</v>
      </c>
      <c r="T164" s="156" t="str">
        <f t="shared" si="49"/>
        <v>OK</v>
      </c>
      <c r="U164" s="156" t="str">
        <f t="shared" si="49"/>
        <v>OK</v>
      </c>
    </row>
    <row r="165" spans="2:21" hidden="1" outlineLevel="2">
      <c r="B165" s="149" t="s">
        <v>406</v>
      </c>
      <c r="C165" s="150" t="s">
        <v>406</v>
      </c>
      <c r="D165" s="163" t="s">
        <v>407</v>
      </c>
      <c r="E165" s="152" t="s">
        <v>57</v>
      </c>
      <c r="F165" s="153" t="s">
        <v>57</v>
      </c>
      <c r="G165" s="153" t="s">
        <v>57</v>
      </c>
      <c r="H165" s="154" t="s">
        <v>57</v>
      </c>
      <c r="I165" s="155" t="str">
        <f t="shared" ref="I165:U166" si="50">IF(I26&gt;=I27,"OK","BŁĄD")</f>
        <v>OK</v>
      </c>
      <c r="J165" s="155"/>
      <c r="K165" s="155"/>
      <c r="L165" s="156" t="str">
        <f t="shared" si="50"/>
        <v>OK</v>
      </c>
      <c r="M165" s="156" t="str">
        <f t="shared" si="50"/>
        <v>OK</v>
      </c>
      <c r="N165" s="156" t="str">
        <f t="shared" si="50"/>
        <v>OK</v>
      </c>
      <c r="O165" s="156" t="str">
        <f t="shared" si="50"/>
        <v>OK</v>
      </c>
      <c r="P165" s="156" t="str">
        <f t="shared" si="50"/>
        <v>OK</v>
      </c>
      <c r="Q165" s="156" t="str">
        <f t="shared" si="50"/>
        <v>OK</v>
      </c>
      <c r="R165" s="156" t="str">
        <f t="shared" si="50"/>
        <v>OK</v>
      </c>
      <c r="S165" s="156" t="str">
        <f t="shared" si="50"/>
        <v>OK</v>
      </c>
      <c r="T165" s="156" t="str">
        <f t="shared" si="50"/>
        <v>OK</v>
      </c>
      <c r="U165" s="156" t="str">
        <f t="shared" si="50"/>
        <v>OK</v>
      </c>
    </row>
    <row r="166" spans="2:21" hidden="1" outlineLevel="2">
      <c r="B166" s="149" t="s">
        <v>406</v>
      </c>
      <c r="C166" s="150" t="s">
        <v>406</v>
      </c>
      <c r="D166" s="163" t="s">
        <v>408</v>
      </c>
      <c r="E166" s="152" t="s">
        <v>57</v>
      </c>
      <c r="F166" s="153" t="s">
        <v>57</v>
      </c>
      <c r="G166" s="153" t="s">
        <v>57</v>
      </c>
      <c r="H166" s="154" t="s">
        <v>57</v>
      </c>
      <c r="I166" s="155" t="str">
        <f>IF(I27&gt;=(I28+I29),"OK","BŁĄD")</f>
        <v>OK</v>
      </c>
      <c r="J166" s="155"/>
      <c r="K166" s="155"/>
      <c r="L166" s="156" t="str">
        <f t="shared" si="50"/>
        <v>OK</v>
      </c>
      <c r="M166" s="156" t="str">
        <f t="shared" si="50"/>
        <v>OK</v>
      </c>
      <c r="N166" s="156" t="str">
        <f t="shared" si="50"/>
        <v>OK</v>
      </c>
      <c r="O166" s="156" t="str">
        <f t="shared" si="50"/>
        <v>OK</v>
      </c>
      <c r="P166" s="156" t="str">
        <f t="shared" si="50"/>
        <v>OK</v>
      </c>
      <c r="Q166" s="156" t="str">
        <f t="shared" si="50"/>
        <v>OK</v>
      </c>
      <c r="R166" s="156" t="str">
        <f t="shared" si="50"/>
        <v>OK</v>
      </c>
      <c r="S166" s="156" t="str">
        <f t="shared" si="50"/>
        <v>OK</v>
      </c>
      <c r="T166" s="156" t="str">
        <f t="shared" si="50"/>
        <v>OK</v>
      </c>
      <c r="U166" s="156" t="str">
        <f t="shared" si="50"/>
        <v>OK</v>
      </c>
    </row>
    <row r="167" spans="2:21" hidden="1" outlineLevel="2">
      <c r="B167" s="149" t="s">
        <v>409</v>
      </c>
      <c r="C167" s="150" t="s">
        <v>409</v>
      </c>
      <c r="D167" s="163" t="s">
        <v>410</v>
      </c>
      <c r="E167" s="152" t="s">
        <v>57</v>
      </c>
      <c r="F167" s="153" t="s">
        <v>57</v>
      </c>
      <c r="G167" s="153" t="s">
        <v>57</v>
      </c>
      <c r="H167" s="154" t="s">
        <v>57</v>
      </c>
      <c r="I167" s="155" t="str">
        <f t="shared" ref="I167:U167" si="51">IF(I22&gt;=(I23+I25+I26),"OK","BŁĄD")</f>
        <v>OK</v>
      </c>
      <c r="J167" s="155"/>
      <c r="K167" s="155"/>
      <c r="L167" s="156" t="str">
        <f t="shared" si="51"/>
        <v>OK</v>
      </c>
      <c r="M167" s="156" t="str">
        <f t="shared" si="51"/>
        <v>OK</v>
      </c>
      <c r="N167" s="156" t="str">
        <f t="shared" si="51"/>
        <v>OK</v>
      </c>
      <c r="O167" s="156" t="str">
        <f t="shared" si="51"/>
        <v>OK</v>
      </c>
      <c r="P167" s="156" t="str">
        <f t="shared" si="51"/>
        <v>OK</v>
      </c>
      <c r="Q167" s="156" t="str">
        <f t="shared" si="51"/>
        <v>OK</v>
      </c>
      <c r="R167" s="156" t="str">
        <f t="shared" si="51"/>
        <v>OK</v>
      </c>
      <c r="S167" s="156" t="str">
        <f t="shared" si="51"/>
        <v>OK</v>
      </c>
      <c r="T167" s="156" t="str">
        <f t="shared" si="51"/>
        <v>OK</v>
      </c>
      <c r="U167" s="156" t="str">
        <f t="shared" si="51"/>
        <v>OK</v>
      </c>
    </row>
    <row r="168" spans="2:21" hidden="1" outlineLevel="2">
      <c r="B168" s="149" t="s">
        <v>411</v>
      </c>
      <c r="C168" s="150" t="s">
        <v>411</v>
      </c>
      <c r="D168" s="163" t="s">
        <v>412</v>
      </c>
      <c r="E168" s="152" t="s">
        <v>57</v>
      </c>
      <c r="F168" s="153" t="s">
        <v>57</v>
      </c>
      <c r="G168" s="153" t="s">
        <v>57</v>
      </c>
      <c r="H168" s="154" t="s">
        <v>57</v>
      </c>
      <c r="I168" s="155" t="str">
        <f t="shared" ref="I168:U168" si="52">IF(I22&gt;=I66,"OK","BŁĄD")</f>
        <v>OK</v>
      </c>
      <c r="J168" s="155"/>
      <c r="K168" s="155"/>
      <c r="L168" s="156" t="str">
        <f t="shared" si="52"/>
        <v>OK</v>
      </c>
      <c r="M168" s="156" t="str">
        <f t="shared" si="52"/>
        <v>OK</v>
      </c>
      <c r="N168" s="156" t="str">
        <f t="shared" si="52"/>
        <v>OK</v>
      </c>
      <c r="O168" s="156" t="str">
        <f t="shared" si="52"/>
        <v>OK</v>
      </c>
      <c r="P168" s="156" t="str">
        <f t="shared" si="52"/>
        <v>OK</v>
      </c>
      <c r="Q168" s="156" t="str">
        <f t="shared" si="52"/>
        <v>OK</v>
      </c>
      <c r="R168" s="156" t="str">
        <f t="shared" si="52"/>
        <v>OK</v>
      </c>
      <c r="S168" s="156" t="str">
        <f t="shared" si="52"/>
        <v>OK</v>
      </c>
      <c r="T168" s="156" t="str">
        <f t="shared" si="52"/>
        <v>OK</v>
      </c>
      <c r="U168" s="156" t="str">
        <f t="shared" si="52"/>
        <v>OK</v>
      </c>
    </row>
    <row r="169" spans="2:21" hidden="1" outlineLevel="2">
      <c r="B169" s="149" t="s">
        <v>413</v>
      </c>
      <c r="C169" s="150" t="s">
        <v>413</v>
      </c>
      <c r="D169" s="163" t="s">
        <v>414</v>
      </c>
      <c r="E169" s="152" t="s">
        <v>57</v>
      </c>
      <c r="F169" s="153" t="s">
        <v>57</v>
      </c>
      <c r="G169" s="153" t="s">
        <v>57</v>
      </c>
      <c r="H169" s="154" t="s">
        <v>57</v>
      </c>
      <c r="I169" s="155" t="str">
        <f t="shared" ref="I169:U169" si="53">IF(I22&gt;=I69,"OK","BŁĄD")</f>
        <v>OK</v>
      </c>
      <c r="J169" s="155"/>
      <c r="K169" s="155"/>
      <c r="L169" s="156" t="str">
        <f t="shared" si="53"/>
        <v>OK</v>
      </c>
      <c r="M169" s="156" t="str">
        <f t="shared" si="53"/>
        <v>OK</v>
      </c>
      <c r="N169" s="156" t="str">
        <f t="shared" si="53"/>
        <v>OK</v>
      </c>
      <c r="O169" s="156" t="str">
        <f t="shared" si="53"/>
        <v>OK</v>
      </c>
      <c r="P169" s="156" t="str">
        <f t="shared" si="53"/>
        <v>OK</v>
      </c>
      <c r="Q169" s="156" t="str">
        <f t="shared" si="53"/>
        <v>OK</v>
      </c>
      <c r="R169" s="156" t="str">
        <f t="shared" si="53"/>
        <v>OK</v>
      </c>
      <c r="S169" s="156" t="str">
        <f t="shared" si="53"/>
        <v>OK</v>
      </c>
      <c r="T169" s="156" t="str">
        <f t="shared" si="53"/>
        <v>OK</v>
      </c>
      <c r="U169" s="156" t="str">
        <f t="shared" si="53"/>
        <v>OK</v>
      </c>
    </row>
    <row r="170" spans="2:21" hidden="1" outlineLevel="2">
      <c r="B170" s="149" t="s">
        <v>415</v>
      </c>
      <c r="C170" s="150" t="s">
        <v>415</v>
      </c>
      <c r="D170" s="163" t="s">
        <v>416</v>
      </c>
      <c r="E170" s="152" t="s">
        <v>57</v>
      </c>
      <c r="F170" s="153" t="s">
        <v>57</v>
      </c>
      <c r="G170" s="153" t="s">
        <v>57</v>
      </c>
      <c r="H170" s="154" t="s">
        <v>57</v>
      </c>
      <c r="I170" s="155" t="str">
        <f t="shared" ref="I170:U170" si="54">IF(I22&gt;=I81,"OK","BŁĄD")</f>
        <v>OK</v>
      </c>
      <c r="J170" s="155"/>
      <c r="K170" s="155"/>
      <c r="L170" s="156" t="str">
        <f t="shared" si="54"/>
        <v>OK</v>
      </c>
      <c r="M170" s="156" t="str">
        <f t="shared" si="54"/>
        <v>OK</v>
      </c>
      <c r="N170" s="156" t="str">
        <f t="shared" si="54"/>
        <v>OK</v>
      </c>
      <c r="O170" s="156" t="str">
        <f t="shared" si="54"/>
        <v>OK</v>
      </c>
      <c r="P170" s="156" t="str">
        <f t="shared" si="54"/>
        <v>OK</v>
      </c>
      <c r="Q170" s="156" t="str">
        <f t="shared" si="54"/>
        <v>OK</v>
      </c>
      <c r="R170" s="156" t="str">
        <f t="shared" si="54"/>
        <v>OK</v>
      </c>
      <c r="S170" s="156" t="str">
        <f t="shared" si="54"/>
        <v>OK</v>
      </c>
      <c r="T170" s="156" t="str">
        <f t="shared" si="54"/>
        <v>OK</v>
      </c>
      <c r="U170" s="156" t="str">
        <f t="shared" si="54"/>
        <v>OK</v>
      </c>
    </row>
    <row r="171" spans="2:21" hidden="1" outlineLevel="2">
      <c r="B171" s="149" t="s">
        <v>417</v>
      </c>
      <c r="C171" s="150" t="s">
        <v>417</v>
      </c>
      <c r="D171" s="163" t="s">
        <v>418</v>
      </c>
      <c r="E171" s="152" t="s">
        <v>57</v>
      </c>
      <c r="F171" s="153" t="s">
        <v>57</v>
      </c>
      <c r="G171" s="153" t="s">
        <v>57</v>
      </c>
      <c r="H171" s="154" t="s">
        <v>57</v>
      </c>
      <c r="I171" s="155" t="str">
        <f t="shared" ref="I171:U171" si="55">IF(I22&gt;=I102,"OK","BŁĄD")</f>
        <v>OK</v>
      </c>
      <c r="J171" s="155"/>
      <c r="K171" s="155"/>
      <c r="L171" s="156" t="str">
        <f t="shared" si="55"/>
        <v>OK</v>
      </c>
      <c r="M171" s="156" t="str">
        <f t="shared" si="55"/>
        <v>OK</v>
      </c>
      <c r="N171" s="156" t="str">
        <f t="shared" si="55"/>
        <v>OK</v>
      </c>
      <c r="O171" s="156" t="str">
        <f t="shared" si="55"/>
        <v>OK</v>
      </c>
      <c r="P171" s="156" t="str">
        <f t="shared" si="55"/>
        <v>OK</v>
      </c>
      <c r="Q171" s="156" t="str">
        <f t="shared" si="55"/>
        <v>OK</v>
      </c>
      <c r="R171" s="156" t="str">
        <f t="shared" si="55"/>
        <v>OK</v>
      </c>
      <c r="S171" s="156" t="str">
        <f t="shared" si="55"/>
        <v>OK</v>
      </c>
      <c r="T171" s="156" t="str">
        <f t="shared" si="55"/>
        <v>OK</v>
      </c>
      <c r="U171" s="156" t="str">
        <f t="shared" si="55"/>
        <v>OK</v>
      </c>
    </row>
    <row r="172" spans="2:21" hidden="1" outlineLevel="2">
      <c r="B172" s="149" t="s">
        <v>419</v>
      </c>
      <c r="C172" s="150" t="s">
        <v>419</v>
      </c>
      <c r="D172" s="163" t="s">
        <v>420</v>
      </c>
      <c r="E172" s="152" t="s">
        <v>57</v>
      </c>
      <c r="F172" s="153" t="s">
        <v>57</v>
      </c>
      <c r="G172" s="153" t="s">
        <v>57</v>
      </c>
      <c r="H172" s="154" t="s">
        <v>57</v>
      </c>
      <c r="I172" s="155" t="str">
        <f t="shared" ref="I172:U172" si="56">IF(I30&gt;=I70,"OK","BŁĄD")</f>
        <v>OK</v>
      </c>
      <c r="J172" s="155"/>
      <c r="K172" s="155"/>
      <c r="L172" s="156" t="str">
        <f t="shared" si="56"/>
        <v>OK</v>
      </c>
      <c r="M172" s="156" t="str">
        <f t="shared" si="56"/>
        <v>OK</v>
      </c>
      <c r="N172" s="156" t="str">
        <f t="shared" si="56"/>
        <v>OK</v>
      </c>
      <c r="O172" s="156" t="str">
        <f t="shared" si="56"/>
        <v>OK</v>
      </c>
      <c r="P172" s="156" t="str">
        <f t="shared" si="56"/>
        <v>OK</v>
      </c>
      <c r="Q172" s="156" t="str">
        <f t="shared" si="56"/>
        <v>OK</v>
      </c>
      <c r="R172" s="156" t="str">
        <f t="shared" si="56"/>
        <v>OK</v>
      </c>
      <c r="S172" s="156" t="str">
        <f t="shared" si="56"/>
        <v>OK</v>
      </c>
      <c r="T172" s="156" t="str">
        <f t="shared" si="56"/>
        <v>OK</v>
      </c>
      <c r="U172" s="156" t="str">
        <f t="shared" si="56"/>
        <v>OK</v>
      </c>
    </row>
    <row r="173" spans="2:21" hidden="1" outlineLevel="2">
      <c r="B173" s="149" t="s">
        <v>421</v>
      </c>
      <c r="C173" s="150" t="s">
        <v>421</v>
      </c>
      <c r="D173" s="163" t="s">
        <v>422</v>
      </c>
      <c r="E173" s="152" t="s">
        <v>57</v>
      </c>
      <c r="F173" s="153" t="s">
        <v>57</v>
      </c>
      <c r="G173" s="153" t="s">
        <v>57</v>
      </c>
      <c r="H173" s="154" t="s">
        <v>57</v>
      </c>
      <c r="I173" s="155" t="str">
        <f t="shared" ref="I173:U173" si="57">IF(I30&gt;=I71+I72,"OK","BŁĄD")</f>
        <v>OK</v>
      </c>
      <c r="J173" s="155"/>
      <c r="K173" s="155"/>
      <c r="L173" s="156" t="str">
        <f t="shared" si="57"/>
        <v>OK</v>
      </c>
      <c r="M173" s="156" t="str">
        <f t="shared" si="57"/>
        <v>OK</v>
      </c>
      <c r="N173" s="156" t="str">
        <f t="shared" si="57"/>
        <v>OK</v>
      </c>
      <c r="O173" s="156" t="str">
        <f t="shared" si="57"/>
        <v>OK</v>
      </c>
      <c r="P173" s="156" t="str">
        <f t="shared" si="57"/>
        <v>OK</v>
      </c>
      <c r="Q173" s="156" t="str">
        <f t="shared" si="57"/>
        <v>OK</v>
      </c>
      <c r="R173" s="156" t="str">
        <f t="shared" si="57"/>
        <v>OK</v>
      </c>
      <c r="S173" s="156" t="str">
        <f t="shared" si="57"/>
        <v>OK</v>
      </c>
      <c r="T173" s="156" t="str">
        <f t="shared" si="57"/>
        <v>OK</v>
      </c>
      <c r="U173" s="156" t="str">
        <f t="shared" si="57"/>
        <v>OK</v>
      </c>
    </row>
    <row r="174" spans="2:21" hidden="1" outlineLevel="2">
      <c r="B174" s="149" t="s">
        <v>423</v>
      </c>
      <c r="C174" s="150" t="s">
        <v>423</v>
      </c>
      <c r="D174" s="163" t="s">
        <v>424</v>
      </c>
      <c r="E174" s="152" t="s">
        <v>57</v>
      </c>
      <c r="F174" s="153" t="s">
        <v>57</v>
      </c>
      <c r="G174" s="153" t="s">
        <v>57</v>
      </c>
      <c r="H174" s="154" t="s">
        <v>57</v>
      </c>
      <c r="I174" s="155" t="str">
        <f t="shared" ref="I174:U174" si="58">IF(I30&gt;=I73,"OK","BŁĄD")</f>
        <v>OK</v>
      </c>
      <c r="J174" s="155"/>
      <c r="K174" s="155"/>
      <c r="L174" s="156" t="str">
        <f t="shared" si="58"/>
        <v>OK</v>
      </c>
      <c r="M174" s="156" t="str">
        <f t="shared" si="58"/>
        <v>OK</v>
      </c>
      <c r="N174" s="156" t="str">
        <f t="shared" si="58"/>
        <v>OK</v>
      </c>
      <c r="O174" s="156" t="str">
        <f t="shared" si="58"/>
        <v>OK</v>
      </c>
      <c r="P174" s="156" t="str">
        <f t="shared" si="58"/>
        <v>OK</v>
      </c>
      <c r="Q174" s="156" t="str">
        <f t="shared" si="58"/>
        <v>OK</v>
      </c>
      <c r="R174" s="156" t="str">
        <f t="shared" si="58"/>
        <v>OK</v>
      </c>
      <c r="S174" s="156" t="str">
        <f t="shared" si="58"/>
        <v>OK</v>
      </c>
      <c r="T174" s="156" t="str">
        <f t="shared" si="58"/>
        <v>OK</v>
      </c>
      <c r="U174" s="156" t="str">
        <f t="shared" si="58"/>
        <v>OK</v>
      </c>
    </row>
    <row r="175" spans="2:21" hidden="1" outlineLevel="2">
      <c r="B175" s="149" t="s">
        <v>425</v>
      </c>
      <c r="C175" s="150" t="s">
        <v>425</v>
      </c>
      <c r="D175" s="163" t="s">
        <v>426</v>
      </c>
      <c r="E175" s="152" t="s">
        <v>57</v>
      </c>
      <c r="F175" s="153" t="s">
        <v>57</v>
      </c>
      <c r="G175" s="153" t="s">
        <v>57</v>
      </c>
      <c r="H175" s="154" t="s">
        <v>57</v>
      </c>
      <c r="I175" s="155" t="str">
        <f t="shared" ref="I175:U175" si="59">IF(I30&gt;=I84,"OK","BŁĄD")</f>
        <v>OK</v>
      </c>
      <c r="J175" s="155"/>
      <c r="K175" s="155"/>
      <c r="L175" s="156" t="str">
        <f t="shared" si="59"/>
        <v>OK</v>
      </c>
      <c r="M175" s="156" t="str">
        <f t="shared" si="59"/>
        <v>OK</v>
      </c>
      <c r="N175" s="156" t="str">
        <f t="shared" si="59"/>
        <v>OK</v>
      </c>
      <c r="O175" s="156" t="str">
        <f t="shared" si="59"/>
        <v>OK</v>
      </c>
      <c r="P175" s="156" t="str">
        <f t="shared" si="59"/>
        <v>OK</v>
      </c>
      <c r="Q175" s="156" t="str">
        <f t="shared" si="59"/>
        <v>OK</v>
      </c>
      <c r="R175" s="156" t="str">
        <f t="shared" si="59"/>
        <v>OK</v>
      </c>
      <c r="S175" s="156" t="str">
        <f t="shared" si="59"/>
        <v>OK</v>
      </c>
      <c r="T175" s="156" t="str">
        <f t="shared" si="59"/>
        <v>OK</v>
      </c>
      <c r="U175" s="156" t="str">
        <f t="shared" si="59"/>
        <v>OK</v>
      </c>
    </row>
    <row r="176" spans="2:21" hidden="1" outlineLevel="2">
      <c r="B176" s="149" t="s">
        <v>427</v>
      </c>
      <c r="C176" s="150" t="s">
        <v>427</v>
      </c>
      <c r="D176" s="163" t="s">
        <v>428</v>
      </c>
      <c r="E176" s="152" t="s">
        <v>57</v>
      </c>
      <c r="F176" s="153" t="s">
        <v>57</v>
      </c>
      <c r="G176" s="153" t="s">
        <v>57</v>
      </c>
      <c r="H176" s="154" t="s">
        <v>57</v>
      </c>
      <c r="I176" s="155" t="str">
        <f t="shared" ref="I176:U176" si="60">IF(I33&gt;=I34,"OK","BŁĄD")</f>
        <v>OK</v>
      </c>
      <c r="J176" s="155"/>
      <c r="K176" s="155"/>
      <c r="L176" s="156" t="str">
        <f t="shared" si="60"/>
        <v>OK</v>
      </c>
      <c r="M176" s="156" t="str">
        <f t="shared" si="60"/>
        <v>OK</v>
      </c>
      <c r="N176" s="156" t="str">
        <f t="shared" si="60"/>
        <v>OK</v>
      </c>
      <c r="O176" s="156" t="str">
        <f t="shared" si="60"/>
        <v>OK</v>
      </c>
      <c r="P176" s="156" t="str">
        <f t="shared" si="60"/>
        <v>OK</v>
      </c>
      <c r="Q176" s="156" t="str">
        <f t="shared" si="60"/>
        <v>OK</v>
      </c>
      <c r="R176" s="156" t="str">
        <f t="shared" si="60"/>
        <v>OK</v>
      </c>
      <c r="S176" s="156" t="str">
        <f t="shared" si="60"/>
        <v>OK</v>
      </c>
      <c r="T176" s="156" t="str">
        <f t="shared" si="60"/>
        <v>OK</v>
      </c>
      <c r="U176" s="156" t="str">
        <f t="shared" si="60"/>
        <v>OK</v>
      </c>
    </row>
    <row r="177" spans="2:21" hidden="1" outlineLevel="2">
      <c r="B177" s="149" t="s">
        <v>429</v>
      </c>
      <c r="C177" s="150" t="s">
        <v>429</v>
      </c>
      <c r="D177" s="163" t="s">
        <v>430</v>
      </c>
      <c r="E177" s="152" t="s">
        <v>57</v>
      </c>
      <c r="F177" s="153" t="s">
        <v>57</v>
      </c>
      <c r="G177" s="153" t="s">
        <v>57</v>
      </c>
      <c r="H177" s="154" t="s">
        <v>57</v>
      </c>
      <c r="I177" s="155" t="str">
        <f t="shared" ref="I177:U177" si="61">IF(I35&gt;=I36,"OK","BŁĄD")</f>
        <v>OK</v>
      </c>
      <c r="J177" s="155"/>
      <c r="K177" s="155"/>
      <c r="L177" s="156" t="str">
        <f t="shared" si="61"/>
        <v>OK</v>
      </c>
      <c r="M177" s="156" t="str">
        <f t="shared" si="61"/>
        <v>OK</v>
      </c>
      <c r="N177" s="156" t="str">
        <f t="shared" si="61"/>
        <v>OK</v>
      </c>
      <c r="O177" s="156" t="str">
        <f t="shared" si="61"/>
        <v>OK</v>
      </c>
      <c r="P177" s="156" t="str">
        <f t="shared" si="61"/>
        <v>OK</v>
      </c>
      <c r="Q177" s="156" t="str">
        <f t="shared" si="61"/>
        <v>OK</v>
      </c>
      <c r="R177" s="156" t="str">
        <f t="shared" si="61"/>
        <v>OK</v>
      </c>
      <c r="S177" s="156" t="str">
        <f t="shared" si="61"/>
        <v>OK</v>
      </c>
      <c r="T177" s="156" t="str">
        <f t="shared" si="61"/>
        <v>OK</v>
      </c>
      <c r="U177" s="156" t="str">
        <f t="shared" si="61"/>
        <v>OK</v>
      </c>
    </row>
    <row r="178" spans="2:21" hidden="1" outlineLevel="2">
      <c r="B178" s="149" t="s">
        <v>431</v>
      </c>
      <c r="C178" s="150" t="s">
        <v>431</v>
      </c>
      <c r="D178" s="163" t="s">
        <v>432</v>
      </c>
      <c r="E178" s="152" t="s">
        <v>57</v>
      </c>
      <c r="F178" s="153" t="s">
        <v>57</v>
      </c>
      <c r="G178" s="153" t="s">
        <v>57</v>
      </c>
      <c r="H178" s="154" t="s">
        <v>57</v>
      </c>
      <c r="I178" s="155" t="str">
        <f t="shared" ref="I178:U178" si="62">IF(I37&gt;=I38,"OK","BŁĄD")</f>
        <v>OK</v>
      </c>
      <c r="J178" s="155"/>
      <c r="K178" s="155"/>
      <c r="L178" s="156" t="str">
        <f t="shared" si="62"/>
        <v>OK</v>
      </c>
      <c r="M178" s="156" t="str">
        <f t="shared" si="62"/>
        <v>OK</v>
      </c>
      <c r="N178" s="156" t="str">
        <f t="shared" si="62"/>
        <v>OK</v>
      </c>
      <c r="O178" s="156" t="str">
        <f t="shared" si="62"/>
        <v>OK</v>
      </c>
      <c r="P178" s="156" t="str">
        <f t="shared" si="62"/>
        <v>OK</v>
      </c>
      <c r="Q178" s="156" t="str">
        <f t="shared" si="62"/>
        <v>OK</v>
      </c>
      <c r="R178" s="156" t="str">
        <f t="shared" si="62"/>
        <v>OK</v>
      </c>
      <c r="S178" s="156" t="str">
        <f t="shared" si="62"/>
        <v>OK</v>
      </c>
      <c r="T178" s="156" t="str">
        <f t="shared" si="62"/>
        <v>OK</v>
      </c>
      <c r="U178" s="156" t="str">
        <f t="shared" si="62"/>
        <v>OK</v>
      </c>
    </row>
    <row r="179" spans="2:21" hidden="1" outlineLevel="2">
      <c r="B179" s="149" t="s">
        <v>433</v>
      </c>
      <c r="C179" s="150" t="s">
        <v>433</v>
      </c>
      <c r="D179" s="163" t="s">
        <v>434</v>
      </c>
      <c r="E179" s="152" t="s">
        <v>57</v>
      </c>
      <c r="F179" s="153" t="s">
        <v>57</v>
      </c>
      <c r="G179" s="153" t="s">
        <v>57</v>
      </c>
      <c r="H179" s="154" t="s">
        <v>57</v>
      </c>
      <c r="I179" s="155" t="str">
        <f t="shared" ref="I179:U179" si="63">IF(I39&gt;=I40,"OK","BŁĄD")</f>
        <v>OK</v>
      </c>
      <c r="J179" s="155"/>
      <c r="K179" s="155"/>
      <c r="L179" s="156" t="str">
        <f t="shared" si="63"/>
        <v>OK</v>
      </c>
      <c r="M179" s="156" t="str">
        <f t="shared" si="63"/>
        <v>OK</v>
      </c>
      <c r="N179" s="156" t="str">
        <f t="shared" si="63"/>
        <v>OK</v>
      </c>
      <c r="O179" s="156" t="str">
        <f t="shared" si="63"/>
        <v>OK</v>
      </c>
      <c r="P179" s="156" t="str">
        <f t="shared" si="63"/>
        <v>OK</v>
      </c>
      <c r="Q179" s="156" t="str">
        <f t="shared" si="63"/>
        <v>OK</v>
      </c>
      <c r="R179" s="156" t="str">
        <f t="shared" si="63"/>
        <v>OK</v>
      </c>
      <c r="S179" s="156" t="str">
        <f t="shared" si="63"/>
        <v>OK</v>
      </c>
      <c r="T179" s="156" t="str">
        <f t="shared" si="63"/>
        <v>OK</v>
      </c>
      <c r="U179" s="156" t="str">
        <f t="shared" si="63"/>
        <v>OK</v>
      </c>
    </row>
    <row r="180" spans="2:21" hidden="1" outlineLevel="2">
      <c r="B180" s="149" t="s">
        <v>435</v>
      </c>
      <c r="C180" s="150" t="s">
        <v>435</v>
      </c>
      <c r="D180" s="163" t="s">
        <v>436</v>
      </c>
      <c r="E180" s="152" t="s">
        <v>57</v>
      </c>
      <c r="F180" s="153" t="s">
        <v>57</v>
      </c>
      <c r="G180" s="153" t="s">
        <v>57</v>
      </c>
      <c r="H180" s="154" t="s">
        <v>57</v>
      </c>
      <c r="I180" s="155" t="str">
        <f t="shared" ref="I180:U180" si="64">IF(I42&gt;=I43,"OK","BŁĄD")</f>
        <v>OK</v>
      </c>
      <c r="J180" s="155"/>
      <c r="K180" s="155"/>
      <c r="L180" s="156" t="str">
        <f t="shared" si="64"/>
        <v>OK</v>
      </c>
      <c r="M180" s="156" t="str">
        <f t="shared" si="64"/>
        <v>OK</v>
      </c>
      <c r="N180" s="156" t="str">
        <f t="shared" si="64"/>
        <v>OK</v>
      </c>
      <c r="O180" s="156" t="str">
        <f t="shared" si="64"/>
        <v>OK</v>
      </c>
      <c r="P180" s="156" t="str">
        <f t="shared" si="64"/>
        <v>OK</v>
      </c>
      <c r="Q180" s="156" t="str">
        <f t="shared" si="64"/>
        <v>OK</v>
      </c>
      <c r="R180" s="156" t="str">
        <f t="shared" si="64"/>
        <v>OK</v>
      </c>
      <c r="S180" s="156" t="str">
        <f t="shared" si="64"/>
        <v>OK</v>
      </c>
      <c r="T180" s="156" t="str">
        <f t="shared" si="64"/>
        <v>OK</v>
      </c>
      <c r="U180" s="156" t="str">
        <f t="shared" si="64"/>
        <v>OK</v>
      </c>
    </row>
    <row r="181" spans="2:21" hidden="1" outlineLevel="2">
      <c r="B181" s="149" t="s">
        <v>437</v>
      </c>
      <c r="C181" s="150" t="s">
        <v>437</v>
      </c>
      <c r="D181" s="163" t="s">
        <v>438</v>
      </c>
      <c r="E181" s="152" t="s">
        <v>57</v>
      </c>
      <c r="F181" s="153" t="s">
        <v>57</v>
      </c>
      <c r="G181" s="153" t="s">
        <v>57</v>
      </c>
      <c r="H181" s="154" t="s">
        <v>57</v>
      </c>
      <c r="I181" s="155" t="str">
        <f t="shared" ref="I181:U181" si="65">IF(I42&gt;=I64,"OK","BŁĄD")</f>
        <v>OK</v>
      </c>
      <c r="J181" s="155"/>
      <c r="K181" s="155"/>
      <c r="L181" s="156" t="str">
        <f t="shared" si="65"/>
        <v>OK</v>
      </c>
      <c r="M181" s="156" t="str">
        <f t="shared" si="65"/>
        <v>OK</v>
      </c>
      <c r="N181" s="156" t="str">
        <f t="shared" si="65"/>
        <v>OK</v>
      </c>
      <c r="O181" s="156" t="str">
        <f t="shared" si="65"/>
        <v>OK</v>
      </c>
      <c r="P181" s="156" t="str">
        <f t="shared" si="65"/>
        <v>OK</v>
      </c>
      <c r="Q181" s="156" t="str">
        <f t="shared" si="65"/>
        <v>OK</v>
      </c>
      <c r="R181" s="156" t="str">
        <f t="shared" si="65"/>
        <v>OK</v>
      </c>
      <c r="S181" s="156" t="str">
        <f t="shared" si="65"/>
        <v>OK</v>
      </c>
      <c r="T181" s="156" t="str">
        <f t="shared" si="65"/>
        <v>OK</v>
      </c>
      <c r="U181" s="156" t="str">
        <f t="shared" si="65"/>
        <v>OK</v>
      </c>
    </row>
    <row r="182" spans="2:21" hidden="1" outlineLevel="2">
      <c r="B182" s="149" t="s">
        <v>439</v>
      </c>
      <c r="C182" s="150" t="s">
        <v>439</v>
      </c>
      <c r="D182" s="163" t="s">
        <v>440</v>
      </c>
      <c r="E182" s="152" t="s">
        <v>57</v>
      </c>
      <c r="F182" s="153" t="s">
        <v>57</v>
      </c>
      <c r="G182" s="153" t="s">
        <v>57</v>
      </c>
      <c r="H182" s="154" t="s">
        <v>57</v>
      </c>
      <c r="I182" s="155" t="str">
        <f t="shared" ref="I182:U182" si="66">IF(I42&gt;=I104,"OK","BŁĄD")</f>
        <v>OK</v>
      </c>
      <c r="J182" s="155"/>
      <c r="K182" s="155"/>
      <c r="L182" s="156" t="str">
        <f t="shared" si="66"/>
        <v>OK</v>
      </c>
      <c r="M182" s="156" t="str">
        <f t="shared" si="66"/>
        <v>OK</v>
      </c>
      <c r="N182" s="156" t="str">
        <f t="shared" si="66"/>
        <v>OK</v>
      </c>
      <c r="O182" s="156" t="str">
        <f t="shared" si="66"/>
        <v>OK</v>
      </c>
      <c r="P182" s="156" t="str">
        <f t="shared" si="66"/>
        <v>OK</v>
      </c>
      <c r="Q182" s="156" t="str">
        <f t="shared" si="66"/>
        <v>OK</v>
      </c>
      <c r="R182" s="156" t="str">
        <f t="shared" si="66"/>
        <v>OK</v>
      </c>
      <c r="S182" s="156" t="str">
        <f t="shared" si="66"/>
        <v>OK</v>
      </c>
      <c r="T182" s="156" t="str">
        <f t="shared" si="66"/>
        <v>OK</v>
      </c>
      <c r="U182" s="156" t="str">
        <f t="shared" si="66"/>
        <v>OK</v>
      </c>
    </row>
    <row r="183" spans="2:21" hidden="1" outlineLevel="2">
      <c r="B183" s="149" t="s">
        <v>441</v>
      </c>
      <c r="C183" s="150" t="s">
        <v>441</v>
      </c>
      <c r="D183" s="163" t="s">
        <v>442</v>
      </c>
      <c r="E183" s="152" t="s">
        <v>57</v>
      </c>
      <c r="F183" s="153" t="s">
        <v>57</v>
      </c>
      <c r="G183" s="153" t="s">
        <v>57</v>
      </c>
      <c r="H183" s="154" t="s">
        <v>57</v>
      </c>
      <c r="I183" s="155" t="str">
        <f t="shared" ref="I183:U183" si="67">IF(I48&gt;=I49,"OK","BŁĄD")</f>
        <v>OK</v>
      </c>
      <c r="J183" s="155"/>
      <c r="K183" s="155"/>
      <c r="L183" s="156" t="str">
        <f t="shared" si="67"/>
        <v>OK</v>
      </c>
      <c r="M183" s="156" t="str">
        <f t="shared" si="67"/>
        <v>OK</v>
      </c>
      <c r="N183" s="156" t="str">
        <f t="shared" si="67"/>
        <v>OK</v>
      </c>
      <c r="O183" s="156" t="str">
        <f t="shared" si="67"/>
        <v>OK</v>
      </c>
      <c r="P183" s="156" t="str">
        <f t="shared" si="67"/>
        <v>OK</v>
      </c>
      <c r="Q183" s="156" t="str">
        <f t="shared" si="67"/>
        <v>OK</v>
      </c>
      <c r="R183" s="156" t="str">
        <f t="shared" si="67"/>
        <v>OK</v>
      </c>
      <c r="S183" s="156" t="str">
        <f t="shared" si="67"/>
        <v>OK</v>
      </c>
      <c r="T183" s="156" t="str">
        <f t="shared" si="67"/>
        <v>OK</v>
      </c>
      <c r="U183" s="156" t="str">
        <f t="shared" si="67"/>
        <v>OK</v>
      </c>
    </row>
    <row r="184" spans="2:21" hidden="1" outlineLevel="2">
      <c r="B184" s="149" t="s">
        <v>443</v>
      </c>
      <c r="C184" s="150" t="s">
        <v>443</v>
      </c>
      <c r="D184" s="163" t="s">
        <v>444</v>
      </c>
      <c r="E184" s="152" t="s">
        <v>57</v>
      </c>
      <c r="F184" s="153" t="s">
        <v>57</v>
      </c>
      <c r="G184" s="153" t="s">
        <v>57</v>
      </c>
      <c r="H184" s="154" t="s">
        <v>57</v>
      </c>
      <c r="I184" s="155" t="str">
        <f t="shared" ref="I184:U184" si="68">IF(I48&gt;=I105,"OK","BŁĄD")</f>
        <v>OK</v>
      </c>
      <c r="J184" s="155"/>
      <c r="K184" s="155"/>
      <c r="L184" s="156" t="str">
        <f t="shared" si="68"/>
        <v>OK</v>
      </c>
      <c r="M184" s="156" t="str">
        <f t="shared" si="68"/>
        <v>OK</v>
      </c>
      <c r="N184" s="156" t="str">
        <f t="shared" si="68"/>
        <v>OK</v>
      </c>
      <c r="O184" s="156" t="str">
        <f t="shared" si="68"/>
        <v>OK</v>
      </c>
      <c r="P184" s="156" t="str">
        <f t="shared" si="68"/>
        <v>OK</v>
      </c>
      <c r="Q184" s="156" t="str">
        <f t="shared" si="68"/>
        <v>OK</v>
      </c>
      <c r="R184" s="156" t="str">
        <f t="shared" si="68"/>
        <v>OK</v>
      </c>
      <c r="S184" s="156" t="str">
        <f t="shared" si="68"/>
        <v>OK</v>
      </c>
      <c r="T184" s="156" t="str">
        <f t="shared" si="68"/>
        <v>OK</v>
      </c>
      <c r="U184" s="156" t="str">
        <f t="shared" si="68"/>
        <v>OK</v>
      </c>
    </row>
    <row r="185" spans="2:21" hidden="1" outlineLevel="2">
      <c r="B185" s="149" t="s">
        <v>445</v>
      </c>
      <c r="C185" s="150" t="s">
        <v>445</v>
      </c>
      <c r="D185" s="163" t="s">
        <v>446</v>
      </c>
      <c r="E185" s="152" t="s">
        <v>57</v>
      </c>
      <c r="F185" s="153" t="s">
        <v>57</v>
      </c>
      <c r="G185" s="153" t="s">
        <v>57</v>
      </c>
      <c r="H185" s="154" t="s">
        <v>57</v>
      </c>
      <c r="I185" s="155" t="str">
        <f t="shared" ref="I185:U185" si="69">IF(I49&gt;=I96,"OK","BŁĄD")</f>
        <v>OK</v>
      </c>
      <c r="J185" s="155"/>
      <c r="K185" s="155"/>
      <c r="L185" s="156" t="str">
        <f t="shared" si="69"/>
        <v>OK</v>
      </c>
      <c r="M185" s="156" t="str">
        <f t="shared" si="69"/>
        <v>OK</v>
      </c>
      <c r="N185" s="156" t="str">
        <f t="shared" si="69"/>
        <v>OK</v>
      </c>
      <c r="O185" s="156" t="str">
        <f t="shared" si="69"/>
        <v>OK</v>
      </c>
      <c r="P185" s="156" t="str">
        <f t="shared" si="69"/>
        <v>OK</v>
      </c>
      <c r="Q185" s="156" t="str">
        <f t="shared" si="69"/>
        <v>OK</v>
      </c>
      <c r="R185" s="156" t="str">
        <f t="shared" si="69"/>
        <v>OK</v>
      </c>
      <c r="S185" s="156" t="str">
        <f t="shared" si="69"/>
        <v>OK</v>
      </c>
      <c r="T185" s="156" t="str">
        <f t="shared" si="69"/>
        <v>OK</v>
      </c>
      <c r="U185" s="156" t="str">
        <f t="shared" si="69"/>
        <v>OK</v>
      </c>
    </row>
    <row r="186" spans="2:21" hidden="1" outlineLevel="2">
      <c r="B186" s="166" t="s">
        <v>447</v>
      </c>
      <c r="C186" s="167" t="s">
        <v>447</v>
      </c>
      <c r="D186" s="168" t="s">
        <v>448</v>
      </c>
      <c r="E186" s="169" t="s">
        <v>57</v>
      </c>
      <c r="F186" s="170" t="s">
        <v>57</v>
      </c>
      <c r="G186" s="170" t="s">
        <v>57</v>
      </c>
      <c r="H186" s="171" t="s">
        <v>57</v>
      </c>
      <c r="I186" s="172" t="str">
        <f t="shared" ref="I186:U186" si="70">IF(I26&lt;&gt;0,IF(I27&lt;&gt;0,"OK","BŁĄD"),"N/D")</f>
        <v>OK</v>
      </c>
      <c r="J186" s="172"/>
      <c r="K186" s="172"/>
      <c r="L186" s="173" t="str">
        <f t="shared" si="70"/>
        <v>OK</v>
      </c>
      <c r="M186" s="173" t="str">
        <f t="shared" si="70"/>
        <v>OK</v>
      </c>
      <c r="N186" s="173" t="str">
        <f t="shared" si="70"/>
        <v>OK</v>
      </c>
      <c r="O186" s="173" t="str">
        <f t="shared" si="70"/>
        <v>OK</v>
      </c>
      <c r="P186" s="173" t="str">
        <f t="shared" si="70"/>
        <v>OK</v>
      </c>
      <c r="Q186" s="173" t="str">
        <f t="shared" si="70"/>
        <v>OK</v>
      </c>
      <c r="R186" s="173" t="str">
        <f t="shared" si="70"/>
        <v>OK</v>
      </c>
      <c r="S186" s="173" t="str">
        <f t="shared" si="70"/>
        <v>OK</v>
      </c>
      <c r="T186" s="173" t="str">
        <f t="shared" si="70"/>
        <v>OK</v>
      </c>
      <c r="U186" s="173" t="str">
        <f t="shared" si="70"/>
        <v>OK</v>
      </c>
    </row>
    <row r="187" spans="2:21" hidden="1" outlineLevel="2">
      <c r="B187" s="174"/>
      <c r="C187" s="174"/>
      <c r="D187" s="174"/>
      <c r="E187" s="175"/>
      <c r="F187" s="175"/>
      <c r="G187" s="175"/>
      <c r="H187" s="175"/>
      <c r="I187" s="176"/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</row>
    <row r="188" spans="2:21" hidden="1" outlineLevel="1">
      <c r="B188" s="174"/>
      <c r="C188" s="174"/>
      <c r="D188" s="140" t="s">
        <v>449</v>
      </c>
      <c r="E188" s="175"/>
      <c r="F188" s="175"/>
      <c r="G188" s="175"/>
      <c r="H188" s="175"/>
      <c r="I188" s="176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</row>
    <row r="189" spans="2:21" ht="15" hidden="1" outlineLevel="2">
      <c r="B189" s="177"/>
      <c r="C189" s="178"/>
      <c r="D189" s="179" t="s">
        <v>450</v>
      </c>
      <c r="E189" s="180">
        <f t="shared" ref="E189:U189" si="71">E11+E18</f>
        <v>57149784.269999996</v>
      </c>
      <c r="F189" s="181">
        <f t="shared" si="71"/>
        <v>50415914.880000003</v>
      </c>
      <c r="G189" s="181">
        <f t="shared" si="71"/>
        <v>51266465.970000006</v>
      </c>
      <c r="H189" s="182">
        <f t="shared" si="71"/>
        <v>53777393.990000002</v>
      </c>
      <c r="I189" s="183">
        <f t="shared" si="71"/>
        <v>50784842.049999997</v>
      </c>
      <c r="J189" s="183"/>
      <c r="K189" s="183"/>
      <c r="L189" s="184">
        <f t="shared" si="71"/>
        <v>50398903.5</v>
      </c>
      <c r="M189" s="184">
        <f t="shared" si="71"/>
        <v>51516470.659999996</v>
      </c>
      <c r="N189" s="184">
        <f t="shared" si="71"/>
        <v>51982525.979999997</v>
      </c>
      <c r="O189" s="184">
        <f t="shared" si="71"/>
        <v>53482454.43</v>
      </c>
      <c r="P189" s="184">
        <f t="shared" si="71"/>
        <v>55102550</v>
      </c>
      <c r="Q189" s="184">
        <f t="shared" si="71"/>
        <v>56752647</v>
      </c>
      <c r="R189" s="184">
        <f t="shared" si="71"/>
        <v>58435180</v>
      </c>
      <c r="S189" s="184">
        <f t="shared" si="71"/>
        <v>60228727</v>
      </c>
      <c r="T189" s="184">
        <f t="shared" si="71"/>
        <v>61551372</v>
      </c>
      <c r="U189" s="184">
        <f t="shared" si="71"/>
        <v>62805020</v>
      </c>
    </row>
    <row r="190" spans="2:21" ht="15" hidden="1" outlineLevel="2">
      <c r="B190" s="177"/>
      <c r="C190" s="178"/>
      <c r="D190" s="185" t="s">
        <v>451</v>
      </c>
      <c r="E190" s="186">
        <f t="shared" ref="E190:U190" si="72">E22+E30</f>
        <v>57174534.859999999</v>
      </c>
      <c r="F190" s="187">
        <f t="shared" si="72"/>
        <v>56363522.75</v>
      </c>
      <c r="G190" s="187">
        <f t="shared" si="72"/>
        <v>52276915.990000002</v>
      </c>
      <c r="H190" s="188">
        <f t="shared" si="72"/>
        <v>51136717.32</v>
      </c>
      <c r="I190" s="189">
        <f t="shared" si="72"/>
        <v>50960042.049999997</v>
      </c>
      <c r="J190" s="189"/>
      <c r="K190" s="189"/>
      <c r="L190" s="190">
        <f t="shared" si="72"/>
        <v>48722103.5</v>
      </c>
      <c r="M190" s="190">
        <f t="shared" si="72"/>
        <v>49839670.659999996</v>
      </c>
      <c r="N190" s="190">
        <f t="shared" si="72"/>
        <v>50305725.979999997</v>
      </c>
      <c r="O190" s="190">
        <f t="shared" si="72"/>
        <v>51805654.43</v>
      </c>
      <c r="P190" s="190">
        <f t="shared" si="72"/>
        <v>54157750</v>
      </c>
      <c r="Q190" s="190">
        <f t="shared" si="72"/>
        <v>55807847</v>
      </c>
      <c r="R190" s="190">
        <f t="shared" si="72"/>
        <v>57490380</v>
      </c>
      <c r="S190" s="190">
        <f t="shared" si="72"/>
        <v>59283727</v>
      </c>
      <c r="T190" s="190">
        <f t="shared" si="72"/>
        <v>61026372</v>
      </c>
      <c r="U190" s="190">
        <f t="shared" si="72"/>
        <v>62393418.759999998</v>
      </c>
    </row>
    <row r="191" spans="2:21" ht="15" hidden="1" outlineLevel="2">
      <c r="B191" s="177"/>
      <c r="C191" s="178"/>
      <c r="D191" s="185" t="s">
        <v>452</v>
      </c>
      <c r="E191" s="186">
        <f t="shared" ref="E191:U191" si="73">E10-E21</f>
        <v>-24750.589999996126</v>
      </c>
      <c r="F191" s="187">
        <f t="shared" si="73"/>
        <v>-5947607.8699999973</v>
      </c>
      <c r="G191" s="187">
        <f t="shared" si="73"/>
        <v>-1010450.0200000033</v>
      </c>
      <c r="H191" s="188">
        <f t="shared" si="73"/>
        <v>2640676.6700000018</v>
      </c>
      <c r="I191" s="189">
        <f t="shared" si="73"/>
        <v>-175200</v>
      </c>
      <c r="J191" s="189"/>
      <c r="K191" s="189"/>
      <c r="L191" s="190">
        <f t="shared" si="73"/>
        <v>1676800</v>
      </c>
      <c r="M191" s="190">
        <f t="shared" si="73"/>
        <v>1676800</v>
      </c>
      <c r="N191" s="190">
        <f t="shared" si="73"/>
        <v>1676800</v>
      </c>
      <c r="O191" s="190">
        <f t="shared" si="73"/>
        <v>1676800</v>
      </c>
      <c r="P191" s="190">
        <f t="shared" si="73"/>
        <v>944800</v>
      </c>
      <c r="Q191" s="190">
        <f t="shared" si="73"/>
        <v>944800</v>
      </c>
      <c r="R191" s="190">
        <f t="shared" si="73"/>
        <v>944800</v>
      </c>
      <c r="S191" s="190">
        <f t="shared" si="73"/>
        <v>945000</v>
      </c>
      <c r="T191" s="190">
        <f t="shared" si="73"/>
        <v>525000</v>
      </c>
      <c r="U191" s="190">
        <f t="shared" si="73"/>
        <v>411601.24000000209</v>
      </c>
    </row>
    <row r="192" spans="2:21" ht="15" hidden="1" outlineLevel="2">
      <c r="B192" s="177"/>
      <c r="C192" s="178"/>
      <c r="D192" s="191" t="s">
        <v>453</v>
      </c>
      <c r="E192" s="192" t="s">
        <v>57</v>
      </c>
      <c r="F192" s="187">
        <f>E48+F37-F42+(F105-E105)+F110</f>
        <v>13504551.220000001</v>
      </c>
      <c r="G192" s="193" t="s">
        <v>57</v>
      </c>
      <c r="H192" s="188">
        <f>F48+H37-H42+(H105-F105)+H110</f>
        <v>13100001.24</v>
      </c>
      <c r="I192" s="189">
        <f t="shared" ref="I192:U192" si="74">H48+I37-I42+(I105-H105)+I110</f>
        <v>11423201.24</v>
      </c>
      <c r="J192" s="189"/>
      <c r="K192" s="189"/>
      <c r="L192" s="190">
        <f>I48+L37-L42+(L105-I105)+L110</f>
        <v>9746401.2400000002</v>
      </c>
      <c r="M192" s="190">
        <f t="shared" si="74"/>
        <v>8069601.2400000002</v>
      </c>
      <c r="N192" s="190">
        <f t="shared" si="74"/>
        <v>6392801.2400000002</v>
      </c>
      <c r="O192" s="190">
        <f t="shared" si="74"/>
        <v>4716001.24</v>
      </c>
      <c r="P192" s="190">
        <f t="shared" si="74"/>
        <v>3771201.24</v>
      </c>
      <c r="Q192" s="190">
        <f t="shared" si="74"/>
        <v>2826401.24</v>
      </c>
      <c r="R192" s="190">
        <f t="shared" si="74"/>
        <v>1881601.2400000002</v>
      </c>
      <c r="S192" s="190">
        <f t="shared" si="74"/>
        <v>936601.24</v>
      </c>
      <c r="T192" s="190">
        <f t="shared" si="74"/>
        <v>411601.24</v>
      </c>
      <c r="U192" s="190">
        <f t="shared" si="74"/>
        <v>0</v>
      </c>
    </row>
    <row r="193" spans="2:21" ht="24" hidden="1" outlineLevel="2">
      <c r="B193" s="177"/>
      <c r="C193" s="178"/>
      <c r="D193" s="194" t="s">
        <v>454</v>
      </c>
      <c r="E193" s="195" t="s">
        <v>57</v>
      </c>
      <c r="F193" s="196">
        <f>E96-(F98+F99+F100+F101)</f>
        <v>0</v>
      </c>
      <c r="G193" s="197" t="s">
        <v>57</v>
      </c>
      <c r="H193" s="198">
        <f>F96-(H98+H99+H100+H101)</f>
        <v>0</v>
      </c>
      <c r="I193" s="199">
        <f t="shared" ref="I193:U193" si="75">H96-(I98+I99+I100+I101)</f>
        <v>0</v>
      </c>
      <c r="J193" s="199"/>
      <c r="K193" s="199"/>
      <c r="L193" s="200">
        <f>I96-(L98+L99+L100+L101)</f>
        <v>0</v>
      </c>
      <c r="M193" s="200">
        <f t="shared" si="75"/>
        <v>0</v>
      </c>
      <c r="N193" s="200">
        <f t="shared" si="75"/>
        <v>0</v>
      </c>
      <c r="O193" s="200">
        <f t="shared" si="75"/>
        <v>0</v>
      </c>
      <c r="P193" s="200">
        <f t="shared" si="75"/>
        <v>0</v>
      </c>
      <c r="Q193" s="200">
        <f t="shared" si="75"/>
        <v>0</v>
      </c>
      <c r="R193" s="200">
        <f t="shared" si="75"/>
        <v>0</v>
      </c>
      <c r="S193" s="200">
        <f t="shared" si="75"/>
        <v>0</v>
      </c>
      <c r="T193" s="200">
        <f t="shared" si="75"/>
        <v>0</v>
      </c>
      <c r="U193" s="200">
        <f t="shared" si="75"/>
        <v>0</v>
      </c>
    </row>
    <row r="194" spans="2:21" hidden="1">
      <c r="E194" s="201"/>
      <c r="F194" s="201"/>
      <c r="G194" s="201"/>
      <c r="H194" s="201"/>
    </row>
    <row r="195" spans="2:21" hidden="1"/>
    <row r="196" spans="2:21" hidden="1"/>
    <row r="197" spans="2:21" hidden="1"/>
    <row r="198" spans="2:21" hidden="1"/>
    <row r="199" spans="2:21" hidden="1"/>
    <row r="200" spans="2:21" hidden="1"/>
    <row r="201" spans="2:21" hidden="1"/>
    <row r="202" spans="2:21" hidden="1"/>
    <row r="203" spans="2:21" hidden="1"/>
    <row r="204" spans="2:21" hidden="1"/>
  </sheetData>
  <sheetProtection formatCells="0" formatColumns="0" formatRows="0" insertColumns="0" deleteColumns="0"/>
  <autoFilter ref="A9:A110"/>
  <mergeCells count="1">
    <mergeCell ref="E8:F8"/>
  </mergeCells>
  <conditionalFormatting sqref="I61:U62">
    <cfRule type="expression" dxfId="3" priority="4" stopIfTrue="1">
      <formula>LEFT(I61,3)="Nie"</formula>
    </cfRule>
  </conditionalFormatting>
  <conditionalFormatting sqref="I133:U133">
    <cfRule type="cellIs" dxfId="2" priority="3" stopIfTrue="1" operator="between">
      <formula>0</formula>
      <formula>1000000000000</formula>
    </cfRule>
  </conditionalFormatting>
  <conditionalFormatting sqref="I134:U136">
    <cfRule type="cellIs" dxfId="1" priority="2" stopIfTrue="1" operator="between">
      <formula>-1000000000000</formula>
      <formula>1000000000000</formula>
    </cfRule>
  </conditionalFormatting>
  <conditionalFormatting sqref="I131:U132">
    <cfRule type="cellIs" dxfId="0" priority="1" stopIfTrue="1" operator="between">
      <formula>-1000000000000</formula>
      <formula>1000000000000</formula>
    </cfRule>
  </conditionalFormatting>
  <pageMargins left="0.51181102362204722" right="0.51181102362204722" top="0.47244094488188981" bottom="0.47244094488188981" header="0.31496062992125984" footer="0.31496062992125984"/>
  <pageSetup paperSize="9" scale="65" orientation="landscape" blackAndWhite="1" r:id="rId1"/>
  <headerFooter>
    <oddFooter>Strona &amp;P z &amp;N</oddFooter>
  </headerFooter>
  <rowBreaks count="2" manualBreakCount="2">
    <brk id="52" min="1" max="37" man="1"/>
    <brk id="86" min="1" max="3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tabSelected="1" topLeftCell="A4" zoomScaleNormal="100" workbookViewId="0">
      <selection activeCell="G28" sqref="G28"/>
    </sheetView>
  </sheetViews>
  <sheetFormatPr defaultRowHeight="12.75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8" width="10.85546875" style="1" customWidth="1"/>
    <col min="9" max="9" width="9.140625" style="1" customWidth="1"/>
    <col min="10" max="10" width="10.7109375" style="1" customWidth="1"/>
    <col min="11" max="11" width="10.42578125" style="1" customWidth="1"/>
    <col min="12" max="12" width="10.5703125" style="1" customWidth="1"/>
    <col min="13" max="13" width="11.42578125" style="1" customWidth="1"/>
    <col min="14" max="16384" width="9.140625" style="1"/>
  </cols>
  <sheetData>
    <row r="2" spans="1:13">
      <c r="A2" s="2" t="s">
        <v>457</v>
      </c>
    </row>
    <row r="3" spans="1:13">
      <c r="A3" s="2"/>
      <c r="B3" s="2"/>
    </row>
    <row r="4" spans="1:13" ht="15.75">
      <c r="A4" s="3" t="s">
        <v>39</v>
      </c>
      <c r="B4" s="4"/>
      <c r="C4" s="4"/>
      <c r="D4" s="4"/>
      <c r="E4" s="4"/>
      <c r="F4" s="4"/>
    </row>
    <row r="5" spans="1:13" ht="12.75" customHeight="1">
      <c r="A5" s="321" t="s">
        <v>0</v>
      </c>
      <c r="B5" s="321" t="s">
        <v>1</v>
      </c>
      <c r="C5" s="323" t="s">
        <v>2</v>
      </c>
      <c r="D5" s="315" t="s">
        <v>3</v>
      </c>
      <c r="E5" s="317"/>
      <c r="F5" s="323" t="s">
        <v>4</v>
      </c>
      <c r="G5" s="318" t="s">
        <v>5</v>
      </c>
      <c r="H5" s="319"/>
      <c r="I5" s="319"/>
      <c r="J5" s="319"/>
      <c r="K5" s="319"/>
      <c r="L5" s="320"/>
      <c r="M5" s="313" t="s">
        <v>6</v>
      </c>
    </row>
    <row r="6" spans="1:13" ht="21.75" customHeight="1">
      <c r="A6" s="322"/>
      <c r="B6" s="322"/>
      <c r="C6" s="324"/>
      <c r="D6" s="5" t="s">
        <v>7</v>
      </c>
      <c r="E6" s="5" t="s">
        <v>8</v>
      </c>
      <c r="F6" s="324"/>
      <c r="G6" s="202">
        <v>2015</v>
      </c>
      <c r="H6" s="215" t="s">
        <v>455</v>
      </c>
      <c r="I6" s="216" t="s">
        <v>456</v>
      </c>
      <c r="J6" s="209">
        <v>2016</v>
      </c>
      <c r="K6" s="5">
        <v>2017</v>
      </c>
      <c r="L6" s="5">
        <v>2018</v>
      </c>
      <c r="M6" s="314"/>
    </row>
    <row r="7" spans="1:13">
      <c r="A7" s="6" t="s">
        <v>9</v>
      </c>
      <c r="B7" s="6" t="s">
        <v>10</v>
      </c>
      <c r="C7" s="6" t="s">
        <v>11</v>
      </c>
      <c r="D7" s="6" t="s">
        <v>12</v>
      </c>
      <c r="E7" s="6" t="s">
        <v>13</v>
      </c>
      <c r="F7" s="6" t="s">
        <v>14</v>
      </c>
      <c r="G7" s="203" t="s">
        <v>15</v>
      </c>
      <c r="H7" s="217"/>
      <c r="I7" s="255"/>
      <c r="J7" s="210" t="s">
        <v>16</v>
      </c>
      <c r="K7" s="7" t="s">
        <v>17</v>
      </c>
      <c r="L7" s="7" t="s">
        <v>18</v>
      </c>
      <c r="M7" s="7">
        <v>11</v>
      </c>
    </row>
    <row r="8" spans="1:13">
      <c r="A8" s="8"/>
      <c r="B8" s="290" t="s">
        <v>19</v>
      </c>
      <c r="C8" s="291"/>
      <c r="D8" s="291"/>
      <c r="E8" s="292"/>
      <c r="F8" s="9">
        <f>F9+F10</f>
        <v>1791371.31</v>
      </c>
      <c r="G8" s="204">
        <f t="shared" ref="G8:J8" si="0">G9+G10</f>
        <v>1086528.0899999999</v>
      </c>
      <c r="H8" s="218">
        <f t="shared" si="0"/>
        <v>1036528.09</v>
      </c>
      <c r="I8" s="256">
        <f>H8/G8</f>
        <v>0.95398186161942677</v>
      </c>
      <c r="J8" s="211">
        <f t="shared" si="0"/>
        <v>256152</v>
      </c>
      <c r="K8" s="9">
        <f t="shared" ref="K8:M8" si="1">K9+K10</f>
        <v>0</v>
      </c>
      <c r="L8" s="9">
        <f t="shared" si="1"/>
        <v>0</v>
      </c>
      <c r="M8" s="9">
        <f t="shared" si="1"/>
        <v>50000</v>
      </c>
    </row>
    <row r="9" spans="1:13">
      <c r="A9" s="10" t="s">
        <v>20</v>
      </c>
      <c r="B9" s="310" t="s">
        <v>21</v>
      </c>
      <c r="C9" s="311"/>
      <c r="D9" s="311"/>
      <c r="E9" s="312"/>
      <c r="F9" s="11">
        <f>F12</f>
        <v>0</v>
      </c>
      <c r="G9" s="205">
        <f t="shared" ref="G9:J9" si="2">G12</f>
        <v>0</v>
      </c>
      <c r="H9" s="219">
        <f t="shared" si="2"/>
        <v>0</v>
      </c>
      <c r="I9" s="261" t="str">
        <f t="shared" si="2"/>
        <v>x</v>
      </c>
      <c r="J9" s="212">
        <f t="shared" si="2"/>
        <v>0</v>
      </c>
      <c r="K9" s="11">
        <f t="shared" ref="K9:M9" si="3">K12</f>
        <v>0</v>
      </c>
      <c r="L9" s="11">
        <f t="shared" si="3"/>
        <v>0</v>
      </c>
      <c r="M9" s="11">
        <f t="shared" si="3"/>
        <v>0</v>
      </c>
    </row>
    <row r="10" spans="1:13">
      <c r="A10" s="10" t="s">
        <v>22</v>
      </c>
      <c r="B10" s="310" t="s">
        <v>23</v>
      </c>
      <c r="C10" s="311"/>
      <c r="D10" s="311"/>
      <c r="E10" s="312"/>
      <c r="F10" s="11">
        <f>F13+F15</f>
        <v>1791371.31</v>
      </c>
      <c r="G10" s="205">
        <f t="shared" ref="G10:M10" si="4">G13+G15</f>
        <v>1086528.0899999999</v>
      </c>
      <c r="H10" s="219">
        <f t="shared" si="4"/>
        <v>1036528.09</v>
      </c>
      <c r="I10" s="257">
        <f>H10/G10</f>
        <v>0.95398186161942677</v>
      </c>
      <c r="J10" s="212">
        <f t="shared" si="4"/>
        <v>256152</v>
      </c>
      <c r="K10" s="11">
        <f t="shared" si="4"/>
        <v>0</v>
      </c>
      <c r="L10" s="11">
        <f t="shared" si="4"/>
        <v>0</v>
      </c>
      <c r="M10" s="11">
        <f t="shared" si="4"/>
        <v>50000</v>
      </c>
    </row>
    <row r="11" spans="1:13" ht="51.75" customHeight="1">
      <c r="A11" s="10" t="s">
        <v>24</v>
      </c>
      <c r="B11" s="315" t="s">
        <v>25</v>
      </c>
      <c r="C11" s="316"/>
      <c r="D11" s="316"/>
      <c r="E11" s="317"/>
      <c r="F11" s="9">
        <v>0</v>
      </c>
      <c r="G11" s="204">
        <v>0</v>
      </c>
      <c r="H11" s="220"/>
      <c r="I11" s="256"/>
      <c r="J11" s="211">
        <v>0</v>
      </c>
      <c r="K11" s="9">
        <f t="shared" ref="K11:L11" si="5">K12+K13</f>
        <v>0</v>
      </c>
      <c r="L11" s="9">
        <f t="shared" si="5"/>
        <v>0</v>
      </c>
      <c r="M11" s="9">
        <v>0</v>
      </c>
    </row>
    <row r="12" spans="1:13">
      <c r="A12" s="10" t="s">
        <v>26</v>
      </c>
      <c r="B12" s="310" t="s">
        <v>21</v>
      </c>
      <c r="C12" s="311"/>
      <c r="D12" s="311"/>
      <c r="E12" s="312"/>
      <c r="F12" s="11">
        <v>0</v>
      </c>
      <c r="G12" s="205">
        <v>0</v>
      </c>
      <c r="H12" s="221">
        <v>0</v>
      </c>
      <c r="I12" s="261" t="s">
        <v>57</v>
      </c>
      <c r="J12" s="212">
        <v>0</v>
      </c>
      <c r="K12" s="11">
        <v>0</v>
      </c>
      <c r="L12" s="11">
        <v>0</v>
      </c>
      <c r="M12" s="11">
        <v>0</v>
      </c>
    </row>
    <row r="13" spans="1:13">
      <c r="A13" s="10" t="s">
        <v>27</v>
      </c>
      <c r="B13" s="310" t="s">
        <v>23</v>
      </c>
      <c r="C13" s="311"/>
      <c r="D13" s="311"/>
      <c r="E13" s="312"/>
      <c r="F13" s="11">
        <v>0</v>
      </c>
      <c r="G13" s="205">
        <v>0</v>
      </c>
      <c r="H13" s="221">
        <v>0</v>
      </c>
      <c r="I13" s="261" t="s">
        <v>57</v>
      </c>
      <c r="J13" s="212">
        <v>0</v>
      </c>
      <c r="K13" s="11">
        <v>0</v>
      </c>
      <c r="L13" s="11">
        <f t="shared" ref="L13" si="6">L15+L14</f>
        <v>0</v>
      </c>
      <c r="M13" s="11">
        <v>0</v>
      </c>
    </row>
    <row r="14" spans="1:13" ht="27.75" customHeight="1">
      <c r="A14" s="10" t="s">
        <v>29</v>
      </c>
      <c r="B14" s="290" t="s">
        <v>30</v>
      </c>
      <c r="C14" s="291"/>
      <c r="D14" s="291"/>
      <c r="E14" s="292"/>
      <c r="F14" s="9">
        <v>0</v>
      </c>
      <c r="G14" s="204">
        <v>0</v>
      </c>
      <c r="H14" s="218">
        <v>0</v>
      </c>
      <c r="I14" s="262" t="s">
        <v>57</v>
      </c>
      <c r="J14" s="211">
        <v>0</v>
      </c>
      <c r="K14" s="9">
        <v>0</v>
      </c>
      <c r="L14" s="9">
        <v>0</v>
      </c>
      <c r="M14" s="9">
        <v>0</v>
      </c>
    </row>
    <row r="15" spans="1:13" ht="36.75" customHeight="1">
      <c r="A15" s="10" t="s">
        <v>31</v>
      </c>
      <c r="B15" s="290" t="s">
        <v>32</v>
      </c>
      <c r="C15" s="291"/>
      <c r="D15" s="291"/>
      <c r="E15" s="292"/>
      <c r="F15" s="9">
        <f>F17</f>
        <v>1791371.31</v>
      </c>
      <c r="G15" s="204">
        <f t="shared" ref="G15:M15" si="7">G17</f>
        <v>1086528.0899999999</v>
      </c>
      <c r="H15" s="218">
        <f t="shared" si="7"/>
        <v>1036528.09</v>
      </c>
      <c r="I15" s="256">
        <f>H15/G15</f>
        <v>0.95398186161942677</v>
      </c>
      <c r="J15" s="211">
        <f t="shared" si="7"/>
        <v>256152</v>
      </c>
      <c r="K15" s="9">
        <f t="shared" si="7"/>
        <v>0</v>
      </c>
      <c r="L15" s="9">
        <f t="shared" si="7"/>
        <v>0</v>
      </c>
      <c r="M15" s="9">
        <f t="shared" si="7"/>
        <v>50000</v>
      </c>
    </row>
    <row r="16" spans="1:13" ht="14.25" customHeight="1">
      <c r="A16" s="18" t="s">
        <v>33</v>
      </c>
      <c r="B16" s="22" t="s">
        <v>21</v>
      </c>
      <c r="C16" s="19"/>
      <c r="D16" s="19"/>
      <c r="E16" s="20"/>
      <c r="F16" s="21">
        <v>0</v>
      </c>
      <c r="G16" s="206">
        <v>0</v>
      </c>
      <c r="H16" s="222">
        <v>0</v>
      </c>
      <c r="I16" s="263" t="s">
        <v>57</v>
      </c>
      <c r="J16" s="213">
        <v>0</v>
      </c>
      <c r="K16" s="21">
        <v>0</v>
      </c>
      <c r="L16" s="21">
        <v>0</v>
      </c>
      <c r="M16" s="21">
        <v>0</v>
      </c>
    </row>
    <row r="17" spans="1:13" ht="18.75" customHeight="1">
      <c r="A17" s="18" t="s">
        <v>40</v>
      </c>
      <c r="B17" s="22" t="s">
        <v>23</v>
      </c>
      <c r="C17" s="19"/>
      <c r="D17" s="19"/>
      <c r="E17" s="20"/>
      <c r="F17" s="21">
        <f>F18+F19+F24</f>
        <v>1791371.31</v>
      </c>
      <c r="G17" s="206">
        <f t="shared" ref="G17:M17" si="8">G18+G19+G24</f>
        <v>1086528.0899999999</v>
      </c>
      <c r="H17" s="222">
        <f t="shared" si="8"/>
        <v>1036528.09</v>
      </c>
      <c r="I17" s="258">
        <f>H17/G17</f>
        <v>0.95398186161942677</v>
      </c>
      <c r="J17" s="213">
        <f t="shared" si="8"/>
        <v>256152</v>
      </c>
      <c r="K17" s="21">
        <f t="shared" si="8"/>
        <v>0</v>
      </c>
      <c r="L17" s="21">
        <f t="shared" si="8"/>
        <v>0</v>
      </c>
      <c r="M17" s="21">
        <f t="shared" si="8"/>
        <v>50000</v>
      </c>
    </row>
    <row r="18" spans="1:13" ht="36.75" customHeight="1">
      <c r="A18" s="18" t="s">
        <v>41</v>
      </c>
      <c r="B18" s="25" t="s">
        <v>42</v>
      </c>
      <c r="C18" s="26" t="s">
        <v>28</v>
      </c>
      <c r="D18" s="26">
        <v>2014</v>
      </c>
      <c r="E18" s="26">
        <v>2015</v>
      </c>
      <c r="F18" s="23">
        <v>97691.22</v>
      </c>
      <c r="G18" s="207">
        <v>50000</v>
      </c>
      <c r="H18" s="223">
        <v>0</v>
      </c>
      <c r="I18" s="259">
        <v>0</v>
      </c>
      <c r="J18" s="213"/>
      <c r="K18" s="21"/>
      <c r="L18" s="21"/>
      <c r="M18" s="23">
        <v>50000</v>
      </c>
    </row>
    <row r="19" spans="1:13" ht="48.75" customHeight="1">
      <c r="A19" s="299" t="s">
        <v>43</v>
      </c>
      <c r="B19" s="302" t="s">
        <v>36</v>
      </c>
      <c r="C19" s="304"/>
      <c r="D19" s="307">
        <v>2014</v>
      </c>
      <c r="E19" s="307">
        <v>2015</v>
      </c>
      <c r="F19" s="275">
        <v>684280</v>
      </c>
      <c r="G19" s="267">
        <v>284280</v>
      </c>
      <c r="H19" s="280">
        <v>284280</v>
      </c>
      <c r="I19" s="283">
        <f>H19/G19</f>
        <v>1</v>
      </c>
      <c r="J19" s="272">
        <v>0</v>
      </c>
      <c r="K19" s="275">
        <v>0</v>
      </c>
      <c r="L19" s="275">
        <v>0</v>
      </c>
      <c r="M19" s="275">
        <v>0</v>
      </c>
    </row>
    <row r="20" spans="1:13" ht="13.5" customHeight="1">
      <c r="A20" s="300"/>
      <c r="B20" s="303"/>
      <c r="C20" s="305"/>
      <c r="D20" s="308"/>
      <c r="E20" s="308"/>
      <c r="F20" s="276"/>
      <c r="G20" s="268"/>
      <c r="H20" s="281"/>
      <c r="I20" s="284"/>
      <c r="J20" s="273"/>
      <c r="K20" s="276"/>
      <c r="L20" s="276"/>
      <c r="M20" s="276"/>
    </row>
    <row r="21" spans="1:13" ht="33.75">
      <c r="A21" s="300"/>
      <c r="B21" s="24" t="s">
        <v>37</v>
      </c>
      <c r="C21" s="305"/>
      <c r="D21" s="308"/>
      <c r="E21" s="308"/>
      <c r="F21" s="276"/>
      <c r="G21" s="268"/>
      <c r="H21" s="281"/>
      <c r="I21" s="284"/>
      <c r="J21" s="273"/>
      <c r="K21" s="276"/>
      <c r="L21" s="276"/>
      <c r="M21" s="276"/>
    </row>
    <row r="22" spans="1:13" ht="22.5">
      <c r="A22" s="300"/>
      <c r="B22" s="14" t="s">
        <v>45</v>
      </c>
      <c r="C22" s="306"/>
      <c r="D22" s="309"/>
      <c r="E22" s="309"/>
      <c r="F22" s="277"/>
      <c r="G22" s="269"/>
      <c r="H22" s="282"/>
      <c r="I22" s="285"/>
      <c r="J22" s="274"/>
      <c r="K22" s="277"/>
      <c r="L22" s="277"/>
      <c r="M22" s="277"/>
    </row>
    <row r="23" spans="1:13" ht="23.25" customHeight="1">
      <c r="A23" s="301"/>
      <c r="B23" s="15" t="s">
        <v>38</v>
      </c>
      <c r="C23" s="16"/>
      <c r="D23" s="16"/>
      <c r="E23" s="16"/>
      <c r="F23" s="16"/>
      <c r="G23" s="208"/>
      <c r="H23" s="224"/>
      <c r="I23" s="260"/>
      <c r="J23" s="214"/>
      <c r="K23" s="16"/>
      <c r="L23" s="16"/>
      <c r="M23" s="16"/>
    </row>
    <row r="24" spans="1:13" ht="22.5">
      <c r="A24" s="293" t="s">
        <v>44</v>
      </c>
      <c r="B24" s="12" t="s">
        <v>34</v>
      </c>
      <c r="C24" s="295" t="s">
        <v>28</v>
      </c>
      <c r="D24" s="297">
        <v>2014</v>
      </c>
      <c r="E24" s="297">
        <v>2016</v>
      </c>
      <c r="F24" s="278">
        <v>1009400.09</v>
      </c>
      <c r="G24" s="265">
        <v>752248.09</v>
      </c>
      <c r="H24" s="286">
        <v>752248.09</v>
      </c>
      <c r="I24" s="288">
        <f>H24/G24</f>
        <v>1</v>
      </c>
      <c r="J24" s="270">
        <v>256152</v>
      </c>
      <c r="K24" s="278">
        <v>0</v>
      </c>
      <c r="L24" s="278">
        <v>0</v>
      </c>
      <c r="M24" s="278">
        <v>0</v>
      </c>
    </row>
    <row r="25" spans="1:13">
      <c r="A25" s="294"/>
      <c r="B25" s="13" t="s">
        <v>35</v>
      </c>
      <c r="C25" s="296"/>
      <c r="D25" s="298"/>
      <c r="E25" s="298"/>
      <c r="F25" s="279"/>
      <c r="G25" s="266"/>
      <c r="H25" s="287"/>
      <c r="I25" s="289"/>
      <c r="J25" s="271"/>
      <c r="K25" s="279"/>
      <c r="L25" s="279"/>
      <c r="M25" s="279"/>
    </row>
    <row r="26" spans="1:13">
      <c r="A26" s="17"/>
    </row>
  </sheetData>
  <mergeCells count="40">
    <mergeCell ref="A5:A6"/>
    <mergeCell ref="B5:B6"/>
    <mergeCell ref="C5:C6"/>
    <mergeCell ref="D5:E5"/>
    <mergeCell ref="F5:F6"/>
    <mergeCell ref="B14:E14"/>
    <mergeCell ref="B13:E13"/>
    <mergeCell ref="M5:M6"/>
    <mergeCell ref="B8:E8"/>
    <mergeCell ref="B9:E9"/>
    <mergeCell ref="B10:E10"/>
    <mergeCell ref="B11:E11"/>
    <mergeCell ref="B12:E12"/>
    <mergeCell ref="G5:L5"/>
    <mergeCell ref="B15:E15"/>
    <mergeCell ref="A24:A25"/>
    <mergeCell ref="C24:C25"/>
    <mergeCell ref="D24:D25"/>
    <mergeCell ref="E24:E25"/>
    <mergeCell ref="A19:A23"/>
    <mergeCell ref="B19:B20"/>
    <mergeCell ref="C19:C22"/>
    <mergeCell ref="D19:D22"/>
    <mergeCell ref="E19:E22"/>
    <mergeCell ref="K19:K22"/>
    <mergeCell ref="L19:L22"/>
    <mergeCell ref="M19:M22"/>
    <mergeCell ref="K24:K25"/>
    <mergeCell ref="L24:L25"/>
    <mergeCell ref="M24:M25"/>
    <mergeCell ref="G24:G25"/>
    <mergeCell ref="G19:G22"/>
    <mergeCell ref="J24:J25"/>
    <mergeCell ref="J19:J22"/>
    <mergeCell ref="F19:F22"/>
    <mergeCell ref="F24:F25"/>
    <mergeCell ref="H19:H22"/>
    <mergeCell ref="I19:I22"/>
    <mergeCell ref="H24:H25"/>
    <mergeCell ref="I24:I25"/>
  </mergeCells>
  <pageMargins left="0.74803149606299213" right="0" top="0.98425196850393704" bottom="0.19685039370078741" header="0.51181102362204722" footer="0"/>
  <pageSetup paperSize="9" scale="92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Wybrany_WPF_ zał. Nr 1</vt:lpstr>
      <vt:lpstr>Zał. Nr 2 do WPF</vt:lpstr>
      <vt:lpstr>'Wybrany_WPF_ zał. Nr 1'!Obszar_wydruku</vt:lpstr>
      <vt:lpstr>'Wybrany_WPF_ zał. Nr 1'!Tytuły_wydruku</vt:lpstr>
      <vt:lpstr>'Zał. Nr 2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2015-08-12T12:51:43Z</cp:lastPrinted>
  <dcterms:created xsi:type="dcterms:W3CDTF">2014-11-03T15:01:29Z</dcterms:created>
  <dcterms:modified xsi:type="dcterms:W3CDTF">2015-08-12T12:51:45Z</dcterms:modified>
</cp:coreProperties>
</file>