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8220" activeTab="2"/>
  </bookViews>
  <sheets>
    <sheet name="Zał. Nr 1" sheetId="1" r:id="rId1"/>
    <sheet name="Zał. Nr 2" sheetId="2" r:id="rId2"/>
    <sheet name=" prognoza zadłużenia 2017 -2026" sheetId="3" r:id="rId3"/>
  </sheets>
  <definedNames>
    <definedName name="Excel_BuiltIn_Print_Titles_1" localSheetId="2">' prognoza zadłużenia 2017 -2026'!$A:$B</definedName>
    <definedName name="Excel_BuiltIn_Print_Titles_2" localSheetId="2">#REF!</definedName>
    <definedName name="Excel_BuiltIn_Print_Titles_2">#REF!</definedName>
    <definedName name="Excel_BuiltIn_Print_Titles_2_1" localSheetId="2">#REF!</definedName>
    <definedName name="Excel_BuiltIn_Print_Titles_2_1">#REF!</definedName>
    <definedName name="Excel_BuiltIn_Print_Titles_2_1_1" localSheetId="2">#REF!</definedName>
    <definedName name="Excel_BuiltIn_Print_Titles_2_1_1">#REF!</definedName>
    <definedName name="Excel_BuiltIn_Print_Titles_3_1" localSheetId="2">#REF!</definedName>
    <definedName name="Excel_BuiltIn_Print_Titles_3_1">#REF!</definedName>
    <definedName name="Excel_BuiltIn_Print_Titles_3_1_1" localSheetId="2">#REF!</definedName>
    <definedName name="Excel_BuiltIn_Print_Titles_3_1_1">#REF!</definedName>
    <definedName name="Excel_BuiltIn_Print_Titles_5" localSheetId="2">#REF!</definedName>
    <definedName name="Excel_BuiltIn_Print_Titles_5">#REF!</definedName>
    <definedName name="Excel_BuiltIn_Print_Titles_5_1" localSheetId="2">#REF!</definedName>
    <definedName name="Excel_BuiltIn_Print_Titles_5_1">#REF!</definedName>
    <definedName name="Excel_BuiltIn_Print_Titles_6" localSheetId="2">#REF!</definedName>
    <definedName name="Excel_BuiltIn_Print_Titles_6">#REF!</definedName>
    <definedName name="Excel_BuiltIn_Print_Titles_6_1" localSheetId="2">#REF!</definedName>
    <definedName name="Excel_BuiltIn_Print_Titles_6_1">#REF!</definedName>
    <definedName name="Excel_BuiltIn_Print_Titles_8" localSheetId="2">#REF!</definedName>
    <definedName name="Excel_BuiltIn_Print_Titles_8">#REF!</definedName>
    <definedName name="Excel_BuiltIn_Print_Titles_8_1" localSheetId="2">#REF!</definedName>
    <definedName name="Excel_BuiltIn_Print_Titles_8_1">#REF!</definedName>
    <definedName name="_xlnm.Print_Titles" localSheetId="2">' prognoza zadłużenia 2017 -2026'!$A:$B,' prognoza zadłużenia 2017 -2026'!$1:$1</definedName>
    <definedName name="_xlnm.Print_Titles" localSheetId="0">'Zał. Nr 1'!$3:$3</definedName>
    <definedName name="_xlnm.Print_Titles" localSheetId="1">'Zał. Nr 2'!$5:$5</definedName>
    <definedName name="zal.3" localSheetId="2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Y10" i="3" l="1"/>
  <c r="W10" i="3"/>
  <c r="U10" i="3"/>
  <c r="S10" i="3"/>
  <c r="Q10" i="3"/>
  <c r="O10" i="3"/>
  <c r="M10" i="3"/>
  <c r="E180" i="1" l="1"/>
  <c r="F180" i="1"/>
  <c r="H180" i="1"/>
  <c r="I180" i="1"/>
  <c r="K180" i="1" s="1"/>
  <c r="L180" i="1" s="1"/>
  <c r="J180" i="1"/>
  <c r="K181" i="1"/>
  <c r="L181" i="1" s="1"/>
  <c r="K182" i="1"/>
  <c r="L182" i="1" s="1"/>
  <c r="E183" i="1"/>
  <c r="F183" i="1"/>
  <c r="H183" i="1"/>
  <c r="I183" i="1"/>
  <c r="K183" i="1" s="1"/>
  <c r="L183" i="1" s="1"/>
  <c r="J183" i="1"/>
  <c r="K184" i="1"/>
  <c r="L184" i="1" s="1"/>
  <c r="K185" i="1"/>
  <c r="L185" i="1"/>
  <c r="E172" i="1"/>
  <c r="F172" i="1"/>
  <c r="H172" i="1"/>
  <c r="I172" i="1"/>
  <c r="K172" i="1" s="1"/>
  <c r="L172" i="1" s="1"/>
  <c r="J172" i="1"/>
  <c r="K173" i="1"/>
  <c r="L173" i="1" s="1"/>
  <c r="E174" i="1"/>
  <c r="F174" i="1"/>
  <c r="H174" i="1"/>
  <c r="I174" i="1"/>
  <c r="J174" i="1"/>
  <c r="K174" i="1"/>
  <c r="L174" i="1" s="1"/>
  <c r="K175" i="1"/>
  <c r="L175" i="1" s="1"/>
  <c r="E176" i="1"/>
  <c r="F176" i="1"/>
  <c r="H176" i="1"/>
  <c r="I176" i="1"/>
  <c r="J176" i="1"/>
  <c r="K176" i="1"/>
  <c r="L176" i="1" s="1"/>
  <c r="K177" i="1"/>
  <c r="L177" i="1" s="1"/>
  <c r="E178" i="1"/>
  <c r="F178" i="1"/>
  <c r="H178" i="1"/>
  <c r="I178" i="1"/>
  <c r="J178" i="1"/>
  <c r="K179" i="1"/>
  <c r="L179" i="1" s="1"/>
  <c r="G613" i="2"/>
  <c r="K178" i="1" l="1"/>
  <c r="L178" i="1" s="1"/>
  <c r="R38" i="2"/>
  <c r="J38" i="2"/>
  <c r="L618" i="2" l="1"/>
  <c r="O159" i="2"/>
  <c r="P159" i="2"/>
  <c r="Q159" i="2"/>
  <c r="R159" i="2"/>
  <c r="S159" i="2"/>
  <c r="T159" i="2"/>
  <c r="U159" i="2"/>
  <c r="V159" i="2"/>
  <c r="W159" i="2"/>
  <c r="X159" i="2"/>
  <c r="N159" i="2"/>
  <c r="S475" i="2"/>
  <c r="T475" i="2"/>
  <c r="U475" i="2"/>
  <c r="V475" i="2"/>
  <c r="W475" i="2"/>
  <c r="X475" i="2"/>
  <c r="O475" i="2"/>
  <c r="P475" i="2"/>
  <c r="Q475" i="2"/>
  <c r="R475" i="2"/>
  <c r="N475" i="2"/>
  <c r="O476" i="2"/>
  <c r="P476" i="2"/>
  <c r="Q476" i="2"/>
  <c r="R476" i="2"/>
  <c r="S476" i="2"/>
  <c r="T476" i="2"/>
  <c r="U476" i="2"/>
  <c r="V476" i="2"/>
  <c r="W476" i="2"/>
  <c r="X476" i="2"/>
  <c r="N476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H383" i="2"/>
  <c r="G562" i="2"/>
  <c r="H562" i="2"/>
  <c r="I562" i="2"/>
  <c r="J562" i="2"/>
  <c r="F562" i="2"/>
  <c r="H333" i="2"/>
  <c r="F616" i="2"/>
  <c r="H616" i="2"/>
  <c r="I616" i="2"/>
  <c r="J616" i="2"/>
  <c r="E616" i="2"/>
  <c r="H621" i="2"/>
  <c r="G618" i="2"/>
  <c r="O82" i="2"/>
  <c r="P82" i="2"/>
  <c r="Q82" i="2"/>
  <c r="R82" i="2"/>
  <c r="S82" i="2"/>
  <c r="T82" i="2"/>
  <c r="U82" i="2"/>
  <c r="V82" i="2"/>
  <c r="W82" i="2"/>
  <c r="X82" i="2"/>
  <c r="N82" i="2"/>
  <c r="J82" i="2"/>
  <c r="K82" i="2"/>
  <c r="I82" i="2"/>
  <c r="I159" i="2"/>
  <c r="O616" i="2"/>
  <c r="P616" i="2"/>
  <c r="Q616" i="2"/>
  <c r="R616" i="2"/>
  <c r="S616" i="2"/>
  <c r="T616" i="2"/>
  <c r="U616" i="2"/>
  <c r="W616" i="2"/>
  <c r="X616" i="2"/>
  <c r="H82" i="2"/>
  <c r="F82" i="2"/>
  <c r="E82" i="2"/>
  <c r="O489" i="2"/>
  <c r="P489" i="2"/>
  <c r="Q489" i="2"/>
  <c r="R489" i="2"/>
  <c r="S489" i="2"/>
  <c r="T489" i="2"/>
  <c r="U489" i="2"/>
  <c r="W489" i="2"/>
  <c r="X489" i="2"/>
  <c r="M489" i="2"/>
  <c r="J489" i="2"/>
  <c r="I489" i="2"/>
  <c r="H489" i="2"/>
  <c r="F489" i="2"/>
  <c r="E489" i="2"/>
  <c r="F615" i="2"/>
  <c r="H615" i="2"/>
  <c r="P615" i="2"/>
  <c r="R615" i="2"/>
  <c r="S615" i="2"/>
  <c r="T615" i="2"/>
  <c r="U615" i="2"/>
  <c r="W615" i="2"/>
  <c r="X615" i="2"/>
  <c r="E615" i="2"/>
  <c r="G616" i="2" l="1"/>
  <c r="H614" i="2"/>
  <c r="G615" i="2"/>
  <c r="F618" i="2"/>
  <c r="H618" i="2"/>
  <c r="I618" i="2"/>
  <c r="J618" i="2"/>
  <c r="O618" i="2"/>
  <c r="P618" i="2"/>
  <c r="Q618" i="2"/>
  <c r="R618" i="2"/>
  <c r="S618" i="2"/>
  <c r="T618" i="2"/>
  <c r="U618" i="2"/>
  <c r="E618" i="2"/>
  <c r="N472" i="2"/>
  <c r="N471" i="2" s="1"/>
  <c r="W471" i="2"/>
  <c r="J471" i="2"/>
  <c r="I471" i="2"/>
  <c r="H471" i="2"/>
  <c r="F471" i="2"/>
  <c r="E471" i="2"/>
  <c r="K472" i="2"/>
  <c r="M561" i="2"/>
  <c r="N587" i="2"/>
  <c r="N586" i="2" s="1"/>
  <c r="R586" i="2"/>
  <c r="K586" i="2"/>
  <c r="J586" i="2"/>
  <c r="I586" i="2"/>
  <c r="H586" i="2"/>
  <c r="F586" i="2"/>
  <c r="E586" i="2"/>
  <c r="K587" i="2"/>
  <c r="J65" i="2"/>
  <c r="K471" i="2" l="1"/>
  <c r="AG38" i="3"/>
  <c r="AE38" i="3"/>
  <c r="AC38" i="3"/>
  <c r="AA38" i="3"/>
  <c r="Y38" i="3"/>
  <c r="W38" i="3"/>
  <c r="U38" i="3"/>
  <c r="S38" i="3"/>
  <c r="Q38" i="3"/>
  <c r="X33" i="3"/>
  <c r="AF27" i="3"/>
  <c r="AF34" i="3" s="1"/>
  <c r="AF38" i="3" s="1"/>
  <c r="AD26" i="3"/>
  <c r="AD33" i="3" s="1"/>
  <c r="AD35" i="3" s="1"/>
  <c r="N26" i="3"/>
  <c r="J26" i="3"/>
  <c r="E26" i="3"/>
  <c r="AG25" i="3"/>
  <c r="K25" i="3"/>
  <c r="G25" i="3"/>
  <c r="E25" i="3"/>
  <c r="AF24" i="3"/>
  <c r="AD24" i="3"/>
  <c r="AD27" i="3" s="1"/>
  <c r="AD34" i="3" s="1"/>
  <c r="AD38" i="3" s="1"/>
  <c r="AB24" i="3"/>
  <c r="Z24" i="3"/>
  <c r="Z27" i="3" s="1"/>
  <c r="Z34" i="3" s="1"/>
  <c r="Z38" i="3" s="1"/>
  <c r="X24" i="3"/>
  <c r="V24" i="3"/>
  <c r="V27" i="3" s="1"/>
  <c r="V34" i="3" s="1"/>
  <c r="V38" i="3" s="1"/>
  <c r="T24" i="3"/>
  <c r="R24" i="3"/>
  <c r="R27" i="3" s="1"/>
  <c r="R34" i="3" s="1"/>
  <c r="R38" i="3" s="1"/>
  <c r="P24" i="3"/>
  <c r="N24" i="3"/>
  <c r="G24" i="3"/>
  <c r="E24" i="3"/>
  <c r="AG23" i="3"/>
  <c r="AF23" i="3"/>
  <c r="AF26" i="3" s="1"/>
  <c r="AF33" i="3" s="1"/>
  <c r="AD23" i="3"/>
  <c r="AD25" i="3" s="1"/>
  <c r="AD28" i="3" s="1"/>
  <c r="AB23" i="3"/>
  <c r="AB26" i="3" s="1"/>
  <c r="AB28" i="3" s="1"/>
  <c r="Z23" i="3"/>
  <c r="Z25" i="3" s="1"/>
  <c r="X23" i="3"/>
  <c r="X26" i="3" s="1"/>
  <c r="X28" i="3" s="1"/>
  <c r="V23" i="3"/>
  <c r="V25" i="3" s="1"/>
  <c r="T23" i="3"/>
  <c r="T26" i="3" s="1"/>
  <c r="T33" i="3" s="1"/>
  <c r="R23" i="3"/>
  <c r="R25" i="3" s="1"/>
  <c r="P23" i="3"/>
  <c r="P26" i="3" s="1"/>
  <c r="P33" i="3" s="1"/>
  <c r="P35" i="3" s="1"/>
  <c r="N23" i="3"/>
  <c r="N25" i="3" s="1"/>
  <c r="L23" i="3"/>
  <c r="L26" i="3" s="1"/>
  <c r="L28" i="3" s="1"/>
  <c r="K23" i="3"/>
  <c r="K26" i="3" s="1"/>
  <c r="H23" i="3"/>
  <c r="H25" i="3" s="1"/>
  <c r="G23" i="3"/>
  <c r="F23" i="3"/>
  <c r="F25" i="3" s="1"/>
  <c r="E23" i="3"/>
  <c r="D23" i="3"/>
  <c r="AF22" i="3"/>
  <c r="AD22" i="3"/>
  <c r="AB22" i="3"/>
  <c r="Z22" i="3"/>
  <c r="X22" i="3"/>
  <c r="V22" i="3"/>
  <c r="T22" i="3"/>
  <c r="R22" i="3"/>
  <c r="P22" i="3"/>
  <c r="N22" i="3"/>
  <c r="K22" i="3"/>
  <c r="H22" i="3"/>
  <c r="G22" i="3"/>
  <c r="F22" i="3"/>
  <c r="E22" i="3"/>
  <c r="M20" i="3"/>
  <c r="M23" i="3" s="1"/>
  <c r="AF19" i="3"/>
  <c r="AE19" i="3"/>
  <c r="J19" i="3"/>
  <c r="E19" i="3"/>
  <c r="AB18" i="3"/>
  <c r="AB27" i="3" s="1"/>
  <c r="AB34" i="3" s="1"/>
  <c r="AB38" i="3" s="1"/>
  <c r="Z18" i="3"/>
  <c r="X18" i="3"/>
  <c r="X27" i="3" s="1"/>
  <c r="X34" i="3" s="1"/>
  <c r="X38" i="3" s="1"/>
  <c r="V18" i="3"/>
  <c r="T18" i="3"/>
  <c r="T27" i="3" s="1"/>
  <c r="T34" i="3" s="1"/>
  <c r="T38" i="3" s="1"/>
  <c r="R18" i="3"/>
  <c r="P18" i="3"/>
  <c r="P27" i="3" s="1"/>
  <c r="P34" i="3" s="1"/>
  <c r="P38" i="3" s="1"/>
  <c r="N18" i="3"/>
  <c r="N27" i="3" s="1"/>
  <c r="N34" i="3" s="1"/>
  <c r="N38" i="3" s="1"/>
  <c r="K18" i="3"/>
  <c r="K27" i="3" s="1"/>
  <c r="K34" i="3" s="1"/>
  <c r="K38" i="3" s="1"/>
  <c r="G18" i="3"/>
  <c r="G27" i="3" s="1"/>
  <c r="G34" i="3" s="1"/>
  <c r="G38" i="3" s="1"/>
  <c r="E18" i="3"/>
  <c r="E27" i="3" s="1"/>
  <c r="E34" i="3" s="1"/>
  <c r="AF17" i="3"/>
  <c r="AE17" i="3"/>
  <c r="AD17" i="3"/>
  <c r="AD19" i="3" s="1"/>
  <c r="AB17" i="3"/>
  <c r="Z17" i="3"/>
  <c r="Z19" i="3" s="1"/>
  <c r="X17" i="3"/>
  <c r="X19" i="3" s="1"/>
  <c r="V17" i="3"/>
  <c r="V19" i="3" s="1"/>
  <c r="T17" i="3"/>
  <c r="T19" i="3" s="1"/>
  <c r="R17" i="3"/>
  <c r="R19" i="3" s="1"/>
  <c r="P17" i="3"/>
  <c r="P19" i="3" s="1"/>
  <c r="N17" i="3"/>
  <c r="N19" i="3" s="1"/>
  <c r="M17" i="3"/>
  <c r="M19" i="3" s="1"/>
  <c r="K17" i="3"/>
  <c r="K19" i="3" s="1"/>
  <c r="J17" i="3"/>
  <c r="G17" i="3"/>
  <c r="E17" i="3"/>
  <c r="D17" i="3"/>
  <c r="D26" i="3" s="1"/>
  <c r="AB16" i="3"/>
  <c r="Z16" i="3"/>
  <c r="X16" i="3"/>
  <c r="V16" i="3"/>
  <c r="T16" i="3"/>
  <c r="R16" i="3"/>
  <c r="P16" i="3"/>
  <c r="N16" i="3"/>
  <c r="M16" i="3"/>
  <c r="K16" i="3"/>
  <c r="G16" i="3"/>
  <c r="E16" i="3"/>
  <c r="O14" i="3"/>
  <c r="M14" i="3"/>
  <c r="H14" i="3"/>
  <c r="F14" i="3"/>
  <c r="F16" i="3" s="1"/>
  <c r="P13" i="3"/>
  <c r="N13" i="3"/>
  <c r="M13" i="3"/>
  <c r="K13" i="3"/>
  <c r="G13" i="3"/>
  <c r="E13" i="3"/>
  <c r="J12" i="3"/>
  <c r="D12" i="3"/>
  <c r="O11" i="3"/>
  <c r="M11" i="3"/>
  <c r="H11" i="3"/>
  <c r="F11" i="3"/>
  <c r="F13" i="3" s="1"/>
  <c r="AF10" i="3"/>
  <c r="Z10" i="3"/>
  <c r="X10" i="3"/>
  <c r="V10" i="3"/>
  <c r="T10" i="3"/>
  <c r="R10" i="3"/>
  <c r="P10" i="3"/>
  <c r="N10" i="3"/>
  <c r="K10" i="3"/>
  <c r="G10" i="3"/>
  <c r="F10" i="3"/>
  <c r="E10" i="3"/>
  <c r="J9" i="3"/>
  <c r="D9" i="3"/>
  <c r="W8" i="3"/>
  <c r="Y8" i="3" s="1"/>
  <c r="AA8" i="3" s="1"/>
  <c r="O8" i="3"/>
  <c r="Q8" i="3" s="1"/>
  <c r="S8" i="3" s="1"/>
  <c r="U8" i="3" s="1"/>
  <c r="M8" i="3"/>
  <c r="H8" i="3"/>
  <c r="F8" i="3"/>
  <c r="F17" i="3" s="1"/>
  <c r="AF7" i="3"/>
  <c r="X7" i="3"/>
  <c r="V7" i="3"/>
  <c r="T7" i="3"/>
  <c r="R7" i="3"/>
  <c r="P7" i="3"/>
  <c r="N7" i="3"/>
  <c r="K7" i="3"/>
  <c r="G7" i="3"/>
  <c r="E7" i="3"/>
  <c r="J6" i="3"/>
  <c r="D6" i="3"/>
  <c r="O5" i="3"/>
  <c r="Q5" i="3" s="1"/>
  <c r="Q7" i="3" s="1"/>
  <c r="M5" i="3"/>
  <c r="M7" i="3" s="1"/>
  <c r="H5" i="3"/>
  <c r="F5" i="3"/>
  <c r="F7" i="3" s="1"/>
  <c r="X625" i="2"/>
  <c r="W625" i="2"/>
  <c r="U625" i="2"/>
  <c r="T625" i="2"/>
  <c r="S625" i="2"/>
  <c r="R625" i="2"/>
  <c r="P625" i="2"/>
  <c r="O625" i="2"/>
  <c r="J625" i="2"/>
  <c r="H625" i="2"/>
  <c r="F625" i="2"/>
  <c r="E625" i="2"/>
  <c r="X624" i="2"/>
  <c r="W624" i="2"/>
  <c r="U624" i="2"/>
  <c r="T624" i="2"/>
  <c r="S624" i="2"/>
  <c r="Q624" i="2"/>
  <c r="P624" i="2"/>
  <c r="O624" i="2"/>
  <c r="J624" i="2"/>
  <c r="I624" i="2"/>
  <c r="H624" i="2"/>
  <c r="F624" i="2"/>
  <c r="E624" i="2"/>
  <c r="X623" i="2"/>
  <c r="W623" i="2"/>
  <c r="U623" i="2"/>
  <c r="T623" i="2"/>
  <c r="S623" i="2"/>
  <c r="R623" i="2"/>
  <c r="Q623" i="2"/>
  <c r="P623" i="2"/>
  <c r="O623" i="2"/>
  <c r="J623" i="2"/>
  <c r="I623" i="2"/>
  <c r="H623" i="2"/>
  <c r="F623" i="2"/>
  <c r="E623" i="2"/>
  <c r="X620" i="2"/>
  <c r="W620" i="2"/>
  <c r="U620" i="2"/>
  <c r="T620" i="2"/>
  <c r="S620" i="2"/>
  <c r="R620" i="2"/>
  <c r="Q620" i="2"/>
  <c r="P620" i="2"/>
  <c r="J620" i="2"/>
  <c r="I620" i="2"/>
  <c r="H620" i="2"/>
  <c r="F620" i="2"/>
  <c r="E620" i="2"/>
  <c r="L619" i="2"/>
  <c r="G619" i="2"/>
  <c r="X617" i="2"/>
  <c r="W617" i="2"/>
  <c r="U617" i="2"/>
  <c r="T617" i="2"/>
  <c r="S617" i="2"/>
  <c r="R617" i="2"/>
  <c r="Q617" i="2"/>
  <c r="P617" i="2"/>
  <c r="H617" i="2"/>
  <c r="H626" i="2" s="1"/>
  <c r="F617" i="2"/>
  <c r="E617" i="2"/>
  <c r="T614" i="2"/>
  <c r="F614" i="2"/>
  <c r="W614" i="2"/>
  <c r="E614" i="2"/>
  <c r="V609" i="2"/>
  <c r="K609" i="2"/>
  <c r="G609" i="2"/>
  <c r="V608" i="2"/>
  <c r="N608" i="2" s="1"/>
  <c r="I608" i="2"/>
  <c r="G608" i="2"/>
  <c r="V607" i="2"/>
  <c r="N607" i="2" s="1"/>
  <c r="I607" i="2"/>
  <c r="G607" i="2"/>
  <c r="V606" i="2"/>
  <c r="I606" i="2"/>
  <c r="K606" i="2" s="1"/>
  <c r="G606" i="2"/>
  <c r="V605" i="2"/>
  <c r="N605" i="2" s="1"/>
  <c r="I605" i="2"/>
  <c r="K605" i="2" s="1"/>
  <c r="L605" i="2" s="1"/>
  <c r="G605" i="2"/>
  <c r="V604" i="2"/>
  <c r="N604" i="2" s="1"/>
  <c r="K604" i="2"/>
  <c r="L604" i="2" s="1"/>
  <c r="G604" i="2"/>
  <c r="X603" i="2"/>
  <c r="W603" i="2"/>
  <c r="U603" i="2"/>
  <c r="T603" i="2"/>
  <c r="S603" i="2"/>
  <c r="R603" i="2"/>
  <c r="Q603" i="2"/>
  <c r="P603" i="2"/>
  <c r="O603" i="2"/>
  <c r="J603" i="2"/>
  <c r="H603" i="2"/>
  <c r="F603" i="2"/>
  <c r="E603" i="2"/>
  <c r="V602" i="2"/>
  <c r="N602" i="2" s="1"/>
  <c r="K602" i="2"/>
  <c r="L602" i="2" s="1"/>
  <c r="G602" i="2"/>
  <c r="V601" i="2"/>
  <c r="N601" i="2" s="1"/>
  <c r="K601" i="2"/>
  <c r="V600" i="2"/>
  <c r="N600" i="2" s="1"/>
  <c r="I600" i="2"/>
  <c r="K600" i="2" s="1"/>
  <c r="L600" i="2" s="1"/>
  <c r="G600" i="2"/>
  <c r="V599" i="2"/>
  <c r="N599" i="2" s="1"/>
  <c r="K599" i="2"/>
  <c r="L599" i="2" s="1"/>
  <c r="G599" i="2"/>
  <c r="V598" i="2"/>
  <c r="N598" i="2" s="1"/>
  <c r="I598" i="2"/>
  <c r="K598" i="2" s="1"/>
  <c r="L598" i="2" s="1"/>
  <c r="G598" i="2"/>
  <c r="V597" i="2"/>
  <c r="N597" i="2" s="1"/>
  <c r="I597" i="2"/>
  <c r="K597" i="2" s="1"/>
  <c r="L597" i="2" s="1"/>
  <c r="G597" i="2"/>
  <c r="V596" i="2"/>
  <c r="N596" i="2" s="1"/>
  <c r="K596" i="2"/>
  <c r="L596" i="2" s="1"/>
  <c r="G596" i="2"/>
  <c r="V595" i="2"/>
  <c r="N595" i="2" s="1"/>
  <c r="K595" i="2"/>
  <c r="L595" i="2" s="1"/>
  <c r="G595" i="2"/>
  <c r="V594" i="2"/>
  <c r="N594" i="2" s="1"/>
  <c r="K594" i="2"/>
  <c r="L594" i="2" s="1"/>
  <c r="G594" i="2"/>
  <c r="X593" i="2"/>
  <c r="W593" i="2"/>
  <c r="W592" i="2" s="1"/>
  <c r="U593" i="2"/>
  <c r="U592" i="2" s="1"/>
  <c r="T593" i="2"/>
  <c r="S593" i="2"/>
  <c r="R593" i="2"/>
  <c r="R592" i="2" s="1"/>
  <c r="Q593" i="2"/>
  <c r="Q592" i="2" s="1"/>
  <c r="P593" i="2"/>
  <c r="O593" i="2"/>
  <c r="J593" i="2"/>
  <c r="H593" i="2"/>
  <c r="H592" i="2" s="1"/>
  <c r="F593" i="2"/>
  <c r="E593" i="2"/>
  <c r="E592" i="2" s="1"/>
  <c r="V591" i="2"/>
  <c r="K591" i="2"/>
  <c r="L591" i="2" s="1"/>
  <c r="G591" i="2"/>
  <c r="V590" i="2"/>
  <c r="N590" i="2" s="1"/>
  <c r="K590" i="2"/>
  <c r="L590" i="2" s="1"/>
  <c r="G590" i="2"/>
  <c r="V589" i="2"/>
  <c r="N589" i="2" s="1"/>
  <c r="K589" i="2"/>
  <c r="L589" i="2" s="1"/>
  <c r="G589" i="2"/>
  <c r="X588" i="2"/>
  <c r="W588" i="2"/>
  <c r="U588" i="2"/>
  <c r="T588" i="2"/>
  <c r="S588" i="2"/>
  <c r="R588" i="2"/>
  <c r="Q588" i="2"/>
  <c r="P588" i="2"/>
  <c r="O588" i="2"/>
  <c r="J588" i="2"/>
  <c r="I588" i="2"/>
  <c r="H588" i="2"/>
  <c r="F588" i="2"/>
  <c r="E588" i="2"/>
  <c r="V585" i="2"/>
  <c r="N585" i="2" s="1"/>
  <c r="N584" i="2" s="1"/>
  <c r="K585" i="2"/>
  <c r="L585" i="2" s="1"/>
  <c r="G585" i="2"/>
  <c r="X584" i="2"/>
  <c r="W584" i="2"/>
  <c r="U584" i="2"/>
  <c r="T584" i="2"/>
  <c r="S584" i="2"/>
  <c r="R584" i="2"/>
  <c r="Q584" i="2"/>
  <c r="P584" i="2"/>
  <c r="O584" i="2"/>
  <c r="J584" i="2"/>
  <c r="I584" i="2"/>
  <c r="H584" i="2"/>
  <c r="F584" i="2"/>
  <c r="E584" i="2"/>
  <c r="V583" i="2"/>
  <c r="N583" i="2" s="1"/>
  <c r="N582" i="2" s="1"/>
  <c r="K583" i="2"/>
  <c r="L583" i="2" s="1"/>
  <c r="G583" i="2"/>
  <c r="X582" i="2"/>
  <c r="W582" i="2"/>
  <c r="U582" i="2"/>
  <c r="T582" i="2"/>
  <c r="S582" i="2"/>
  <c r="R582" i="2"/>
  <c r="Q582" i="2"/>
  <c r="P582" i="2"/>
  <c r="O582" i="2"/>
  <c r="J582" i="2"/>
  <c r="I582" i="2"/>
  <c r="H582" i="2"/>
  <c r="F582" i="2"/>
  <c r="E582" i="2"/>
  <c r="V581" i="2"/>
  <c r="N581" i="2" s="1"/>
  <c r="K581" i="2"/>
  <c r="L581" i="2" s="1"/>
  <c r="G581" i="2"/>
  <c r="V580" i="2"/>
  <c r="N580" i="2" s="1"/>
  <c r="K580" i="2"/>
  <c r="L580" i="2" s="1"/>
  <c r="G580" i="2"/>
  <c r="X579" i="2"/>
  <c r="W579" i="2"/>
  <c r="U579" i="2"/>
  <c r="T579" i="2"/>
  <c r="S579" i="2"/>
  <c r="R579" i="2"/>
  <c r="Q579" i="2"/>
  <c r="P579" i="2"/>
  <c r="O579" i="2"/>
  <c r="J579" i="2"/>
  <c r="I579" i="2"/>
  <c r="H579" i="2"/>
  <c r="F579" i="2"/>
  <c r="E579" i="2"/>
  <c r="V578" i="2"/>
  <c r="N578" i="2" s="1"/>
  <c r="K578" i="2"/>
  <c r="L578" i="2" s="1"/>
  <c r="G578" i="2"/>
  <c r="V577" i="2"/>
  <c r="N577" i="2" s="1"/>
  <c r="K577" i="2"/>
  <c r="V576" i="2"/>
  <c r="N576" i="2" s="1"/>
  <c r="K576" i="2"/>
  <c r="L576" i="2" s="1"/>
  <c r="G576" i="2"/>
  <c r="V575" i="2"/>
  <c r="N575" i="2" s="1"/>
  <c r="I575" i="2"/>
  <c r="K575" i="2" s="1"/>
  <c r="L575" i="2" s="1"/>
  <c r="G575" i="2"/>
  <c r="V574" i="2"/>
  <c r="N574" i="2" s="1"/>
  <c r="I574" i="2"/>
  <c r="G574" i="2"/>
  <c r="V573" i="2"/>
  <c r="N573" i="2" s="1"/>
  <c r="I573" i="2"/>
  <c r="K573" i="2" s="1"/>
  <c r="L573" i="2" s="1"/>
  <c r="G573" i="2"/>
  <c r="V572" i="2"/>
  <c r="N572" i="2" s="1"/>
  <c r="K572" i="2"/>
  <c r="L572" i="2" s="1"/>
  <c r="G572" i="2"/>
  <c r="V571" i="2"/>
  <c r="N571" i="2" s="1"/>
  <c r="K571" i="2"/>
  <c r="L571" i="2" s="1"/>
  <c r="G571" i="2"/>
  <c r="V570" i="2"/>
  <c r="N570" i="2" s="1"/>
  <c r="K570" i="2"/>
  <c r="L570" i="2" s="1"/>
  <c r="G570" i="2"/>
  <c r="V569" i="2"/>
  <c r="N569" i="2" s="1"/>
  <c r="K569" i="2"/>
  <c r="L569" i="2" s="1"/>
  <c r="G569" i="2"/>
  <c r="X568" i="2"/>
  <c r="W568" i="2"/>
  <c r="U568" i="2"/>
  <c r="T568" i="2"/>
  <c r="S568" i="2"/>
  <c r="R568" i="2"/>
  <c r="Q568" i="2"/>
  <c r="P568" i="2"/>
  <c r="O568" i="2"/>
  <c r="J568" i="2"/>
  <c r="H568" i="2"/>
  <c r="F568" i="2"/>
  <c r="E568" i="2"/>
  <c r="V567" i="2"/>
  <c r="N567" i="2" s="1"/>
  <c r="K567" i="2"/>
  <c r="L567" i="2" s="1"/>
  <c r="G567" i="2"/>
  <c r="V566" i="2"/>
  <c r="N566" i="2" s="1"/>
  <c r="K566" i="2"/>
  <c r="L566" i="2" s="1"/>
  <c r="G566" i="2"/>
  <c r="V565" i="2"/>
  <c r="N565" i="2" s="1"/>
  <c r="K565" i="2"/>
  <c r="L565" i="2" s="1"/>
  <c r="G565" i="2"/>
  <c r="V564" i="2"/>
  <c r="N564" i="2" s="1"/>
  <c r="K564" i="2"/>
  <c r="G564" i="2"/>
  <c r="V563" i="2"/>
  <c r="N563" i="2" s="1"/>
  <c r="K563" i="2"/>
  <c r="G563" i="2"/>
  <c r="X562" i="2"/>
  <c r="W562" i="2"/>
  <c r="U562" i="2"/>
  <c r="T562" i="2"/>
  <c r="S562" i="2"/>
  <c r="R562" i="2"/>
  <c r="Q562" i="2"/>
  <c r="P562" i="2"/>
  <c r="O562" i="2"/>
  <c r="E562" i="2"/>
  <c r="V560" i="2"/>
  <c r="N560" i="2" s="1"/>
  <c r="K560" i="2"/>
  <c r="V559" i="2"/>
  <c r="N559" i="2" s="1"/>
  <c r="K559" i="2"/>
  <c r="L559" i="2" s="1"/>
  <c r="G559" i="2"/>
  <c r="V558" i="2"/>
  <c r="N558" i="2" s="1"/>
  <c r="K558" i="2"/>
  <c r="V557" i="2"/>
  <c r="N557" i="2" s="1"/>
  <c r="K557" i="2"/>
  <c r="L557" i="2" s="1"/>
  <c r="G557" i="2"/>
  <c r="V556" i="2"/>
  <c r="N556" i="2" s="1"/>
  <c r="I556" i="2"/>
  <c r="G556" i="2"/>
  <c r="V555" i="2"/>
  <c r="N555" i="2" s="1"/>
  <c r="K555" i="2"/>
  <c r="L555" i="2" s="1"/>
  <c r="G555" i="2"/>
  <c r="V554" i="2"/>
  <c r="N554" i="2" s="1"/>
  <c r="K554" i="2"/>
  <c r="L554" i="2" s="1"/>
  <c r="G554" i="2"/>
  <c r="V553" i="2"/>
  <c r="N553" i="2" s="1"/>
  <c r="K553" i="2"/>
  <c r="G553" i="2"/>
  <c r="X552" i="2"/>
  <c r="W552" i="2"/>
  <c r="U552" i="2"/>
  <c r="T552" i="2"/>
  <c r="S552" i="2"/>
  <c r="R552" i="2"/>
  <c r="Q552" i="2"/>
  <c r="P552" i="2"/>
  <c r="O552" i="2"/>
  <c r="J552" i="2"/>
  <c r="H552" i="2"/>
  <c r="F552" i="2"/>
  <c r="E552" i="2"/>
  <c r="V551" i="2"/>
  <c r="N551" i="2" s="1"/>
  <c r="N550" i="2" s="1"/>
  <c r="K551" i="2"/>
  <c r="L551" i="2" s="1"/>
  <c r="G551" i="2"/>
  <c r="X550" i="2"/>
  <c r="W550" i="2"/>
  <c r="U550" i="2"/>
  <c r="T550" i="2"/>
  <c r="S550" i="2"/>
  <c r="R550" i="2"/>
  <c r="Q550" i="2"/>
  <c r="P550" i="2"/>
  <c r="O550" i="2"/>
  <c r="J550" i="2"/>
  <c r="I550" i="2"/>
  <c r="H550" i="2"/>
  <c r="F550" i="2"/>
  <c r="E550" i="2"/>
  <c r="G550" i="2" s="1"/>
  <c r="V549" i="2"/>
  <c r="N549" i="2" s="1"/>
  <c r="K549" i="2"/>
  <c r="L549" i="2" s="1"/>
  <c r="G549" i="2"/>
  <c r="V548" i="2"/>
  <c r="N548" i="2" s="1"/>
  <c r="I548" i="2"/>
  <c r="K548" i="2" s="1"/>
  <c r="G548" i="2"/>
  <c r="V547" i="2"/>
  <c r="N547" i="2" s="1"/>
  <c r="K547" i="2"/>
  <c r="L547" i="2" s="1"/>
  <c r="G547" i="2"/>
  <c r="X546" i="2"/>
  <c r="W546" i="2"/>
  <c r="U546" i="2"/>
  <c r="T546" i="2"/>
  <c r="S546" i="2"/>
  <c r="R546" i="2"/>
  <c r="Q546" i="2"/>
  <c r="P546" i="2"/>
  <c r="O546" i="2"/>
  <c r="J546" i="2"/>
  <c r="H546" i="2"/>
  <c r="F546" i="2"/>
  <c r="E546" i="2"/>
  <c r="V545" i="2"/>
  <c r="K545" i="2"/>
  <c r="G545" i="2"/>
  <c r="V544" i="2"/>
  <c r="N544" i="2" s="1"/>
  <c r="K544" i="2"/>
  <c r="L544" i="2" s="1"/>
  <c r="G544" i="2"/>
  <c r="V543" i="2"/>
  <c r="N543" i="2" s="1"/>
  <c r="K543" i="2"/>
  <c r="L543" i="2" s="1"/>
  <c r="G543" i="2"/>
  <c r="V542" i="2"/>
  <c r="N542" i="2" s="1"/>
  <c r="K542" i="2"/>
  <c r="L542" i="2" s="1"/>
  <c r="G542" i="2"/>
  <c r="X541" i="2"/>
  <c r="W541" i="2"/>
  <c r="U541" i="2"/>
  <c r="T541" i="2"/>
  <c r="S541" i="2"/>
  <c r="R541" i="2"/>
  <c r="Q541" i="2"/>
  <c r="P541" i="2"/>
  <c r="O541" i="2"/>
  <c r="J541" i="2"/>
  <c r="I541" i="2"/>
  <c r="H541" i="2"/>
  <c r="F541" i="2"/>
  <c r="E541" i="2"/>
  <c r="V540" i="2"/>
  <c r="N540" i="2" s="1"/>
  <c r="I540" i="2"/>
  <c r="K540" i="2" s="1"/>
  <c r="L540" i="2" s="1"/>
  <c r="G540" i="2"/>
  <c r="V539" i="2"/>
  <c r="N539" i="2" s="1"/>
  <c r="K539" i="2"/>
  <c r="L539" i="2" s="1"/>
  <c r="G539" i="2"/>
  <c r="V538" i="2"/>
  <c r="N538" i="2" s="1"/>
  <c r="I538" i="2"/>
  <c r="G538" i="2"/>
  <c r="V537" i="2"/>
  <c r="N537" i="2" s="1"/>
  <c r="K537" i="2"/>
  <c r="X536" i="2"/>
  <c r="W536" i="2"/>
  <c r="U536" i="2"/>
  <c r="T536" i="2"/>
  <c r="S536" i="2"/>
  <c r="R536" i="2"/>
  <c r="Q536" i="2"/>
  <c r="P536" i="2"/>
  <c r="O536" i="2"/>
  <c r="J536" i="2"/>
  <c r="H536" i="2"/>
  <c r="F536" i="2"/>
  <c r="E536" i="2"/>
  <c r="V535" i="2"/>
  <c r="N535" i="2" s="1"/>
  <c r="N534" i="2" s="1"/>
  <c r="K535" i="2"/>
  <c r="G535" i="2"/>
  <c r="X534" i="2"/>
  <c r="W534" i="2"/>
  <c r="U534" i="2"/>
  <c r="T534" i="2"/>
  <c r="S534" i="2"/>
  <c r="R534" i="2"/>
  <c r="Q534" i="2"/>
  <c r="P534" i="2"/>
  <c r="O534" i="2"/>
  <c r="J534" i="2"/>
  <c r="I534" i="2"/>
  <c r="H534" i="2"/>
  <c r="F534" i="2"/>
  <c r="E534" i="2"/>
  <c r="V533" i="2"/>
  <c r="N533" i="2" s="1"/>
  <c r="K533" i="2"/>
  <c r="L533" i="2" s="1"/>
  <c r="G533" i="2"/>
  <c r="V532" i="2"/>
  <c r="N532" i="2" s="1"/>
  <c r="K532" i="2"/>
  <c r="L532" i="2" s="1"/>
  <c r="G532" i="2"/>
  <c r="V531" i="2"/>
  <c r="N531" i="2" s="1"/>
  <c r="K531" i="2"/>
  <c r="L531" i="2" s="1"/>
  <c r="G531" i="2"/>
  <c r="V530" i="2"/>
  <c r="N530" i="2" s="1"/>
  <c r="K530" i="2"/>
  <c r="Q529" i="2"/>
  <c r="I529" i="2"/>
  <c r="K529" i="2" s="1"/>
  <c r="L529" i="2" s="1"/>
  <c r="G529" i="2"/>
  <c r="V528" i="2"/>
  <c r="N528" i="2" s="1"/>
  <c r="I528" i="2"/>
  <c r="G528" i="2"/>
  <c r="V527" i="2"/>
  <c r="N527" i="2" s="1"/>
  <c r="K527" i="2"/>
  <c r="L527" i="2" s="1"/>
  <c r="G527" i="2"/>
  <c r="V526" i="2"/>
  <c r="N526" i="2" s="1"/>
  <c r="K526" i="2"/>
  <c r="L526" i="2" s="1"/>
  <c r="G526" i="2"/>
  <c r="V525" i="2"/>
  <c r="N525" i="2" s="1"/>
  <c r="K525" i="2"/>
  <c r="L525" i="2" s="1"/>
  <c r="G525" i="2"/>
  <c r="V524" i="2"/>
  <c r="N524" i="2" s="1"/>
  <c r="K524" i="2"/>
  <c r="L524" i="2" s="1"/>
  <c r="G524" i="2"/>
  <c r="V523" i="2"/>
  <c r="N523" i="2" s="1"/>
  <c r="K523" i="2"/>
  <c r="L523" i="2" s="1"/>
  <c r="G523" i="2"/>
  <c r="X522" i="2"/>
  <c r="W522" i="2"/>
  <c r="U522" i="2"/>
  <c r="T522" i="2"/>
  <c r="S522" i="2"/>
  <c r="R522" i="2"/>
  <c r="P522" i="2"/>
  <c r="O522" i="2"/>
  <c r="J522" i="2"/>
  <c r="H522" i="2"/>
  <c r="F522" i="2"/>
  <c r="E522" i="2"/>
  <c r="V521" i="2"/>
  <c r="N521" i="2" s="1"/>
  <c r="K521" i="2"/>
  <c r="L521" i="2" s="1"/>
  <c r="G521" i="2"/>
  <c r="V520" i="2"/>
  <c r="N520" i="2" s="1"/>
  <c r="I520" i="2"/>
  <c r="K520" i="2" s="1"/>
  <c r="L520" i="2" s="1"/>
  <c r="G520" i="2"/>
  <c r="V519" i="2"/>
  <c r="N519" i="2" s="1"/>
  <c r="I519" i="2"/>
  <c r="G519" i="2"/>
  <c r="V518" i="2"/>
  <c r="N518" i="2" s="1"/>
  <c r="K518" i="2"/>
  <c r="X517" i="2"/>
  <c r="W517" i="2"/>
  <c r="U517" i="2"/>
  <c r="T517" i="2"/>
  <c r="S517" i="2"/>
  <c r="R517" i="2"/>
  <c r="Q517" i="2"/>
  <c r="P517" i="2"/>
  <c r="O517" i="2"/>
  <c r="J517" i="2"/>
  <c r="H517" i="2"/>
  <c r="F517" i="2"/>
  <c r="E517" i="2"/>
  <c r="X515" i="2"/>
  <c r="V515" i="2"/>
  <c r="K515" i="2"/>
  <c r="W514" i="2"/>
  <c r="U514" i="2"/>
  <c r="T514" i="2"/>
  <c r="S514" i="2"/>
  <c r="R514" i="2"/>
  <c r="Q514" i="2"/>
  <c r="P514" i="2"/>
  <c r="O514" i="2"/>
  <c r="J514" i="2"/>
  <c r="I514" i="2"/>
  <c r="H514" i="2"/>
  <c r="F514" i="2"/>
  <c r="E514" i="2"/>
  <c r="X513" i="2"/>
  <c r="X512" i="2" s="1"/>
  <c r="V513" i="2"/>
  <c r="K513" i="2"/>
  <c r="K512" i="2" s="1"/>
  <c r="W512" i="2"/>
  <c r="U512" i="2"/>
  <c r="T512" i="2"/>
  <c r="S512" i="2"/>
  <c r="R512" i="2"/>
  <c r="Q512" i="2"/>
  <c r="P512" i="2"/>
  <c r="O512" i="2"/>
  <c r="J512" i="2"/>
  <c r="I512" i="2"/>
  <c r="H512" i="2"/>
  <c r="F512" i="2"/>
  <c r="E512" i="2"/>
  <c r="V511" i="2"/>
  <c r="N511" i="2" s="1"/>
  <c r="K511" i="2"/>
  <c r="V510" i="2"/>
  <c r="N510" i="2" s="1"/>
  <c r="K510" i="2"/>
  <c r="V509" i="2"/>
  <c r="N509" i="2" s="1"/>
  <c r="K509" i="2"/>
  <c r="V508" i="2"/>
  <c r="N508" i="2" s="1"/>
  <c r="K508" i="2"/>
  <c r="V507" i="2"/>
  <c r="N507" i="2" s="1"/>
  <c r="K507" i="2"/>
  <c r="V506" i="2"/>
  <c r="N506" i="2" s="1"/>
  <c r="K506" i="2"/>
  <c r="V505" i="2"/>
  <c r="N505" i="2" s="1"/>
  <c r="K505" i="2"/>
  <c r="V504" i="2"/>
  <c r="K504" i="2"/>
  <c r="X503" i="2"/>
  <c r="W503" i="2"/>
  <c r="U503" i="2"/>
  <c r="T503" i="2"/>
  <c r="S503" i="2"/>
  <c r="R503" i="2"/>
  <c r="Q503" i="2"/>
  <c r="P503" i="2"/>
  <c r="O503" i="2"/>
  <c r="J503" i="2"/>
  <c r="I503" i="2"/>
  <c r="H503" i="2"/>
  <c r="F503" i="2"/>
  <c r="E503" i="2"/>
  <c r="V502" i="2"/>
  <c r="K502" i="2"/>
  <c r="V501" i="2"/>
  <c r="N501" i="2" s="1"/>
  <c r="K501" i="2"/>
  <c r="V500" i="2"/>
  <c r="N500" i="2" s="1"/>
  <c r="K500" i="2"/>
  <c r="V499" i="2"/>
  <c r="N499" i="2" s="1"/>
  <c r="K499" i="2"/>
  <c r="V498" i="2"/>
  <c r="N498" i="2" s="1"/>
  <c r="K498" i="2"/>
  <c r="V497" i="2"/>
  <c r="N497" i="2" s="1"/>
  <c r="K497" i="2"/>
  <c r="V496" i="2"/>
  <c r="N496" i="2" s="1"/>
  <c r="K496" i="2"/>
  <c r="V495" i="2"/>
  <c r="N495" i="2" s="1"/>
  <c r="K495" i="2"/>
  <c r="V494" i="2"/>
  <c r="N494" i="2" s="1"/>
  <c r="K494" i="2"/>
  <c r="V493" i="2"/>
  <c r="N493" i="2" s="1"/>
  <c r="K493" i="2"/>
  <c r="V492" i="2"/>
  <c r="N492" i="2" s="1"/>
  <c r="K492" i="2"/>
  <c r="V491" i="2"/>
  <c r="N491" i="2" s="1"/>
  <c r="K491" i="2"/>
  <c r="V490" i="2"/>
  <c r="N490" i="2" s="1"/>
  <c r="K490" i="2"/>
  <c r="V488" i="2"/>
  <c r="N488" i="2" s="1"/>
  <c r="K488" i="2"/>
  <c r="V487" i="2"/>
  <c r="N487" i="2" s="1"/>
  <c r="K487" i="2"/>
  <c r="V486" i="2"/>
  <c r="N486" i="2" s="1"/>
  <c r="K486" i="2"/>
  <c r="V485" i="2"/>
  <c r="N485" i="2" s="1"/>
  <c r="K485" i="2"/>
  <c r="V484" i="2"/>
  <c r="N484" i="2" s="1"/>
  <c r="K484" i="2"/>
  <c r="V483" i="2"/>
  <c r="N483" i="2" s="1"/>
  <c r="K483" i="2"/>
  <c r="V482" i="2"/>
  <c r="N482" i="2" s="1"/>
  <c r="K482" i="2"/>
  <c r="V481" i="2"/>
  <c r="N481" i="2" s="1"/>
  <c r="K481" i="2"/>
  <c r="V480" i="2"/>
  <c r="N480" i="2" s="1"/>
  <c r="K480" i="2"/>
  <c r="V479" i="2"/>
  <c r="N479" i="2" s="1"/>
  <c r="K479" i="2"/>
  <c r="V478" i="2"/>
  <c r="N478" i="2" s="1"/>
  <c r="K478" i="2"/>
  <c r="V477" i="2"/>
  <c r="N477" i="2" s="1"/>
  <c r="K477" i="2"/>
  <c r="J476" i="2"/>
  <c r="J475" i="2" s="1"/>
  <c r="I476" i="2"/>
  <c r="H476" i="2"/>
  <c r="H475" i="2" s="1"/>
  <c r="F476" i="2"/>
  <c r="E476" i="2"/>
  <c r="E475" i="2" s="1"/>
  <c r="V474" i="2"/>
  <c r="N474" i="2" s="1"/>
  <c r="N473" i="2" s="1"/>
  <c r="K474" i="2"/>
  <c r="K473" i="2" s="1"/>
  <c r="G474" i="2"/>
  <c r="X473" i="2"/>
  <c r="W473" i="2"/>
  <c r="U473" i="2"/>
  <c r="T473" i="2"/>
  <c r="S473" i="2"/>
  <c r="R473" i="2"/>
  <c r="Q473" i="2"/>
  <c r="P473" i="2"/>
  <c r="O473" i="2"/>
  <c r="J473" i="2"/>
  <c r="I473" i="2"/>
  <c r="H473" i="2"/>
  <c r="F473" i="2"/>
  <c r="E473" i="2"/>
  <c r="V470" i="2"/>
  <c r="N470" i="2" s="1"/>
  <c r="K470" i="2"/>
  <c r="L470" i="2" s="1"/>
  <c r="G470" i="2"/>
  <c r="V469" i="2"/>
  <c r="N469" i="2" s="1"/>
  <c r="K469" i="2"/>
  <c r="L469" i="2" s="1"/>
  <c r="G469" i="2"/>
  <c r="X468" i="2"/>
  <c r="W468" i="2"/>
  <c r="U468" i="2"/>
  <c r="T468" i="2"/>
  <c r="S468" i="2"/>
  <c r="R468" i="2"/>
  <c r="Q468" i="2"/>
  <c r="P468" i="2"/>
  <c r="O468" i="2"/>
  <c r="J468" i="2"/>
  <c r="I468" i="2"/>
  <c r="H468" i="2"/>
  <c r="F468" i="2"/>
  <c r="G468" i="2" s="1"/>
  <c r="V467" i="2"/>
  <c r="N467" i="2" s="1"/>
  <c r="K467" i="2"/>
  <c r="G467" i="2"/>
  <c r="V466" i="2"/>
  <c r="N466" i="2" s="1"/>
  <c r="K466" i="2"/>
  <c r="L466" i="2" s="1"/>
  <c r="G466" i="2"/>
  <c r="V465" i="2"/>
  <c r="N465" i="2" s="1"/>
  <c r="K465" i="2"/>
  <c r="L465" i="2" s="1"/>
  <c r="G465" i="2"/>
  <c r="V464" i="2"/>
  <c r="N464" i="2" s="1"/>
  <c r="K464" i="2"/>
  <c r="L464" i="2" s="1"/>
  <c r="G464" i="2"/>
  <c r="V463" i="2"/>
  <c r="N463" i="2" s="1"/>
  <c r="K463" i="2"/>
  <c r="L463" i="2" s="1"/>
  <c r="G463" i="2"/>
  <c r="V462" i="2"/>
  <c r="N462" i="2" s="1"/>
  <c r="K462" i="2"/>
  <c r="L462" i="2" s="1"/>
  <c r="G462" i="2"/>
  <c r="V461" i="2"/>
  <c r="N461" i="2" s="1"/>
  <c r="K461" i="2"/>
  <c r="L461" i="2" s="1"/>
  <c r="G461" i="2"/>
  <c r="V460" i="2"/>
  <c r="N460" i="2" s="1"/>
  <c r="K460" i="2"/>
  <c r="L460" i="2" s="1"/>
  <c r="G460" i="2"/>
  <c r="V459" i="2"/>
  <c r="N459" i="2" s="1"/>
  <c r="K459" i="2"/>
  <c r="L459" i="2" s="1"/>
  <c r="G459" i="2"/>
  <c r="V458" i="2"/>
  <c r="N458" i="2" s="1"/>
  <c r="K458" i="2"/>
  <c r="L458" i="2" s="1"/>
  <c r="G458" i="2"/>
  <c r="V457" i="2"/>
  <c r="N457" i="2" s="1"/>
  <c r="K457" i="2"/>
  <c r="L457" i="2" s="1"/>
  <c r="G457" i="2"/>
  <c r="X456" i="2"/>
  <c r="W456" i="2"/>
  <c r="U456" i="2"/>
  <c r="T456" i="2"/>
  <c r="S456" i="2"/>
  <c r="R456" i="2"/>
  <c r="Q456" i="2"/>
  <c r="P456" i="2"/>
  <c r="O456" i="2"/>
  <c r="J456" i="2"/>
  <c r="I456" i="2"/>
  <c r="H456" i="2"/>
  <c r="F456" i="2"/>
  <c r="E456" i="2"/>
  <c r="V454" i="2"/>
  <c r="N454" i="2" s="1"/>
  <c r="K454" i="2"/>
  <c r="L454" i="2" s="1"/>
  <c r="G454" i="2"/>
  <c r="V453" i="2"/>
  <c r="N453" i="2" s="1"/>
  <c r="K453" i="2"/>
  <c r="G453" i="2"/>
  <c r="X452" i="2"/>
  <c r="X449" i="2" s="1"/>
  <c r="W452" i="2"/>
  <c r="W449" i="2" s="1"/>
  <c r="U452" i="2"/>
  <c r="U449" i="2" s="1"/>
  <c r="T452" i="2"/>
  <c r="S452" i="2"/>
  <c r="S449" i="2" s="1"/>
  <c r="R452" i="2"/>
  <c r="R449" i="2" s="1"/>
  <c r="Q452" i="2"/>
  <c r="Q449" i="2" s="1"/>
  <c r="P452" i="2"/>
  <c r="P449" i="2" s="1"/>
  <c r="O452" i="2"/>
  <c r="J452" i="2"/>
  <c r="J449" i="2" s="1"/>
  <c r="I452" i="2"/>
  <c r="I449" i="2" s="1"/>
  <c r="H452" i="2"/>
  <c r="H449" i="2" s="1"/>
  <c r="F452" i="2"/>
  <c r="E452" i="2"/>
  <c r="V451" i="2"/>
  <c r="N451" i="2" s="1"/>
  <c r="N450" i="2" s="1"/>
  <c r="K451" i="2"/>
  <c r="X450" i="2"/>
  <c r="W450" i="2"/>
  <c r="U450" i="2"/>
  <c r="T450" i="2"/>
  <c r="S450" i="2"/>
  <c r="R450" i="2"/>
  <c r="Q450" i="2"/>
  <c r="P450" i="2"/>
  <c r="O450" i="2"/>
  <c r="J450" i="2"/>
  <c r="I450" i="2"/>
  <c r="H450" i="2"/>
  <c r="F450" i="2"/>
  <c r="E450" i="2"/>
  <c r="T449" i="2"/>
  <c r="V448" i="2"/>
  <c r="N448" i="2" s="1"/>
  <c r="K448" i="2"/>
  <c r="V447" i="2"/>
  <c r="N447" i="2" s="1"/>
  <c r="K447" i="2"/>
  <c r="L447" i="2" s="1"/>
  <c r="G447" i="2"/>
  <c r="V446" i="2"/>
  <c r="N446" i="2" s="1"/>
  <c r="K446" i="2"/>
  <c r="L446" i="2" s="1"/>
  <c r="G446" i="2"/>
  <c r="V445" i="2"/>
  <c r="N445" i="2" s="1"/>
  <c r="K445" i="2"/>
  <c r="V444" i="2"/>
  <c r="N444" i="2" s="1"/>
  <c r="K444" i="2"/>
  <c r="L444" i="2" s="1"/>
  <c r="G444" i="2"/>
  <c r="V443" i="2"/>
  <c r="N443" i="2" s="1"/>
  <c r="K443" i="2"/>
  <c r="L443" i="2" s="1"/>
  <c r="G443" i="2"/>
  <c r="V442" i="2"/>
  <c r="N442" i="2" s="1"/>
  <c r="K442" i="2"/>
  <c r="L442" i="2" s="1"/>
  <c r="G442" i="2"/>
  <c r="V441" i="2"/>
  <c r="N441" i="2" s="1"/>
  <c r="K441" i="2"/>
  <c r="G441" i="2"/>
  <c r="X440" i="2"/>
  <c r="W440" i="2"/>
  <c r="U440" i="2"/>
  <c r="T440" i="2"/>
  <c r="S440" i="2"/>
  <c r="R440" i="2"/>
  <c r="Q440" i="2"/>
  <c r="P440" i="2"/>
  <c r="O440" i="2"/>
  <c r="J440" i="2"/>
  <c r="I440" i="2"/>
  <c r="H440" i="2"/>
  <c r="F440" i="2"/>
  <c r="E440" i="2"/>
  <c r="V439" i="2"/>
  <c r="N439" i="2" s="1"/>
  <c r="K439" i="2"/>
  <c r="L439" i="2" s="1"/>
  <c r="G439" i="2"/>
  <c r="V438" i="2"/>
  <c r="N438" i="2" s="1"/>
  <c r="K438" i="2"/>
  <c r="L438" i="2" s="1"/>
  <c r="G438" i="2"/>
  <c r="X437" i="2"/>
  <c r="W437" i="2"/>
  <c r="U437" i="2"/>
  <c r="T437" i="2"/>
  <c r="S437" i="2"/>
  <c r="R437" i="2"/>
  <c r="Q437" i="2"/>
  <c r="P437" i="2"/>
  <c r="O437" i="2"/>
  <c r="J437" i="2"/>
  <c r="I437" i="2"/>
  <c r="H437" i="2"/>
  <c r="F437" i="2"/>
  <c r="E437" i="2"/>
  <c r="X436" i="2"/>
  <c r="X618" i="2" s="1"/>
  <c r="V436" i="2"/>
  <c r="N436" i="2" s="1"/>
  <c r="N435" i="2" s="1"/>
  <c r="K436" i="2"/>
  <c r="X435" i="2"/>
  <c r="W435" i="2"/>
  <c r="U435" i="2"/>
  <c r="T435" i="2"/>
  <c r="S435" i="2"/>
  <c r="R435" i="2"/>
  <c r="Q435" i="2"/>
  <c r="P435" i="2"/>
  <c r="O435" i="2"/>
  <c r="J435" i="2"/>
  <c r="I435" i="2"/>
  <c r="H435" i="2"/>
  <c r="F435" i="2"/>
  <c r="E435" i="2"/>
  <c r="V434" i="2"/>
  <c r="N434" i="2" s="1"/>
  <c r="K434" i="2"/>
  <c r="L434" i="2" s="1"/>
  <c r="G434" i="2"/>
  <c r="V433" i="2"/>
  <c r="N433" i="2" s="1"/>
  <c r="K433" i="2"/>
  <c r="G433" i="2"/>
  <c r="V432" i="2"/>
  <c r="N432" i="2" s="1"/>
  <c r="K432" i="2"/>
  <c r="L432" i="2" s="1"/>
  <c r="G432" i="2"/>
  <c r="X431" i="2"/>
  <c r="W431" i="2"/>
  <c r="U431" i="2"/>
  <c r="T431" i="2"/>
  <c r="S431" i="2"/>
  <c r="R431" i="2"/>
  <c r="Q431" i="2"/>
  <c r="P431" i="2"/>
  <c r="O431" i="2"/>
  <c r="J431" i="2"/>
  <c r="I431" i="2"/>
  <c r="H431" i="2"/>
  <c r="F431" i="2"/>
  <c r="E431" i="2"/>
  <c r="V430" i="2"/>
  <c r="N430" i="2" s="1"/>
  <c r="K430" i="2"/>
  <c r="G430" i="2"/>
  <c r="V429" i="2"/>
  <c r="N429" i="2" s="1"/>
  <c r="K429" i="2"/>
  <c r="L429" i="2" s="1"/>
  <c r="G429" i="2"/>
  <c r="V428" i="2"/>
  <c r="N428" i="2" s="1"/>
  <c r="K428" i="2"/>
  <c r="L428" i="2" s="1"/>
  <c r="G428" i="2"/>
  <c r="V427" i="2"/>
  <c r="N427" i="2" s="1"/>
  <c r="K427" i="2"/>
  <c r="L427" i="2" s="1"/>
  <c r="G427" i="2"/>
  <c r="V426" i="2"/>
  <c r="N426" i="2" s="1"/>
  <c r="K426" i="2"/>
  <c r="L426" i="2" s="1"/>
  <c r="G426" i="2"/>
  <c r="V425" i="2"/>
  <c r="N425" i="2" s="1"/>
  <c r="K425" i="2"/>
  <c r="L425" i="2" s="1"/>
  <c r="G425" i="2"/>
  <c r="V424" i="2"/>
  <c r="N424" i="2" s="1"/>
  <c r="K424" i="2"/>
  <c r="L424" i="2" s="1"/>
  <c r="G424" i="2"/>
  <c r="V423" i="2"/>
  <c r="N423" i="2" s="1"/>
  <c r="K423" i="2"/>
  <c r="L423" i="2" s="1"/>
  <c r="G423" i="2"/>
  <c r="V422" i="2"/>
  <c r="N422" i="2" s="1"/>
  <c r="K422" i="2"/>
  <c r="L422" i="2" s="1"/>
  <c r="G422" i="2"/>
  <c r="V421" i="2"/>
  <c r="N421" i="2" s="1"/>
  <c r="K421" i="2"/>
  <c r="L421" i="2" s="1"/>
  <c r="G421" i="2"/>
  <c r="V420" i="2"/>
  <c r="N420" i="2" s="1"/>
  <c r="K420" i="2"/>
  <c r="L420" i="2" s="1"/>
  <c r="G420" i="2"/>
  <c r="V419" i="2"/>
  <c r="N419" i="2" s="1"/>
  <c r="K419" i="2"/>
  <c r="L419" i="2" s="1"/>
  <c r="G419" i="2"/>
  <c r="V418" i="2"/>
  <c r="N418" i="2" s="1"/>
  <c r="K418" i="2"/>
  <c r="L418" i="2" s="1"/>
  <c r="G418" i="2"/>
  <c r="V417" i="2"/>
  <c r="N417" i="2" s="1"/>
  <c r="K417" i="2"/>
  <c r="L417" i="2" s="1"/>
  <c r="G417" i="2"/>
  <c r="V416" i="2"/>
  <c r="N416" i="2" s="1"/>
  <c r="K416" i="2"/>
  <c r="L416" i="2" s="1"/>
  <c r="G416" i="2"/>
  <c r="V415" i="2"/>
  <c r="N415" i="2" s="1"/>
  <c r="K415" i="2"/>
  <c r="L415" i="2" s="1"/>
  <c r="G415" i="2"/>
  <c r="V414" i="2"/>
  <c r="N414" i="2" s="1"/>
  <c r="K414" i="2"/>
  <c r="L414" i="2" s="1"/>
  <c r="G414" i="2"/>
  <c r="V413" i="2"/>
  <c r="N413" i="2" s="1"/>
  <c r="K413" i="2"/>
  <c r="L413" i="2" s="1"/>
  <c r="G413" i="2"/>
  <c r="V412" i="2"/>
  <c r="N412" i="2" s="1"/>
  <c r="K412" i="2"/>
  <c r="L412" i="2" s="1"/>
  <c r="G412" i="2"/>
  <c r="V411" i="2"/>
  <c r="N411" i="2" s="1"/>
  <c r="K411" i="2"/>
  <c r="L411" i="2" s="1"/>
  <c r="G411" i="2"/>
  <c r="X410" i="2"/>
  <c r="W410" i="2"/>
  <c r="U410" i="2"/>
  <c r="T410" i="2"/>
  <c r="S410" i="2"/>
  <c r="R410" i="2"/>
  <c r="Q410" i="2"/>
  <c r="P410" i="2"/>
  <c r="O410" i="2"/>
  <c r="J410" i="2"/>
  <c r="I410" i="2"/>
  <c r="H410" i="2"/>
  <c r="F410" i="2"/>
  <c r="E410" i="2"/>
  <c r="V409" i="2"/>
  <c r="N409" i="2" s="1"/>
  <c r="K409" i="2"/>
  <c r="L409" i="2" s="1"/>
  <c r="G409" i="2"/>
  <c r="V408" i="2"/>
  <c r="N408" i="2" s="1"/>
  <c r="K408" i="2"/>
  <c r="L408" i="2" s="1"/>
  <c r="G408" i="2"/>
  <c r="X407" i="2"/>
  <c r="W407" i="2"/>
  <c r="U407" i="2"/>
  <c r="T407" i="2"/>
  <c r="S407" i="2"/>
  <c r="R407" i="2"/>
  <c r="Q407" i="2"/>
  <c r="P407" i="2"/>
  <c r="O407" i="2"/>
  <c r="J407" i="2"/>
  <c r="I407" i="2"/>
  <c r="H407" i="2"/>
  <c r="F407" i="2"/>
  <c r="E407" i="2"/>
  <c r="V406" i="2"/>
  <c r="N406" i="2" s="1"/>
  <c r="K406" i="2"/>
  <c r="L406" i="2" s="1"/>
  <c r="G406" i="2"/>
  <c r="V405" i="2"/>
  <c r="N405" i="2" s="1"/>
  <c r="K405" i="2"/>
  <c r="G405" i="2"/>
  <c r="X404" i="2"/>
  <c r="W404" i="2"/>
  <c r="U404" i="2"/>
  <c r="T404" i="2"/>
  <c r="S404" i="2"/>
  <c r="R404" i="2"/>
  <c r="Q404" i="2"/>
  <c r="P404" i="2"/>
  <c r="O404" i="2"/>
  <c r="J404" i="2"/>
  <c r="I404" i="2"/>
  <c r="H404" i="2"/>
  <c r="F404" i="2"/>
  <c r="E404" i="2"/>
  <c r="V403" i="2"/>
  <c r="N403" i="2" s="1"/>
  <c r="N402" i="2" s="1"/>
  <c r="K403" i="2"/>
  <c r="K402" i="2" s="1"/>
  <c r="G403" i="2"/>
  <c r="X402" i="2"/>
  <c r="W402" i="2"/>
  <c r="U402" i="2"/>
  <c r="T402" i="2"/>
  <c r="S402" i="2"/>
  <c r="R402" i="2"/>
  <c r="Q402" i="2"/>
  <c r="P402" i="2"/>
  <c r="O402" i="2"/>
  <c r="J402" i="2"/>
  <c r="I402" i="2"/>
  <c r="H402" i="2"/>
  <c r="F402" i="2"/>
  <c r="E402" i="2"/>
  <c r="V401" i="2"/>
  <c r="N401" i="2" s="1"/>
  <c r="K401" i="2"/>
  <c r="L401" i="2" s="1"/>
  <c r="G401" i="2"/>
  <c r="V400" i="2"/>
  <c r="N400" i="2" s="1"/>
  <c r="K400" i="2"/>
  <c r="G400" i="2"/>
  <c r="X399" i="2"/>
  <c r="W399" i="2"/>
  <c r="U399" i="2"/>
  <c r="T399" i="2"/>
  <c r="S399" i="2"/>
  <c r="R399" i="2"/>
  <c r="Q399" i="2"/>
  <c r="P399" i="2"/>
  <c r="O399" i="2"/>
  <c r="J399" i="2"/>
  <c r="I399" i="2"/>
  <c r="H399" i="2"/>
  <c r="F399" i="2"/>
  <c r="E399" i="2"/>
  <c r="V398" i="2"/>
  <c r="N398" i="2" s="1"/>
  <c r="K398" i="2"/>
  <c r="L398" i="2" s="1"/>
  <c r="G398" i="2"/>
  <c r="V397" i="2"/>
  <c r="N397" i="2" s="1"/>
  <c r="K397" i="2"/>
  <c r="L397" i="2" s="1"/>
  <c r="G397" i="2"/>
  <c r="V396" i="2"/>
  <c r="N396" i="2" s="1"/>
  <c r="K396" i="2"/>
  <c r="L396" i="2" s="1"/>
  <c r="G396" i="2"/>
  <c r="V395" i="2"/>
  <c r="N395" i="2" s="1"/>
  <c r="K395" i="2"/>
  <c r="L395" i="2" s="1"/>
  <c r="G395" i="2"/>
  <c r="V394" i="2"/>
  <c r="N394" i="2" s="1"/>
  <c r="K394" i="2"/>
  <c r="L394" i="2" s="1"/>
  <c r="G394" i="2"/>
  <c r="V393" i="2"/>
  <c r="N393" i="2" s="1"/>
  <c r="K393" i="2"/>
  <c r="L393" i="2" s="1"/>
  <c r="G393" i="2"/>
  <c r="V392" i="2"/>
  <c r="N392" i="2" s="1"/>
  <c r="K392" i="2"/>
  <c r="L392" i="2" s="1"/>
  <c r="G392" i="2"/>
  <c r="V391" i="2"/>
  <c r="N391" i="2" s="1"/>
  <c r="K391" i="2"/>
  <c r="L391" i="2" s="1"/>
  <c r="G391" i="2"/>
  <c r="V390" i="2"/>
  <c r="N390" i="2" s="1"/>
  <c r="K390" i="2"/>
  <c r="L390" i="2" s="1"/>
  <c r="G390" i="2"/>
  <c r="V389" i="2"/>
  <c r="N389" i="2" s="1"/>
  <c r="K389" i="2"/>
  <c r="L389" i="2" s="1"/>
  <c r="G389" i="2"/>
  <c r="V388" i="2"/>
  <c r="N388" i="2" s="1"/>
  <c r="K388" i="2"/>
  <c r="L388" i="2" s="1"/>
  <c r="G388" i="2"/>
  <c r="V387" i="2"/>
  <c r="N387" i="2" s="1"/>
  <c r="K387" i="2"/>
  <c r="L387" i="2" s="1"/>
  <c r="G387" i="2"/>
  <c r="V386" i="2"/>
  <c r="N386" i="2" s="1"/>
  <c r="K386" i="2"/>
  <c r="L386" i="2" s="1"/>
  <c r="G386" i="2"/>
  <c r="V385" i="2"/>
  <c r="N385" i="2" s="1"/>
  <c r="K385" i="2"/>
  <c r="G385" i="2"/>
  <c r="V384" i="2"/>
  <c r="N384" i="2" s="1"/>
  <c r="K384" i="2"/>
  <c r="L384" i="2" s="1"/>
  <c r="G384" i="2"/>
  <c r="F383" i="2"/>
  <c r="E383" i="2"/>
  <c r="V382" i="2"/>
  <c r="N382" i="2" s="1"/>
  <c r="K382" i="2"/>
  <c r="L382" i="2" s="1"/>
  <c r="G382" i="2"/>
  <c r="V381" i="2"/>
  <c r="N381" i="2" s="1"/>
  <c r="K381" i="2"/>
  <c r="L381" i="2" s="1"/>
  <c r="G381" i="2"/>
  <c r="V380" i="2"/>
  <c r="N380" i="2" s="1"/>
  <c r="K380" i="2"/>
  <c r="L380" i="2" s="1"/>
  <c r="G380" i="2"/>
  <c r="V379" i="2"/>
  <c r="N379" i="2" s="1"/>
  <c r="K379" i="2"/>
  <c r="L379" i="2" s="1"/>
  <c r="G379" i="2"/>
  <c r="V378" i="2"/>
  <c r="N378" i="2" s="1"/>
  <c r="K378" i="2"/>
  <c r="L378" i="2" s="1"/>
  <c r="G378" i="2"/>
  <c r="V377" i="2"/>
  <c r="N377" i="2" s="1"/>
  <c r="K377" i="2"/>
  <c r="L377" i="2" s="1"/>
  <c r="G377" i="2"/>
  <c r="V376" i="2"/>
  <c r="N376" i="2" s="1"/>
  <c r="K376" i="2"/>
  <c r="L376" i="2" s="1"/>
  <c r="G376" i="2"/>
  <c r="V375" i="2"/>
  <c r="N375" i="2" s="1"/>
  <c r="K375" i="2"/>
  <c r="G375" i="2"/>
  <c r="X374" i="2"/>
  <c r="W374" i="2"/>
  <c r="U374" i="2"/>
  <c r="T374" i="2"/>
  <c r="S374" i="2"/>
  <c r="R374" i="2"/>
  <c r="Q374" i="2"/>
  <c r="P374" i="2"/>
  <c r="O374" i="2"/>
  <c r="J374" i="2"/>
  <c r="I374" i="2"/>
  <c r="H374" i="2"/>
  <c r="F374" i="2"/>
  <c r="E374" i="2"/>
  <c r="V373" i="2"/>
  <c r="N373" i="2" s="1"/>
  <c r="K373" i="2"/>
  <c r="L373" i="2" s="1"/>
  <c r="G373" i="2"/>
  <c r="V372" i="2"/>
  <c r="N372" i="2" s="1"/>
  <c r="K372" i="2"/>
  <c r="L372" i="2" s="1"/>
  <c r="G372" i="2"/>
  <c r="V371" i="2"/>
  <c r="N371" i="2" s="1"/>
  <c r="K371" i="2"/>
  <c r="L371" i="2" s="1"/>
  <c r="G371" i="2"/>
  <c r="V370" i="2"/>
  <c r="N370" i="2" s="1"/>
  <c r="K370" i="2"/>
  <c r="L370" i="2" s="1"/>
  <c r="G370" i="2"/>
  <c r="V369" i="2"/>
  <c r="N369" i="2" s="1"/>
  <c r="K369" i="2"/>
  <c r="L369" i="2" s="1"/>
  <c r="G369" i="2"/>
  <c r="V368" i="2"/>
  <c r="N368" i="2" s="1"/>
  <c r="K368" i="2"/>
  <c r="L368" i="2" s="1"/>
  <c r="G368" i="2"/>
  <c r="V367" i="2"/>
  <c r="N367" i="2" s="1"/>
  <c r="K367" i="2"/>
  <c r="L367" i="2" s="1"/>
  <c r="G367" i="2"/>
  <c r="V366" i="2"/>
  <c r="N366" i="2" s="1"/>
  <c r="K366" i="2"/>
  <c r="L366" i="2" s="1"/>
  <c r="G366" i="2"/>
  <c r="X365" i="2"/>
  <c r="W365" i="2"/>
  <c r="U365" i="2"/>
  <c r="T365" i="2"/>
  <c r="S365" i="2"/>
  <c r="R365" i="2"/>
  <c r="Q365" i="2"/>
  <c r="P365" i="2"/>
  <c r="O365" i="2"/>
  <c r="J365" i="2"/>
  <c r="I365" i="2"/>
  <c r="H365" i="2"/>
  <c r="F365" i="2"/>
  <c r="E365" i="2"/>
  <c r="V364" i="2"/>
  <c r="N364" i="2" s="1"/>
  <c r="K364" i="2"/>
  <c r="L364" i="2" s="1"/>
  <c r="G364" i="2"/>
  <c r="V363" i="2"/>
  <c r="N363" i="2" s="1"/>
  <c r="K363" i="2"/>
  <c r="G363" i="2"/>
  <c r="X362" i="2"/>
  <c r="W362" i="2"/>
  <c r="U362" i="2"/>
  <c r="T362" i="2"/>
  <c r="S362" i="2"/>
  <c r="R362" i="2"/>
  <c r="Q362" i="2"/>
  <c r="P362" i="2"/>
  <c r="O362" i="2"/>
  <c r="J362" i="2"/>
  <c r="I362" i="2"/>
  <c r="H362" i="2"/>
  <c r="F362" i="2"/>
  <c r="E362" i="2"/>
  <c r="V361" i="2"/>
  <c r="N361" i="2" s="1"/>
  <c r="N360" i="2" s="1"/>
  <c r="K361" i="2"/>
  <c r="G361" i="2"/>
  <c r="X360" i="2"/>
  <c r="W360" i="2"/>
  <c r="U360" i="2"/>
  <c r="T360" i="2"/>
  <c r="S360" i="2"/>
  <c r="R360" i="2"/>
  <c r="Q360" i="2"/>
  <c r="P360" i="2"/>
  <c r="O360" i="2"/>
  <c r="J360" i="2"/>
  <c r="I360" i="2"/>
  <c r="H360" i="2"/>
  <c r="F360" i="2"/>
  <c r="E360" i="2"/>
  <c r="X359" i="2"/>
  <c r="X358" i="2" s="1"/>
  <c r="V359" i="2"/>
  <c r="K359" i="2"/>
  <c r="L359" i="2" s="1"/>
  <c r="G359" i="2"/>
  <c r="W358" i="2"/>
  <c r="U358" i="2"/>
  <c r="T358" i="2"/>
  <c r="S358" i="2"/>
  <c r="R358" i="2"/>
  <c r="Q358" i="2"/>
  <c r="P358" i="2"/>
  <c r="O358" i="2"/>
  <c r="J358" i="2"/>
  <c r="I358" i="2"/>
  <c r="H358" i="2"/>
  <c r="F358" i="2"/>
  <c r="E358" i="2"/>
  <c r="V357" i="2"/>
  <c r="N357" i="2" s="1"/>
  <c r="N356" i="2" s="1"/>
  <c r="K357" i="2"/>
  <c r="L357" i="2" s="1"/>
  <c r="G357" i="2"/>
  <c r="X356" i="2"/>
  <c r="W356" i="2"/>
  <c r="U356" i="2"/>
  <c r="T356" i="2"/>
  <c r="S356" i="2"/>
  <c r="R356" i="2"/>
  <c r="Q356" i="2"/>
  <c r="P356" i="2"/>
  <c r="O356" i="2"/>
  <c r="J356" i="2"/>
  <c r="I356" i="2"/>
  <c r="H356" i="2"/>
  <c r="F356" i="2"/>
  <c r="E356" i="2"/>
  <c r="V354" i="2"/>
  <c r="N354" i="2" s="1"/>
  <c r="K354" i="2"/>
  <c r="L354" i="2" s="1"/>
  <c r="G354" i="2"/>
  <c r="V353" i="2"/>
  <c r="N353" i="2" s="1"/>
  <c r="K353" i="2"/>
  <c r="L353" i="2" s="1"/>
  <c r="G353" i="2"/>
  <c r="V352" i="2"/>
  <c r="N352" i="2" s="1"/>
  <c r="K352" i="2"/>
  <c r="L352" i="2" s="1"/>
  <c r="G352" i="2"/>
  <c r="X351" i="2"/>
  <c r="W351" i="2"/>
  <c r="U351" i="2"/>
  <c r="T351" i="2"/>
  <c r="S351" i="2"/>
  <c r="R351" i="2"/>
  <c r="Q351" i="2"/>
  <c r="P351" i="2"/>
  <c r="O351" i="2"/>
  <c r="J351" i="2"/>
  <c r="I351" i="2"/>
  <c r="H351" i="2"/>
  <c r="F351" i="2"/>
  <c r="E351" i="2"/>
  <c r="V350" i="2"/>
  <c r="N350" i="2" s="1"/>
  <c r="K350" i="2"/>
  <c r="L350" i="2" s="1"/>
  <c r="G350" i="2"/>
  <c r="V349" i="2"/>
  <c r="N349" i="2" s="1"/>
  <c r="K349" i="2"/>
  <c r="L349" i="2" s="1"/>
  <c r="G349" i="2"/>
  <c r="O348" i="2"/>
  <c r="I348" i="2"/>
  <c r="K348" i="2" s="1"/>
  <c r="L348" i="2" s="1"/>
  <c r="G348" i="2"/>
  <c r="V347" i="2"/>
  <c r="N347" i="2" s="1"/>
  <c r="K347" i="2"/>
  <c r="L347" i="2" s="1"/>
  <c r="G347" i="2"/>
  <c r="V346" i="2"/>
  <c r="N346" i="2" s="1"/>
  <c r="K346" i="2"/>
  <c r="L346" i="2" s="1"/>
  <c r="G346" i="2"/>
  <c r="V345" i="2"/>
  <c r="N345" i="2" s="1"/>
  <c r="K345" i="2"/>
  <c r="L345" i="2" s="1"/>
  <c r="G345" i="2"/>
  <c r="O344" i="2"/>
  <c r="I344" i="2"/>
  <c r="G344" i="2"/>
  <c r="V343" i="2"/>
  <c r="N343" i="2" s="1"/>
  <c r="K343" i="2"/>
  <c r="L343" i="2" s="1"/>
  <c r="G343" i="2"/>
  <c r="V342" i="2"/>
  <c r="N342" i="2" s="1"/>
  <c r="K342" i="2"/>
  <c r="L342" i="2" s="1"/>
  <c r="G342" i="2"/>
  <c r="V341" i="2"/>
  <c r="N341" i="2" s="1"/>
  <c r="K341" i="2"/>
  <c r="L341" i="2" s="1"/>
  <c r="G341" i="2"/>
  <c r="V340" i="2"/>
  <c r="N340" i="2" s="1"/>
  <c r="K340" i="2"/>
  <c r="G340" i="2"/>
  <c r="X339" i="2"/>
  <c r="W339" i="2"/>
  <c r="U339" i="2"/>
  <c r="T339" i="2"/>
  <c r="S339" i="2"/>
  <c r="R339" i="2"/>
  <c r="Q339" i="2"/>
  <c r="P339" i="2"/>
  <c r="J339" i="2"/>
  <c r="H339" i="2"/>
  <c r="F339" i="2"/>
  <c r="E339" i="2"/>
  <c r="O338" i="2"/>
  <c r="V338" i="2" s="1"/>
  <c r="N338" i="2" s="1"/>
  <c r="I338" i="2"/>
  <c r="K338" i="2" s="1"/>
  <c r="L338" i="2" s="1"/>
  <c r="G338" i="2"/>
  <c r="V337" i="2"/>
  <c r="N337" i="2" s="1"/>
  <c r="K337" i="2"/>
  <c r="L337" i="2" s="1"/>
  <c r="G337" i="2"/>
  <c r="V336" i="2"/>
  <c r="N336" i="2" s="1"/>
  <c r="K336" i="2"/>
  <c r="L336" i="2" s="1"/>
  <c r="G336" i="2"/>
  <c r="V335" i="2"/>
  <c r="N335" i="2" s="1"/>
  <c r="K335" i="2"/>
  <c r="G335" i="2"/>
  <c r="V334" i="2"/>
  <c r="N334" i="2" s="1"/>
  <c r="K334" i="2"/>
  <c r="L334" i="2" s="1"/>
  <c r="G334" i="2"/>
  <c r="X333" i="2"/>
  <c r="W333" i="2"/>
  <c r="U333" i="2"/>
  <c r="T333" i="2"/>
  <c r="S333" i="2"/>
  <c r="R333" i="2"/>
  <c r="Q333" i="2"/>
  <c r="P333" i="2"/>
  <c r="J333" i="2"/>
  <c r="F333" i="2"/>
  <c r="E333" i="2"/>
  <c r="V332" i="2"/>
  <c r="N332" i="2" s="1"/>
  <c r="N331" i="2" s="1"/>
  <c r="L332" i="2"/>
  <c r="G332" i="2"/>
  <c r="X331" i="2"/>
  <c r="W331" i="2"/>
  <c r="U331" i="2"/>
  <c r="T331" i="2"/>
  <c r="S331" i="2"/>
  <c r="R331" i="2"/>
  <c r="Q331" i="2"/>
  <c r="P331" i="2"/>
  <c r="O331" i="2"/>
  <c r="K331" i="2"/>
  <c r="J331" i="2"/>
  <c r="I331" i="2"/>
  <c r="H331" i="2"/>
  <c r="F331" i="2"/>
  <c r="E331" i="2"/>
  <c r="V329" i="2"/>
  <c r="N329" i="2" s="1"/>
  <c r="K329" i="2"/>
  <c r="L329" i="2" s="1"/>
  <c r="G329" i="2"/>
  <c r="V328" i="2"/>
  <c r="N328" i="2" s="1"/>
  <c r="K328" i="2"/>
  <c r="L328" i="2" s="1"/>
  <c r="G328" i="2"/>
  <c r="V327" i="2"/>
  <c r="N327" i="2" s="1"/>
  <c r="K327" i="2"/>
  <c r="L327" i="2" s="1"/>
  <c r="G327" i="2"/>
  <c r="V326" i="2"/>
  <c r="N326" i="2" s="1"/>
  <c r="K326" i="2"/>
  <c r="L326" i="2" s="1"/>
  <c r="G326" i="2"/>
  <c r="V325" i="2"/>
  <c r="N325" i="2" s="1"/>
  <c r="K325" i="2"/>
  <c r="G325" i="2"/>
  <c r="X324" i="2"/>
  <c r="W324" i="2"/>
  <c r="U324" i="2"/>
  <c r="T324" i="2"/>
  <c r="S324" i="2"/>
  <c r="R324" i="2"/>
  <c r="Q324" i="2"/>
  <c r="P324" i="2"/>
  <c r="O324" i="2"/>
  <c r="J324" i="2"/>
  <c r="I324" i="2"/>
  <c r="H324" i="2"/>
  <c r="F324" i="2"/>
  <c r="E324" i="2"/>
  <c r="V323" i="2"/>
  <c r="N323" i="2" s="1"/>
  <c r="K323" i="2"/>
  <c r="L323" i="2" s="1"/>
  <c r="G323" i="2"/>
  <c r="V322" i="2"/>
  <c r="N322" i="2" s="1"/>
  <c r="K322" i="2"/>
  <c r="L322" i="2" s="1"/>
  <c r="G322" i="2"/>
  <c r="V321" i="2"/>
  <c r="N321" i="2" s="1"/>
  <c r="K321" i="2"/>
  <c r="L321" i="2" s="1"/>
  <c r="G321" i="2"/>
  <c r="V320" i="2"/>
  <c r="N320" i="2" s="1"/>
  <c r="K320" i="2"/>
  <c r="V319" i="2"/>
  <c r="N319" i="2" s="1"/>
  <c r="K319" i="2"/>
  <c r="L319" i="2" s="1"/>
  <c r="G319" i="2"/>
  <c r="V318" i="2"/>
  <c r="N318" i="2" s="1"/>
  <c r="K318" i="2"/>
  <c r="L318" i="2" s="1"/>
  <c r="G318" i="2"/>
  <c r="V317" i="2"/>
  <c r="N317" i="2" s="1"/>
  <c r="K317" i="2"/>
  <c r="L317" i="2" s="1"/>
  <c r="G317" i="2"/>
  <c r="V316" i="2"/>
  <c r="N316" i="2" s="1"/>
  <c r="K316" i="2"/>
  <c r="L316" i="2" s="1"/>
  <c r="G316" i="2"/>
  <c r="V315" i="2"/>
  <c r="N315" i="2" s="1"/>
  <c r="K315" i="2"/>
  <c r="L315" i="2" s="1"/>
  <c r="G315" i="2"/>
  <c r="V314" i="2"/>
  <c r="N314" i="2" s="1"/>
  <c r="K314" i="2"/>
  <c r="L314" i="2" s="1"/>
  <c r="G314" i="2"/>
  <c r="V313" i="2"/>
  <c r="N313" i="2" s="1"/>
  <c r="K313" i="2"/>
  <c r="L313" i="2" s="1"/>
  <c r="G313" i="2"/>
  <c r="V312" i="2"/>
  <c r="N312" i="2" s="1"/>
  <c r="K312" i="2"/>
  <c r="L312" i="2" s="1"/>
  <c r="G312" i="2"/>
  <c r="W311" i="2"/>
  <c r="W618" i="2" s="1"/>
  <c r="V311" i="2"/>
  <c r="K311" i="2"/>
  <c r="V310" i="2"/>
  <c r="N310" i="2" s="1"/>
  <c r="K310" i="2"/>
  <c r="L310" i="2" s="1"/>
  <c r="G310" i="2"/>
  <c r="X309" i="2"/>
  <c r="U309" i="2"/>
  <c r="T309" i="2"/>
  <c r="S309" i="2"/>
  <c r="R309" i="2"/>
  <c r="Q309" i="2"/>
  <c r="P309" i="2"/>
  <c r="O309" i="2"/>
  <c r="J309" i="2"/>
  <c r="I309" i="2"/>
  <c r="H309" i="2"/>
  <c r="F309" i="2"/>
  <c r="E309" i="2"/>
  <c r="V308" i="2"/>
  <c r="N308" i="2" s="1"/>
  <c r="K308" i="2"/>
  <c r="L308" i="2" s="1"/>
  <c r="G308" i="2"/>
  <c r="V307" i="2"/>
  <c r="N307" i="2" s="1"/>
  <c r="K307" i="2"/>
  <c r="L307" i="2" s="1"/>
  <c r="G307" i="2"/>
  <c r="V306" i="2"/>
  <c r="N306" i="2" s="1"/>
  <c r="K306" i="2"/>
  <c r="L306" i="2" s="1"/>
  <c r="G306" i="2"/>
  <c r="V305" i="2"/>
  <c r="N305" i="2" s="1"/>
  <c r="K305" i="2"/>
  <c r="L305" i="2" s="1"/>
  <c r="G305" i="2"/>
  <c r="V304" i="2"/>
  <c r="N304" i="2" s="1"/>
  <c r="K304" i="2"/>
  <c r="L304" i="2" s="1"/>
  <c r="G304" i="2"/>
  <c r="V303" i="2"/>
  <c r="N303" i="2" s="1"/>
  <c r="K303" i="2"/>
  <c r="L303" i="2" s="1"/>
  <c r="G303" i="2"/>
  <c r="V302" i="2"/>
  <c r="N302" i="2" s="1"/>
  <c r="K302" i="2"/>
  <c r="L302" i="2" s="1"/>
  <c r="G302" i="2"/>
  <c r="V301" i="2"/>
  <c r="N301" i="2" s="1"/>
  <c r="K301" i="2"/>
  <c r="L301" i="2" s="1"/>
  <c r="G301" i="2"/>
  <c r="V300" i="2"/>
  <c r="N300" i="2" s="1"/>
  <c r="K300" i="2"/>
  <c r="L300" i="2" s="1"/>
  <c r="G300" i="2"/>
  <c r="V299" i="2"/>
  <c r="N299" i="2" s="1"/>
  <c r="K299" i="2"/>
  <c r="L299" i="2" s="1"/>
  <c r="G299" i="2"/>
  <c r="V298" i="2"/>
  <c r="N298" i="2" s="1"/>
  <c r="K298" i="2"/>
  <c r="L298" i="2" s="1"/>
  <c r="G298" i="2"/>
  <c r="V297" i="2"/>
  <c r="N297" i="2" s="1"/>
  <c r="K297" i="2"/>
  <c r="V296" i="2"/>
  <c r="N296" i="2" s="1"/>
  <c r="K296" i="2"/>
  <c r="L296" i="2" s="1"/>
  <c r="G296" i="2"/>
  <c r="X295" i="2"/>
  <c r="W295" i="2"/>
  <c r="U295" i="2"/>
  <c r="T295" i="2"/>
  <c r="S295" i="2"/>
  <c r="R295" i="2"/>
  <c r="Q295" i="2"/>
  <c r="P295" i="2"/>
  <c r="O295" i="2"/>
  <c r="J295" i="2"/>
  <c r="I295" i="2"/>
  <c r="H295" i="2"/>
  <c r="F295" i="2"/>
  <c r="E295" i="2"/>
  <c r="V294" i="2"/>
  <c r="N294" i="2" s="1"/>
  <c r="K294" i="2"/>
  <c r="L294" i="2" s="1"/>
  <c r="G294" i="2"/>
  <c r="V293" i="2"/>
  <c r="N293" i="2" s="1"/>
  <c r="K293" i="2"/>
  <c r="L293" i="2" s="1"/>
  <c r="G293" i="2"/>
  <c r="V292" i="2"/>
  <c r="N292" i="2" s="1"/>
  <c r="K292" i="2"/>
  <c r="L292" i="2" s="1"/>
  <c r="G292" i="2"/>
  <c r="V291" i="2"/>
  <c r="N291" i="2" s="1"/>
  <c r="K291" i="2"/>
  <c r="L291" i="2" s="1"/>
  <c r="G291" i="2"/>
  <c r="V290" i="2"/>
  <c r="N290" i="2" s="1"/>
  <c r="K290" i="2"/>
  <c r="L290" i="2" s="1"/>
  <c r="G290" i="2"/>
  <c r="V289" i="2"/>
  <c r="N289" i="2" s="1"/>
  <c r="K289" i="2"/>
  <c r="L289" i="2" s="1"/>
  <c r="G289" i="2"/>
  <c r="V288" i="2"/>
  <c r="N288" i="2" s="1"/>
  <c r="K288" i="2"/>
  <c r="V287" i="2"/>
  <c r="N287" i="2" s="1"/>
  <c r="K287" i="2"/>
  <c r="L287" i="2" s="1"/>
  <c r="G287" i="2"/>
  <c r="V286" i="2"/>
  <c r="N286" i="2" s="1"/>
  <c r="K286" i="2"/>
  <c r="L286" i="2" s="1"/>
  <c r="G286" i="2"/>
  <c r="V285" i="2"/>
  <c r="N285" i="2" s="1"/>
  <c r="K285" i="2"/>
  <c r="L285" i="2" s="1"/>
  <c r="G285" i="2"/>
  <c r="V284" i="2"/>
  <c r="N284" i="2" s="1"/>
  <c r="K284" i="2"/>
  <c r="G284" i="2"/>
  <c r="X283" i="2"/>
  <c r="W283" i="2"/>
  <c r="U283" i="2"/>
  <c r="T283" i="2"/>
  <c r="S283" i="2"/>
  <c r="R283" i="2"/>
  <c r="Q283" i="2"/>
  <c r="P283" i="2"/>
  <c r="O283" i="2"/>
  <c r="J283" i="2"/>
  <c r="I283" i="2"/>
  <c r="H283" i="2"/>
  <c r="F283" i="2"/>
  <c r="E283" i="2"/>
  <c r="V282" i="2"/>
  <c r="N282" i="2" s="1"/>
  <c r="K282" i="2"/>
  <c r="L282" i="2" s="1"/>
  <c r="G282" i="2"/>
  <c r="V281" i="2"/>
  <c r="N281" i="2" s="1"/>
  <c r="K281" i="2"/>
  <c r="L281" i="2" s="1"/>
  <c r="G281" i="2"/>
  <c r="X280" i="2"/>
  <c r="W280" i="2"/>
  <c r="U280" i="2"/>
  <c r="T280" i="2"/>
  <c r="S280" i="2"/>
  <c r="R280" i="2"/>
  <c r="Q280" i="2"/>
  <c r="P280" i="2"/>
  <c r="O280" i="2"/>
  <c r="J280" i="2"/>
  <c r="I280" i="2"/>
  <c r="H280" i="2"/>
  <c r="F280" i="2"/>
  <c r="E280" i="2"/>
  <c r="V279" i="2"/>
  <c r="N279" i="2" s="1"/>
  <c r="K279" i="2"/>
  <c r="L279" i="2" s="1"/>
  <c r="G279" i="2"/>
  <c r="V278" i="2"/>
  <c r="N278" i="2" s="1"/>
  <c r="K278" i="2"/>
  <c r="L278" i="2" s="1"/>
  <c r="G278" i="2"/>
  <c r="V277" i="2"/>
  <c r="N277" i="2" s="1"/>
  <c r="K277" i="2"/>
  <c r="L277" i="2" s="1"/>
  <c r="G277" i="2"/>
  <c r="V276" i="2"/>
  <c r="N276" i="2" s="1"/>
  <c r="K276" i="2"/>
  <c r="L276" i="2" s="1"/>
  <c r="G276" i="2"/>
  <c r="V275" i="2"/>
  <c r="N275" i="2" s="1"/>
  <c r="K275" i="2"/>
  <c r="L275" i="2" s="1"/>
  <c r="G275" i="2"/>
  <c r="V274" i="2"/>
  <c r="N274" i="2" s="1"/>
  <c r="K274" i="2"/>
  <c r="L274" i="2" s="1"/>
  <c r="G274" i="2"/>
  <c r="V273" i="2"/>
  <c r="N273" i="2" s="1"/>
  <c r="K273" i="2"/>
  <c r="L273" i="2" s="1"/>
  <c r="G273" i="2"/>
  <c r="V272" i="2"/>
  <c r="N272" i="2" s="1"/>
  <c r="K272" i="2"/>
  <c r="L272" i="2" s="1"/>
  <c r="G272" i="2"/>
  <c r="V271" i="2"/>
  <c r="N271" i="2" s="1"/>
  <c r="K271" i="2"/>
  <c r="L271" i="2" s="1"/>
  <c r="G271" i="2"/>
  <c r="V270" i="2"/>
  <c r="N270" i="2" s="1"/>
  <c r="K270" i="2"/>
  <c r="L270" i="2" s="1"/>
  <c r="G270" i="2"/>
  <c r="V269" i="2"/>
  <c r="N269" i="2" s="1"/>
  <c r="K269" i="2"/>
  <c r="L269" i="2" s="1"/>
  <c r="G269" i="2"/>
  <c r="V268" i="2"/>
  <c r="N268" i="2" s="1"/>
  <c r="K268" i="2"/>
  <c r="L268" i="2" s="1"/>
  <c r="G268" i="2"/>
  <c r="V267" i="2"/>
  <c r="N267" i="2" s="1"/>
  <c r="K267" i="2"/>
  <c r="L267" i="2" s="1"/>
  <c r="G267" i="2"/>
  <c r="V266" i="2"/>
  <c r="N266" i="2" s="1"/>
  <c r="K266" i="2"/>
  <c r="L266" i="2" s="1"/>
  <c r="G266" i="2"/>
  <c r="V265" i="2"/>
  <c r="N265" i="2" s="1"/>
  <c r="K265" i="2"/>
  <c r="L265" i="2" s="1"/>
  <c r="G265" i="2"/>
  <c r="V264" i="2"/>
  <c r="N264" i="2" s="1"/>
  <c r="K264" i="2"/>
  <c r="G264" i="2"/>
  <c r="X263" i="2"/>
  <c r="W263" i="2"/>
  <c r="U263" i="2"/>
  <c r="T263" i="2"/>
  <c r="S263" i="2"/>
  <c r="R263" i="2"/>
  <c r="Q263" i="2"/>
  <c r="P263" i="2"/>
  <c r="O263" i="2"/>
  <c r="J263" i="2"/>
  <c r="I263" i="2"/>
  <c r="H263" i="2"/>
  <c r="F263" i="2"/>
  <c r="E263" i="2"/>
  <c r="V262" i="2"/>
  <c r="N262" i="2" s="1"/>
  <c r="K262" i="2"/>
  <c r="L262" i="2" s="1"/>
  <c r="G262" i="2"/>
  <c r="V261" i="2"/>
  <c r="N261" i="2" s="1"/>
  <c r="K261" i="2"/>
  <c r="G261" i="2"/>
  <c r="V260" i="2"/>
  <c r="N260" i="2" s="1"/>
  <c r="K260" i="2"/>
  <c r="L260" i="2" s="1"/>
  <c r="G260" i="2"/>
  <c r="X259" i="2"/>
  <c r="W259" i="2"/>
  <c r="U259" i="2"/>
  <c r="T259" i="2"/>
  <c r="S259" i="2"/>
  <c r="R259" i="2"/>
  <c r="Q259" i="2"/>
  <c r="P259" i="2"/>
  <c r="O259" i="2"/>
  <c r="J259" i="2"/>
  <c r="I259" i="2"/>
  <c r="H259" i="2"/>
  <c r="F259" i="2"/>
  <c r="E259" i="2"/>
  <c r="V258" i="2"/>
  <c r="N258" i="2" s="1"/>
  <c r="K258" i="2"/>
  <c r="L258" i="2" s="1"/>
  <c r="G258" i="2"/>
  <c r="V257" i="2"/>
  <c r="N257" i="2" s="1"/>
  <c r="K257" i="2"/>
  <c r="L257" i="2" s="1"/>
  <c r="G257" i="2"/>
  <c r="V256" i="2"/>
  <c r="N256" i="2" s="1"/>
  <c r="K256" i="2"/>
  <c r="L256" i="2" s="1"/>
  <c r="G256" i="2"/>
  <c r="V255" i="2"/>
  <c r="N255" i="2" s="1"/>
  <c r="K255" i="2"/>
  <c r="L255" i="2" s="1"/>
  <c r="G255" i="2"/>
  <c r="V254" i="2"/>
  <c r="N254" i="2" s="1"/>
  <c r="K254" i="2"/>
  <c r="L254" i="2" s="1"/>
  <c r="G254" i="2"/>
  <c r="V253" i="2"/>
  <c r="N253" i="2" s="1"/>
  <c r="K253" i="2"/>
  <c r="L253" i="2" s="1"/>
  <c r="G253" i="2"/>
  <c r="V252" i="2"/>
  <c r="N252" i="2" s="1"/>
  <c r="K252" i="2"/>
  <c r="L252" i="2" s="1"/>
  <c r="G252" i="2"/>
  <c r="V251" i="2"/>
  <c r="N251" i="2" s="1"/>
  <c r="K251" i="2"/>
  <c r="L251" i="2" s="1"/>
  <c r="G251" i="2"/>
  <c r="V250" i="2"/>
  <c r="N250" i="2" s="1"/>
  <c r="K250" i="2"/>
  <c r="L250" i="2" s="1"/>
  <c r="G250" i="2"/>
  <c r="V249" i="2"/>
  <c r="N249" i="2" s="1"/>
  <c r="K249" i="2"/>
  <c r="L249" i="2" s="1"/>
  <c r="G249" i="2"/>
  <c r="V248" i="2"/>
  <c r="N248" i="2" s="1"/>
  <c r="K248" i="2"/>
  <c r="L248" i="2" s="1"/>
  <c r="G248" i="2"/>
  <c r="V247" i="2"/>
  <c r="N247" i="2" s="1"/>
  <c r="K247" i="2"/>
  <c r="L247" i="2" s="1"/>
  <c r="G247" i="2"/>
  <c r="V246" i="2"/>
  <c r="N246" i="2" s="1"/>
  <c r="K246" i="2"/>
  <c r="L246" i="2" s="1"/>
  <c r="G246" i="2"/>
  <c r="V245" i="2"/>
  <c r="N245" i="2" s="1"/>
  <c r="K245" i="2"/>
  <c r="L245" i="2" s="1"/>
  <c r="G245" i="2"/>
  <c r="V244" i="2"/>
  <c r="N244" i="2" s="1"/>
  <c r="K244" i="2"/>
  <c r="L244" i="2" s="1"/>
  <c r="G244" i="2"/>
  <c r="V243" i="2"/>
  <c r="N243" i="2" s="1"/>
  <c r="K243" i="2"/>
  <c r="L243" i="2" s="1"/>
  <c r="G243" i="2"/>
  <c r="V242" i="2"/>
  <c r="N242" i="2" s="1"/>
  <c r="K242" i="2"/>
  <c r="L242" i="2" s="1"/>
  <c r="G242" i="2"/>
  <c r="V241" i="2"/>
  <c r="N241" i="2" s="1"/>
  <c r="K241" i="2"/>
  <c r="L241" i="2" s="1"/>
  <c r="G241" i="2"/>
  <c r="V240" i="2"/>
  <c r="N240" i="2" s="1"/>
  <c r="K240" i="2"/>
  <c r="L240" i="2" s="1"/>
  <c r="G240" i="2"/>
  <c r="V239" i="2"/>
  <c r="N239" i="2" s="1"/>
  <c r="K239" i="2"/>
  <c r="L239" i="2" s="1"/>
  <c r="G239" i="2"/>
  <c r="X238" i="2"/>
  <c r="W238" i="2"/>
  <c r="U238" i="2"/>
  <c r="T238" i="2"/>
  <c r="S238" i="2"/>
  <c r="R238" i="2"/>
  <c r="Q238" i="2"/>
  <c r="P238" i="2"/>
  <c r="O238" i="2"/>
  <c r="J238" i="2"/>
  <c r="I238" i="2"/>
  <c r="H238" i="2"/>
  <c r="F238" i="2"/>
  <c r="E238" i="2"/>
  <c r="V237" i="2"/>
  <c r="N237" i="2" s="1"/>
  <c r="K237" i="2"/>
  <c r="L237" i="2" s="1"/>
  <c r="V236" i="2"/>
  <c r="N236" i="2" s="1"/>
  <c r="K236" i="2"/>
  <c r="L236" i="2" s="1"/>
  <c r="V235" i="2"/>
  <c r="N235" i="2" s="1"/>
  <c r="K235" i="2"/>
  <c r="L235" i="2" s="1"/>
  <c r="G235" i="2"/>
  <c r="V234" i="2"/>
  <c r="N234" i="2" s="1"/>
  <c r="K234" i="2"/>
  <c r="L234" i="2" s="1"/>
  <c r="G234" i="2"/>
  <c r="V233" i="2"/>
  <c r="N233" i="2" s="1"/>
  <c r="K233" i="2"/>
  <c r="L233" i="2" s="1"/>
  <c r="G233" i="2"/>
  <c r="V232" i="2"/>
  <c r="N232" i="2" s="1"/>
  <c r="K232" i="2"/>
  <c r="L232" i="2" s="1"/>
  <c r="G232" i="2"/>
  <c r="V231" i="2"/>
  <c r="N231" i="2" s="1"/>
  <c r="K231" i="2"/>
  <c r="L231" i="2" s="1"/>
  <c r="G231" i="2"/>
  <c r="V230" i="2"/>
  <c r="N230" i="2" s="1"/>
  <c r="K230" i="2"/>
  <c r="L230" i="2" s="1"/>
  <c r="G230" i="2"/>
  <c r="V229" i="2"/>
  <c r="N229" i="2" s="1"/>
  <c r="K229" i="2"/>
  <c r="L229" i="2" s="1"/>
  <c r="G229" i="2"/>
  <c r="V228" i="2"/>
  <c r="N228" i="2" s="1"/>
  <c r="K228" i="2"/>
  <c r="L228" i="2" s="1"/>
  <c r="G228" i="2"/>
  <c r="V227" i="2"/>
  <c r="N227" i="2" s="1"/>
  <c r="K227" i="2"/>
  <c r="L227" i="2" s="1"/>
  <c r="G227" i="2"/>
  <c r="V226" i="2"/>
  <c r="N226" i="2" s="1"/>
  <c r="K226" i="2"/>
  <c r="L226" i="2" s="1"/>
  <c r="G226" i="2"/>
  <c r="V225" i="2"/>
  <c r="N225" i="2" s="1"/>
  <c r="K225" i="2"/>
  <c r="L225" i="2" s="1"/>
  <c r="G225" i="2"/>
  <c r="V224" i="2"/>
  <c r="N224" i="2" s="1"/>
  <c r="K224" i="2"/>
  <c r="L224" i="2" s="1"/>
  <c r="G224" i="2"/>
  <c r="V223" i="2"/>
  <c r="N223" i="2" s="1"/>
  <c r="K223" i="2"/>
  <c r="L223" i="2" s="1"/>
  <c r="G223" i="2"/>
  <c r="V222" i="2"/>
  <c r="N222" i="2" s="1"/>
  <c r="K222" i="2"/>
  <c r="L222" i="2" s="1"/>
  <c r="G222" i="2"/>
  <c r="V221" i="2"/>
  <c r="N221" i="2" s="1"/>
  <c r="K221" i="2"/>
  <c r="L221" i="2" s="1"/>
  <c r="G221" i="2"/>
  <c r="V220" i="2"/>
  <c r="N220" i="2" s="1"/>
  <c r="K220" i="2"/>
  <c r="L220" i="2" s="1"/>
  <c r="G220" i="2"/>
  <c r="V219" i="2"/>
  <c r="N219" i="2" s="1"/>
  <c r="K219" i="2"/>
  <c r="L219" i="2" s="1"/>
  <c r="G219" i="2"/>
  <c r="V218" i="2"/>
  <c r="N218" i="2" s="1"/>
  <c r="K218" i="2"/>
  <c r="L218" i="2" s="1"/>
  <c r="G218" i="2"/>
  <c r="V217" i="2"/>
  <c r="N217" i="2" s="1"/>
  <c r="K217" i="2"/>
  <c r="L217" i="2" s="1"/>
  <c r="G217" i="2"/>
  <c r="V216" i="2"/>
  <c r="N216" i="2" s="1"/>
  <c r="K216" i="2"/>
  <c r="L216" i="2" s="1"/>
  <c r="G216" i="2"/>
  <c r="X215" i="2"/>
  <c r="W215" i="2"/>
  <c r="U215" i="2"/>
  <c r="T215" i="2"/>
  <c r="S215" i="2"/>
  <c r="R215" i="2"/>
  <c r="Q215" i="2"/>
  <c r="P215" i="2"/>
  <c r="O215" i="2"/>
  <c r="J215" i="2"/>
  <c r="I215" i="2"/>
  <c r="H215" i="2"/>
  <c r="F215" i="2"/>
  <c r="E215" i="2"/>
  <c r="V214" i="2"/>
  <c r="N214" i="2" s="1"/>
  <c r="K214" i="2"/>
  <c r="L214" i="2" s="1"/>
  <c r="G214" i="2"/>
  <c r="V213" i="2"/>
  <c r="N213" i="2" s="1"/>
  <c r="K213" i="2"/>
  <c r="L213" i="2" s="1"/>
  <c r="G213" i="2"/>
  <c r="V212" i="2"/>
  <c r="N212" i="2" s="1"/>
  <c r="K212" i="2"/>
  <c r="L212" i="2" s="1"/>
  <c r="G212" i="2"/>
  <c r="V211" i="2"/>
  <c r="N211" i="2" s="1"/>
  <c r="K211" i="2"/>
  <c r="L211" i="2" s="1"/>
  <c r="G211" i="2"/>
  <c r="V210" i="2"/>
  <c r="N210" i="2" s="1"/>
  <c r="K210" i="2"/>
  <c r="L210" i="2" s="1"/>
  <c r="G210" i="2"/>
  <c r="V209" i="2"/>
  <c r="N209" i="2" s="1"/>
  <c r="K209" i="2"/>
  <c r="L209" i="2" s="1"/>
  <c r="G209" i="2"/>
  <c r="V208" i="2"/>
  <c r="N208" i="2" s="1"/>
  <c r="K208" i="2"/>
  <c r="L208" i="2" s="1"/>
  <c r="G208" i="2"/>
  <c r="V207" i="2"/>
  <c r="N207" i="2" s="1"/>
  <c r="K207" i="2"/>
  <c r="L207" i="2" s="1"/>
  <c r="G207" i="2"/>
  <c r="V206" i="2"/>
  <c r="N206" i="2" s="1"/>
  <c r="K206" i="2"/>
  <c r="L206" i="2" s="1"/>
  <c r="G206" i="2"/>
  <c r="V205" i="2"/>
  <c r="N205" i="2" s="1"/>
  <c r="K205" i="2"/>
  <c r="G205" i="2"/>
  <c r="V204" i="2"/>
  <c r="N204" i="2" s="1"/>
  <c r="K204" i="2"/>
  <c r="L204" i="2" s="1"/>
  <c r="G204" i="2"/>
  <c r="V203" i="2"/>
  <c r="N203" i="2" s="1"/>
  <c r="K203" i="2"/>
  <c r="L203" i="2" s="1"/>
  <c r="G203" i="2"/>
  <c r="V202" i="2"/>
  <c r="N202" i="2" s="1"/>
  <c r="K202" i="2"/>
  <c r="L202" i="2" s="1"/>
  <c r="G202" i="2"/>
  <c r="V201" i="2"/>
  <c r="N201" i="2" s="1"/>
  <c r="K201" i="2"/>
  <c r="L201" i="2" s="1"/>
  <c r="G201" i="2"/>
  <c r="X200" i="2"/>
  <c r="W200" i="2"/>
  <c r="U200" i="2"/>
  <c r="T200" i="2"/>
  <c r="S200" i="2"/>
  <c r="R200" i="2"/>
  <c r="Q200" i="2"/>
  <c r="P200" i="2"/>
  <c r="O200" i="2"/>
  <c r="J200" i="2"/>
  <c r="I200" i="2"/>
  <c r="H200" i="2"/>
  <c r="F200" i="2"/>
  <c r="E200" i="2"/>
  <c r="V199" i="2"/>
  <c r="N199" i="2" s="1"/>
  <c r="K199" i="2"/>
  <c r="V198" i="2"/>
  <c r="N198" i="2" s="1"/>
  <c r="K198" i="2"/>
  <c r="V197" i="2"/>
  <c r="N197" i="2" s="1"/>
  <c r="K197" i="2"/>
  <c r="L197" i="2" s="1"/>
  <c r="G197" i="2"/>
  <c r="V196" i="2"/>
  <c r="N196" i="2" s="1"/>
  <c r="K196" i="2"/>
  <c r="L196" i="2" s="1"/>
  <c r="G196" i="2"/>
  <c r="V195" i="2"/>
  <c r="N195" i="2" s="1"/>
  <c r="K195" i="2"/>
  <c r="L195" i="2" s="1"/>
  <c r="G195" i="2"/>
  <c r="V194" i="2"/>
  <c r="N194" i="2" s="1"/>
  <c r="K194" i="2"/>
  <c r="L194" i="2" s="1"/>
  <c r="G194" i="2"/>
  <c r="V193" i="2"/>
  <c r="N193" i="2" s="1"/>
  <c r="K193" i="2"/>
  <c r="L193" i="2" s="1"/>
  <c r="G193" i="2"/>
  <c r="V192" i="2"/>
  <c r="N192" i="2" s="1"/>
  <c r="K192" i="2"/>
  <c r="L192" i="2" s="1"/>
  <c r="G192" i="2"/>
  <c r="V191" i="2"/>
  <c r="N191" i="2" s="1"/>
  <c r="K191" i="2"/>
  <c r="L191" i="2" s="1"/>
  <c r="G191" i="2"/>
  <c r="V190" i="2"/>
  <c r="N190" i="2" s="1"/>
  <c r="K190" i="2"/>
  <c r="L190" i="2" s="1"/>
  <c r="G190" i="2"/>
  <c r="V189" i="2"/>
  <c r="N189" i="2" s="1"/>
  <c r="K189" i="2"/>
  <c r="L189" i="2" s="1"/>
  <c r="G189" i="2"/>
  <c r="V188" i="2"/>
  <c r="N188" i="2" s="1"/>
  <c r="K188" i="2"/>
  <c r="L188" i="2" s="1"/>
  <c r="G188" i="2"/>
  <c r="V187" i="2"/>
  <c r="N187" i="2" s="1"/>
  <c r="K187" i="2"/>
  <c r="L187" i="2" s="1"/>
  <c r="G187" i="2"/>
  <c r="V186" i="2"/>
  <c r="N186" i="2" s="1"/>
  <c r="K186" i="2"/>
  <c r="L186" i="2" s="1"/>
  <c r="G186" i="2"/>
  <c r="V185" i="2"/>
  <c r="N185" i="2" s="1"/>
  <c r="K185" i="2"/>
  <c r="L185" i="2" s="1"/>
  <c r="G185" i="2"/>
  <c r="V184" i="2"/>
  <c r="N184" i="2" s="1"/>
  <c r="K184" i="2"/>
  <c r="L184" i="2" s="1"/>
  <c r="G184" i="2"/>
  <c r="V183" i="2"/>
  <c r="N183" i="2" s="1"/>
  <c r="K183" i="2"/>
  <c r="L183" i="2" s="1"/>
  <c r="G183" i="2"/>
  <c r="V182" i="2"/>
  <c r="N182" i="2" s="1"/>
  <c r="K182" i="2"/>
  <c r="L182" i="2" s="1"/>
  <c r="G182" i="2"/>
  <c r="V181" i="2"/>
  <c r="N181" i="2" s="1"/>
  <c r="K181" i="2"/>
  <c r="G181" i="2"/>
  <c r="V180" i="2"/>
  <c r="N180" i="2" s="1"/>
  <c r="K180" i="2"/>
  <c r="L180" i="2" s="1"/>
  <c r="G180" i="2"/>
  <c r="V179" i="2"/>
  <c r="N179" i="2" s="1"/>
  <c r="K179" i="2"/>
  <c r="G179" i="2"/>
  <c r="X178" i="2"/>
  <c r="W178" i="2"/>
  <c r="U178" i="2"/>
  <c r="T178" i="2"/>
  <c r="S178" i="2"/>
  <c r="R178" i="2"/>
  <c r="Q178" i="2"/>
  <c r="P178" i="2"/>
  <c r="O178" i="2"/>
  <c r="J178" i="2"/>
  <c r="I178" i="2"/>
  <c r="H178" i="2"/>
  <c r="F178" i="2"/>
  <c r="E178" i="2"/>
  <c r="O176" i="2"/>
  <c r="O175" i="2" s="1"/>
  <c r="K176" i="2"/>
  <c r="K175" i="2" s="1"/>
  <c r="K174" i="2" s="1"/>
  <c r="G176" i="2"/>
  <c r="X175" i="2"/>
  <c r="X174" i="2" s="1"/>
  <c r="W175" i="2"/>
  <c r="W174" i="2" s="1"/>
  <c r="U175" i="2"/>
  <c r="U174" i="2" s="1"/>
  <c r="T175" i="2"/>
  <c r="T174" i="2" s="1"/>
  <c r="S175" i="2"/>
  <c r="S174" i="2" s="1"/>
  <c r="R175" i="2"/>
  <c r="R174" i="2" s="1"/>
  <c r="Q175" i="2"/>
  <c r="Q174" i="2" s="1"/>
  <c r="P175" i="2"/>
  <c r="P174" i="2" s="1"/>
  <c r="J175" i="2"/>
  <c r="J174" i="2" s="1"/>
  <c r="I175" i="2"/>
  <c r="I174" i="2" s="1"/>
  <c r="H175" i="2"/>
  <c r="H174" i="2" s="1"/>
  <c r="F175" i="2"/>
  <c r="E175" i="2"/>
  <c r="E174" i="2" s="1"/>
  <c r="O173" i="2"/>
  <c r="O620" i="2" s="1"/>
  <c r="K173" i="2"/>
  <c r="G173" i="2"/>
  <c r="X172" i="2"/>
  <c r="X171" i="2" s="1"/>
  <c r="W172" i="2"/>
  <c r="W171" i="2" s="1"/>
  <c r="U172" i="2"/>
  <c r="U171" i="2" s="1"/>
  <c r="T172" i="2"/>
  <c r="T171" i="2" s="1"/>
  <c r="S172" i="2"/>
  <c r="S171" i="2" s="1"/>
  <c r="R172" i="2"/>
  <c r="R171" i="2" s="1"/>
  <c r="Q172" i="2"/>
  <c r="Q171" i="2" s="1"/>
  <c r="P172" i="2"/>
  <c r="P171" i="2" s="1"/>
  <c r="J172" i="2"/>
  <c r="J171" i="2" s="1"/>
  <c r="I172" i="2"/>
  <c r="I171" i="2" s="1"/>
  <c r="H172" i="2"/>
  <c r="H171" i="2" s="1"/>
  <c r="F172" i="2"/>
  <c r="E172" i="2"/>
  <c r="E171" i="2" s="1"/>
  <c r="V170" i="2"/>
  <c r="N170" i="2" s="1"/>
  <c r="K170" i="2"/>
  <c r="L170" i="2" s="1"/>
  <c r="G170" i="2"/>
  <c r="V169" i="2"/>
  <c r="N169" i="2" s="1"/>
  <c r="K169" i="2"/>
  <c r="L169" i="2" s="1"/>
  <c r="G169" i="2"/>
  <c r="V168" i="2"/>
  <c r="N168" i="2" s="1"/>
  <c r="K168" i="2"/>
  <c r="L168" i="2" s="1"/>
  <c r="G168" i="2"/>
  <c r="V167" i="2"/>
  <c r="N167" i="2" s="1"/>
  <c r="K167" i="2"/>
  <c r="L167" i="2" s="1"/>
  <c r="G167" i="2"/>
  <c r="X166" i="2"/>
  <c r="W166" i="2"/>
  <c r="U166" i="2"/>
  <c r="T166" i="2"/>
  <c r="S166" i="2"/>
  <c r="R166" i="2"/>
  <c r="Q166" i="2"/>
  <c r="P166" i="2"/>
  <c r="O166" i="2"/>
  <c r="J166" i="2"/>
  <c r="I166" i="2"/>
  <c r="H166" i="2"/>
  <c r="F166" i="2"/>
  <c r="E166" i="2"/>
  <c r="V165" i="2"/>
  <c r="N165" i="2" s="1"/>
  <c r="N164" i="2" s="1"/>
  <c r="K165" i="2"/>
  <c r="G165" i="2"/>
  <c r="X164" i="2"/>
  <c r="W164" i="2"/>
  <c r="U164" i="2"/>
  <c r="T164" i="2"/>
  <c r="S164" i="2"/>
  <c r="R164" i="2"/>
  <c r="Q164" i="2"/>
  <c r="P164" i="2"/>
  <c r="O164" i="2"/>
  <c r="J164" i="2"/>
  <c r="I164" i="2"/>
  <c r="H164" i="2"/>
  <c r="F164" i="2"/>
  <c r="E164" i="2"/>
  <c r="V163" i="2"/>
  <c r="N163" i="2" s="1"/>
  <c r="K163" i="2"/>
  <c r="V162" i="2"/>
  <c r="N162" i="2" s="1"/>
  <c r="K162" i="2"/>
  <c r="L162" i="2" s="1"/>
  <c r="G162" i="2"/>
  <c r="V161" i="2"/>
  <c r="N161" i="2" s="1"/>
  <c r="K161" i="2"/>
  <c r="L161" i="2" s="1"/>
  <c r="G161" i="2"/>
  <c r="V160" i="2"/>
  <c r="N160" i="2" s="1"/>
  <c r="K160" i="2"/>
  <c r="L160" i="2" s="1"/>
  <c r="G160" i="2"/>
  <c r="M159" i="2"/>
  <c r="J159" i="2"/>
  <c r="H159" i="2"/>
  <c r="F159" i="2"/>
  <c r="E159" i="2"/>
  <c r="V158" i="2"/>
  <c r="N158" i="2" s="1"/>
  <c r="K158" i="2"/>
  <c r="L158" i="2" s="1"/>
  <c r="G158" i="2"/>
  <c r="V157" i="2"/>
  <c r="N157" i="2" s="1"/>
  <c r="K157" i="2"/>
  <c r="L157" i="2" s="1"/>
  <c r="G157" i="2"/>
  <c r="V156" i="2"/>
  <c r="N156" i="2" s="1"/>
  <c r="K156" i="2"/>
  <c r="L156" i="2" s="1"/>
  <c r="G156" i="2"/>
  <c r="V155" i="2"/>
  <c r="N155" i="2" s="1"/>
  <c r="K155" i="2"/>
  <c r="L155" i="2" s="1"/>
  <c r="G155" i="2"/>
  <c r="V154" i="2"/>
  <c r="N154" i="2" s="1"/>
  <c r="K154" i="2"/>
  <c r="L154" i="2" s="1"/>
  <c r="G154" i="2"/>
  <c r="V153" i="2"/>
  <c r="N153" i="2" s="1"/>
  <c r="K153" i="2"/>
  <c r="L153" i="2" s="1"/>
  <c r="G153" i="2"/>
  <c r="V152" i="2"/>
  <c r="N152" i="2" s="1"/>
  <c r="K152" i="2"/>
  <c r="L152" i="2" s="1"/>
  <c r="G152" i="2"/>
  <c r="V151" i="2"/>
  <c r="N151" i="2" s="1"/>
  <c r="K151" i="2"/>
  <c r="V150" i="2"/>
  <c r="N150" i="2" s="1"/>
  <c r="K150" i="2"/>
  <c r="L150" i="2" s="1"/>
  <c r="G150" i="2"/>
  <c r="U149" i="2"/>
  <c r="I149" i="2"/>
  <c r="I142" i="2" s="1"/>
  <c r="G149" i="2"/>
  <c r="V148" i="2"/>
  <c r="N148" i="2" s="1"/>
  <c r="K148" i="2"/>
  <c r="L148" i="2" s="1"/>
  <c r="G148" i="2"/>
  <c r="V147" i="2"/>
  <c r="N147" i="2" s="1"/>
  <c r="K147" i="2"/>
  <c r="L147" i="2" s="1"/>
  <c r="G147" i="2"/>
  <c r="V146" i="2"/>
  <c r="N146" i="2" s="1"/>
  <c r="K146" i="2"/>
  <c r="L146" i="2" s="1"/>
  <c r="G146" i="2"/>
  <c r="V145" i="2"/>
  <c r="N145" i="2" s="1"/>
  <c r="K145" i="2"/>
  <c r="L145" i="2" s="1"/>
  <c r="G145" i="2"/>
  <c r="V144" i="2"/>
  <c r="N144" i="2" s="1"/>
  <c r="K144" i="2"/>
  <c r="L144" i="2" s="1"/>
  <c r="G144" i="2"/>
  <c r="V143" i="2"/>
  <c r="N143" i="2" s="1"/>
  <c r="K143" i="2"/>
  <c r="L143" i="2" s="1"/>
  <c r="G143" i="2"/>
  <c r="X142" i="2"/>
  <c r="W142" i="2"/>
  <c r="T142" i="2"/>
  <c r="S142" i="2"/>
  <c r="R142" i="2"/>
  <c r="Q142" i="2"/>
  <c r="P142" i="2"/>
  <c r="O142" i="2"/>
  <c r="J142" i="2"/>
  <c r="H142" i="2"/>
  <c r="F142" i="2"/>
  <c r="E142" i="2"/>
  <c r="V141" i="2"/>
  <c r="N141" i="2" s="1"/>
  <c r="N140" i="2" s="1"/>
  <c r="K141" i="2"/>
  <c r="G141" i="2"/>
  <c r="X140" i="2"/>
  <c r="W140" i="2"/>
  <c r="U140" i="2"/>
  <c r="T140" i="2"/>
  <c r="S140" i="2"/>
  <c r="R140" i="2"/>
  <c r="Q140" i="2"/>
  <c r="P140" i="2"/>
  <c r="O140" i="2"/>
  <c r="J140" i="2"/>
  <c r="I140" i="2"/>
  <c r="H140" i="2"/>
  <c r="F140" i="2"/>
  <c r="E140" i="2"/>
  <c r="V139" i="2"/>
  <c r="N139" i="2" s="1"/>
  <c r="N138" i="2" s="1"/>
  <c r="K139" i="2"/>
  <c r="L139" i="2" s="1"/>
  <c r="G139" i="2"/>
  <c r="X138" i="2"/>
  <c r="W138" i="2"/>
  <c r="U138" i="2"/>
  <c r="T138" i="2"/>
  <c r="S138" i="2"/>
  <c r="R138" i="2"/>
  <c r="Q138" i="2"/>
  <c r="P138" i="2"/>
  <c r="O138" i="2"/>
  <c r="J138" i="2"/>
  <c r="I138" i="2"/>
  <c r="H138" i="2"/>
  <c r="F138" i="2"/>
  <c r="E138" i="2"/>
  <c r="V136" i="2"/>
  <c r="N136" i="2" s="1"/>
  <c r="K136" i="2"/>
  <c r="K132" i="2" s="1"/>
  <c r="G136" i="2"/>
  <c r="V135" i="2"/>
  <c r="N135" i="2" s="1"/>
  <c r="L135" i="2"/>
  <c r="G135" i="2"/>
  <c r="V134" i="2"/>
  <c r="N134" i="2" s="1"/>
  <c r="L134" i="2"/>
  <c r="G134" i="2"/>
  <c r="V133" i="2"/>
  <c r="N133" i="2" s="1"/>
  <c r="L133" i="2"/>
  <c r="G133" i="2"/>
  <c r="X132" i="2"/>
  <c r="X131" i="2" s="1"/>
  <c r="W132" i="2"/>
  <c r="W131" i="2" s="1"/>
  <c r="U132" i="2"/>
  <c r="T132" i="2"/>
  <c r="T131" i="2" s="1"/>
  <c r="S132" i="2"/>
  <c r="S131" i="2" s="1"/>
  <c r="R132" i="2"/>
  <c r="Q132" i="2"/>
  <c r="Q131" i="2" s="1"/>
  <c r="P132" i="2"/>
  <c r="P131" i="2" s="1"/>
  <c r="O132" i="2"/>
  <c r="O131" i="2" s="1"/>
  <c r="J132" i="2"/>
  <c r="J131" i="2" s="1"/>
  <c r="I132" i="2"/>
  <c r="I131" i="2" s="1"/>
  <c r="H132" i="2"/>
  <c r="H131" i="2" s="1"/>
  <c r="F132" i="2"/>
  <c r="E132" i="2"/>
  <c r="E131" i="2" s="1"/>
  <c r="U131" i="2"/>
  <c r="V130" i="2"/>
  <c r="N130" i="2" s="1"/>
  <c r="I130" i="2"/>
  <c r="G130" i="2"/>
  <c r="V129" i="2"/>
  <c r="N129" i="2" s="1"/>
  <c r="K129" i="2"/>
  <c r="L129" i="2" s="1"/>
  <c r="G129" i="2"/>
  <c r="V128" i="2"/>
  <c r="N128" i="2" s="1"/>
  <c r="K128" i="2"/>
  <c r="L128" i="2" s="1"/>
  <c r="G128" i="2"/>
  <c r="X127" i="2"/>
  <c r="W127" i="2"/>
  <c r="U127" i="2"/>
  <c r="T127" i="2"/>
  <c r="S127" i="2"/>
  <c r="R127" i="2"/>
  <c r="Q127" i="2"/>
  <c r="P127" i="2"/>
  <c r="O127" i="2"/>
  <c r="J127" i="2"/>
  <c r="H127" i="2"/>
  <c r="F127" i="2"/>
  <c r="E127" i="2"/>
  <c r="V126" i="2"/>
  <c r="N126" i="2" s="1"/>
  <c r="K126" i="2"/>
  <c r="L126" i="2" s="1"/>
  <c r="G126" i="2"/>
  <c r="V125" i="2"/>
  <c r="N125" i="2" s="1"/>
  <c r="K125" i="2"/>
  <c r="L125" i="2" s="1"/>
  <c r="G125" i="2"/>
  <c r="V124" i="2"/>
  <c r="N124" i="2" s="1"/>
  <c r="K124" i="2"/>
  <c r="L124" i="2" s="1"/>
  <c r="G124" i="2"/>
  <c r="V123" i="2"/>
  <c r="N123" i="2" s="1"/>
  <c r="K123" i="2"/>
  <c r="L123" i="2" s="1"/>
  <c r="G123" i="2"/>
  <c r="V122" i="2"/>
  <c r="N122" i="2" s="1"/>
  <c r="K122" i="2"/>
  <c r="L122" i="2" s="1"/>
  <c r="G122" i="2"/>
  <c r="V121" i="2"/>
  <c r="N121" i="2" s="1"/>
  <c r="I121" i="2"/>
  <c r="K121" i="2" s="1"/>
  <c r="L121" i="2" s="1"/>
  <c r="G121" i="2"/>
  <c r="V120" i="2"/>
  <c r="N120" i="2" s="1"/>
  <c r="K120" i="2"/>
  <c r="L120" i="2" s="1"/>
  <c r="G120" i="2"/>
  <c r="V119" i="2"/>
  <c r="N119" i="2" s="1"/>
  <c r="K119" i="2"/>
  <c r="L119" i="2" s="1"/>
  <c r="G119" i="2"/>
  <c r="V118" i="2"/>
  <c r="N118" i="2" s="1"/>
  <c r="K118" i="2"/>
  <c r="L118" i="2" s="1"/>
  <c r="G118" i="2"/>
  <c r="V117" i="2"/>
  <c r="N117" i="2" s="1"/>
  <c r="I117" i="2"/>
  <c r="I111" i="2" s="1"/>
  <c r="G117" i="2"/>
  <c r="V116" i="2"/>
  <c r="N116" i="2" s="1"/>
  <c r="K116" i="2"/>
  <c r="L116" i="2" s="1"/>
  <c r="G116" i="2"/>
  <c r="V115" i="2"/>
  <c r="N115" i="2" s="1"/>
  <c r="K115" i="2"/>
  <c r="L115" i="2" s="1"/>
  <c r="G115" i="2"/>
  <c r="V114" i="2"/>
  <c r="N114" i="2" s="1"/>
  <c r="K114" i="2"/>
  <c r="V113" i="2"/>
  <c r="N113" i="2" s="1"/>
  <c r="K113" i="2"/>
  <c r="L113" i="2" s="1"/>
  <c r="G113" i="2"/>
  <c r="V112" i="2"/>
  <c r="N112" i="2" s="1"/>
  <c r="K112" i="2"/>
  <c r="G112" i="2"/>
  <c r="X111" i="2"/>
  <c r="W111" i="2"/>
  <c r="U111" i="2"/>
  <c r="T111" i="2"/>
  <c r="S111" i="2"/>
  <c r="R111" i="2"/>
  <c r="Q111" i="2"/>
  <c r="P111" i="2"/>
  <c r="O111" i="2"/>
  <c r="J111" i="2"/>
  <c r="H111" i="2"/>
  <c r="F111" i="2"/>
  <c r="E111" i="2"/>
  <c r="V110" i="2"/>
  <c r="N110" i="2" s="1"/>
  <c r="K110" i="2"/>
  <c r="L110" i="2" s="1"/>
  <c r="G110" i="2"/>
  <c r="V109" i="2"/>
  <c r="N109" i="2" s="1"/>
  <c r="K109" i="2"/>
  <c r="L109" i="2" s="1"/>
  <c r="G109" i="2"/>
  <c r="V108" i="2"/>
  <c r="N108" i="2" s="1"/>
  <c r="K108" i="2"/>
  <c r="L108" i="2" s="1"/>
  <c r="G108" i="2"/>
  <c r="V107" i="2"/>
  <c r="N107" i="2" s="1"/>
  <c r="K107" i="2"/>
  <c r="L107" i="2" s="1"/>
  <c r="G107" i="2"/>
  <c r="V106" i="2"/>
  <c r="N106" i="2" s="1"/>
  <c r="K106" i="2"/>
  <c r="G106" i="2"/>
  <c r="X105" i="2"/>
  <c r="W105" i="2"/>
  <c r="U105" i="2"/>
  <c r="T105" i="2"/>
  <c r="S105" i="2"/>
  <c r="R105" i="2"/>
  <c r="Q105" i="2"/>
  <c r="P105" i="2"/>
  <c r="O105" i="2"/>
  <c r="J105" i="2"/>
  <c r="I105" i="2"/>
  <c r="H105" i="2"/>
  <c r="F105" i="2"/>
  <c r="E105" i="2"/>
  <c r="V104" i="2"/>
  <c r="N104" i="2" s="1"/>
  <c r="K104" i="2"/>
  <c r="L104" i="2" s="1"/>
  <c r="G104" i="2"/>
  <c r="V103" i="2"/>
  <c r="N103" i="2" s="1"/>
  <c r="K103" i="2"/>
  <c r="L103" i="2" s="1"/>
  <c r="G103" i="2"/>
  <c r="V102" i="2"/>
  <c r="N102" i="2" s="1"/>
  <c r="J102" i="2"/>
  <c r="G102" i="2"/>
  <c r="V101" i="2"/>
  <c r="N101" i="2" s="1"/>
  <c r="K101" i="2"/>
  <c r="L101" i="2" s="1"/>
  <c r="G101" i="2"/>
  <c r="S100" i="2"/>
  <c r="I100" i="2"/>
  <c r="G100" i="2"/>
  <c r="V99" i="2"/>
  <c r="N99" i="2" s="1"/>
  <c r="K99" i="2"/>
  <c r="L99" i="2" s="1"/>
  <c r="G99" i="2"/>
  <c r="V98" i="2"/>
  <c r="N98" i="2" s="1"/>
  <c r="K98" i="2"/>
  <c r="L98" i="2" s="1"/>
  <c r="G98" i="2"/>
  <c r="V97" i="2"/>
  <c r="N97" i="2" s="1"/>
  <c r="K97" i="2"/>
  <c r="L97" i="2" s="1"/>
  <c r="G97" i="2"/>
  <c r="V96" i="2"/>
  <c r="N96" i="2" s="1"/>
  <c r="K96" i="2"/>
  <c r="L96" i="2" s="1"/>
  <c r="G96" i="2"/>
  <c r="V95" i="2"/>
  <c r="N95" i="2" s="1"/>
  <c r="K95" i="2"/>
  <c r="L95" i="2" s="1"/>
  <c r="G95" i="2"/>
  <c r="V94" i="2"/>
  <c r="N94" i="2" s="1"/>
  <c r="K94" i="2"/>
  <c r="L94" i="2" s="1"/>
  <c r="G94" i="2"/>
  <c r="V93" i="2"/>
  <c r="N93" i="2" s="1"/>
  <c r="K93" i="2"/>
  <c r="L93" i="2" s="1"/>
  <c r="G93" i="2"/>
  <c r="V92" i="2"/>
  <c r="N92" i="2" s="1"/>
  <c r="K92" i="2"/>
  <c r="L92" i="2" s="1"/>
  <c r="G92" i="2"/>
  <c r="V91" i="2"/>
  <c r="N91" i="2" s="1"/>
  <c r="K91" i="2"/>
  <c r="L91" i="2" s="1"/>
  <c r="G91" i="2"/>
  <c r="V90" i="2"/>
  <c r="N90" i="2" s="1"/>
  <c r="K90" i="2"/>
  <c r="L90" i="2" s="1"/>
  <c r="G90" i="2"/>
  <c r="V89" i="2"/>
  <c r="N89" i="2" s="1"/>
  <c r="J89" i="2"/>
  <c r="K89" i="2" s="1"/>
  <c r="L89" i="2" s="1"/>
  <c r="G89" i="2"/>
  <c r="V88" i="2"/>
  <c r="N88" i="2" s="1"/>
  <c r="K88" i="2"/>
  <c r="V87" i="2"/>
  <c r="N87" i="2" s="1"/>
  <c r="J87" i="2"/>
  <c r="K87" i="2" s="1"/>
  <c r="L87" i="2" s="1"/>
  <c r="G87" i="2"/>
  <c r="V86" i="2"/>
  <c r="N86" i="2" s="1"/>
  <c r="J86" i="2"/>
  <c r="K86" i="2" s="1"/>
  <c r="L86" i="2" s="1"/>
  <c r="G86" i="2"/>
  <c r="V85" i="2"/>
  <c r="N85" i="2" s="1"/>
  <c r="K85" i="2"/>
  <c r="L85" i="2" s="1"/>
  <c r="G85" i="2"/>
  <c r="V84" i="2"/>
  <c r="N84" i="2" s="1"/>
  <c r="J84" i="2"/>
  <c r="K84" i="2" s="1"/>
  <c r="G84" i="2"/>
  <c r="V83" i="2"/>
  <c r="N83" i="2" s="1"/>
  <c r="K83" i="2"/>
  <c r="L83" i="2" s="1"/>
  <c r="G83" i="2"/>
  <c r="V81" i="2"/>
  <c r="N81" i="2" s="1"/>
  <c r="K81" i="2"/>
  <c r="V80" i="2"/>
  <c r="N80" i="2" s="1"/>
  <c r="K80" i="2"/>
  <c r="L80" i="2" s="1"/>
  <c r="G80" i="2"/>
  <c r="V79" i="2"/>
  <c r="N79" i="2" s="1"/>
  <c r="K79" i="2"/>
  <c r="L79" i="2" s="1"/>
  <c r="G79" i="2"/>
  <c r="V78" i="2"/>
  <c r="N78" i="2" s="1"/>
  <c r="K78" i="2"/>
  <c r="G78" i="2"/>
  <c r="V77" i="2"/>
  <c r="N77" i="2" s="1"/>
  <c r="K77" i="2"/>
  <c r="L77" i="2" s="1"/>
  <c r="G77" i="2"/>
  <c r="X76" i="2"/>
  <c r="W76" i="2"/>
  <c r="U76" i="2"/>
  <c r="T76" i="2"/>
  <c r="S76" i="2"/>
  <c r="R76" i="2"/>
  <c r="Q76" i="2"/>
  <c r="P76" i="2"/>
  <c r="O76" i="2"/>
  <c r="J76" i="2"/>
  <c r="I76" i="2"/>
  <c r="H76" i="2"/>
  <c r="F76" i="2"/>
  <c r="E76" i="2"/>
  <c r="V75" i="2"/>
  <c r="N75" i="2" s="1"/>
  <c r="K75" i="2"/>
  <c r="L75" i="2" s="1"/>
  <c r="G75" i="2"/>
  <c r="V74" i="2"/>
  <c r="K74" i="2"/>
  <c r="K616" i="2" s="1"/>
  <c r="V73" i="2"/>
  <c r="N73" i="2" s="1"/>
  <c r="K73" i="2"/>
  <c r="L73" i="2" s="1"/>
  <c r="G73" i="2"/>
  <c r="V72" i="2"/>
  <c r="N72" i="2" s="1"/>
  <c r="K72" i="2"/>
  <c r="G72" i="2"/>
  <c r="V71" i="2"/>
  <c r="N71" i="2" s="1"/>
  <c r="K71" i="2"/>
  <c r="L71" i="2" s="1"/>
  <c r="G71" i="2"/>
  <c r="V70" i="2"/>
  <c r="N70" i="2" s="1"/>
  <c r="K70" i="2"/>
  <c r="L70" i="2" s="1"/>
  <c r="G70" i="2"/>
  <c r="V69" i="2"/>
  <c r="N69" i="2" s="1"/>
  <c r="K69" i="2"/>
  <c r="L69" i="2" s="1"/>
  <c r="G69" i="2"/>
  <c r="O68" i="2"/>
  <c r="V68" i="2" s="1"/>
  <c r="N68" i="2" s="1"/>
  <c r="K68" i="2"/>
  <c r="L68" i="2" s="1"/>
  <c r="G68" i="2"/>
  <c r="X67" i="2"/>
  <c r="W67" i="2"/>
  <c r="U67" i="2"/>
  <c r="T67" i="2"/>
  <c r="S67" i="2"/>
  <c r="R67" i="2"/>
  <c r="Q67" i="2"/>
  <c r="P67" i="2"/>
  <c r="J67" i="2"/>
  <c r="I67" i="2"/>
  <c r="H67" i="2"/>
  <c r="F67" i="2"/>
  <c r="E67" i="2"/>
  <c r="K65" i="2"/>
  <c r="K64" i="2" s="1"/>
  <c r="G65" i="2"/>
  <c r="X64" i="2"/>
  <c r="W64" i="2"/>
  <c r="U64" i="2"/>
  <c r="T64" i="2"/>
  <c r="S64" i="2"/>
  <c r="Q64" i="2"/>
  <c r="P64" i="2"/>
  <c r="O64" i="2"/>
  <c r="J64" i="2"/>
  <c r="I64" i="2"/>
  <c r="H64" i="2"/>
  <c r="F64" i="2"/>
  <c r="E64" i="2"/>
  <c r="Q63" i="2"/>
  <c r="K63" i="2"/>
  <c r="L63" i="2" s="1"/>
  <c r="G63" i="2"/>
  <c r="Q62" i="2"/>
  <c r="Q615" i="2" s="1"/>
  <c r="K62" i="2"/>
  <c r="G62" i="2"/>
  <c r="X61" i="2"/>
  <c r="W61" i="2"/>
  <c r="U61" i="2"/>
  <c r="T61" i="2"/>
  <c r="S61" i="2"/>
  <c r="R61" i="2"/>
  <c r="P61" i="2"/>
  <c r="O61" i="2"/>
  <c r="J61" i="2"/>
  <c r="I61" i="2"/>
  <c r="H61" i="2"/>
  <c r="F61" i="2"/>
  <c r="E61" i="2"/>
  <c r="Q59" i="2"/>
  <c r="Q625" i="2" s="1"/>
  <c r="I59" i="2"/>
  <c r="I625" i="2" s="1"/>
  <c r="G59" i="2"/>
  <c r="V58" i="2"/>
  <c r="N58" i="2" s="1"/>
  <c r="K58" i="2"/>
  <c r="L58" i="2" s="1"/>
  <c r="G58" i="2"/>
  <c r="V57" i="2"/>
  <c r="N57" i="2" s="1"/>
  <c r="I57" i="2"/>
  <c r="K57" i="2" s="1"/>
  <c r="L57" i="2" s="1"/>
  <c r="G57" i="2"/>
  <c r="Q56" i="2"/>
  <c r="V56" i="2" s="1"/>
  <c r="N56" i="2" s="1"/>
  <c r="K56" i="2"/>
  <c r="L56" i="2" s="1"/>
  <c r="G56" i="2"/>
  <c r="V55" i="2"/>
  <c r="N55" i="2" s="1"/>
  <c r="K55" i="2"/>
  <c r="L55" i="2" s="1"/>
  <c r="G55" i="2"/>
  <c r="V54" i="2"/>
  <c r="N54" i="2" s="1"/>
  <c r="K54" i="2"/>
  <c r="L54" i="2" s="1"/>
  <c r="G54" i="2"/>
  <c r="V53" i="2"/>
  <c r="N53" i="2" s="1"/>
  <c r="K53" i="2"/>
  <c r="L53" i="2" s="1"/>
  <c r="G53" i="2"/>
  <c r="V52" i="2"/>
  <c r="N52" i="2" s="1"/>
  <c r="I52" i="2"/>
  <c r="K52" i="2" s="1"/>
  <c r="L52" i="2" s="1"/>
  <c r="G52" i="2"/>
  <c r="Q51" i="2"/>
  <c r="V51" i="2" s="1"/>
  <c r="N51" i="2" s="1"/>
  <c r="I51" i="2"/>
  <c r="K51" i="2" s="1"/>
  <c r="L51" i="2" s="1"/>
  <c r="G51" i="2"/>
  <c r="V50" i="2"/>
  <c r="N50" i="2" s="1"/>
  <c r="K50" i="2"/>
  <c r="L50" i="2" s="1"/>
  <c r="G50" i="2"/>
  <c r="V49" i="2"/>
  <c r="N49" i="2" s="1"/>
  <c r="K49" i="2"/>
  <c r="G49" i="2"/>
  <c r="V48" i="2"/>
  <c r="N48" i="2" s="1"/>
  <c r="K48" i="2"/>
  <c r="L48" i="2" s="1"/>
  <c r="G48" i="2"/>
  <c r="X47" i="2"/>
  <c r="W47" i="2"/>
  <c r="U47" i="2"/>
  <c r="T47" i="2"/>
  <c r="S47" i="2"/>
  <c r="R47" i="2"/>
  <c r="P47" i="2"/>
  <c r="O47" i="2"/>
  <c r="J47" i="2"/>
  <c r="H47" i="2"/>
  <c r="F47" i="2"/>
  <c r="E47" i="2"/>
  <c r="O46" i="2"/>
  <c r="O617" i="2" s="1"/>
  <c r="J46" i="2"/>
  <c r="J617" i="2" s="1"/>
  <c r="I46" i="2"/>
  <c r="G46" i="2"/>
  <c r="X45" i="2"/>
  <c r="X44" i="2" s="1"/>
  <c r="W45" i="2"/>
  <c r="W44" i="2" s="1"/>
  <c r="U45" i="2"/>
  <c r="T45" i="2"/>
  <c r="T44" i="2" s="1"/>
  <c r="S45" i="2"/>
  <c r="S44" i="2" s="1"/>
  <c r="R45" i="2"/>
  <c r="R44" i="2" s="1"/>
  <c r="Q45" i="2"/>
  <c r="P45" i="2"/>
  <c r="O45" i="2"/>
  <c r="J45" i="2"/>
  <c r="I45" i="2"/>
  <c r="H45" i="2"/>
  <c r="F45" i="2"/>
  <c r="E45" i="2"/>
  <c r="V43" i="2"/>
  <c r="N43" i="2" s="1"/>
  <c r="K43" i="2"/>
  <c r="R42" i="2"/>
  <c r="K42" i="2"/>
  <c r="L42" i="2" s="1"/>
  <c r="G42" i="2"/>
  <c r="V41" i="2"/>
  <c r="N41" i="2" s="1"/>
  <c r="I41" i="2"/>
  <c r="K41" i="2" s="1"/>
  <c r="L41" i="2" s="1"/>
  <c r="G41" i="2"/>
  <c r="X40" i="2"/>
  <c r="X39" i="2" s="1"/>
  <c r="W40" i="2"/>
  <c r="W39" i="2" s="1"/>
  <c r="U40" i="2"/>
  <c r="U39" i="2" s="1"/>
  <c r="T40" i="2"/>
  <c r="T39" i="2" s="1"/>
  <c r="S40" i="2"/>
  <c r="S39" i="2" s="1"/>
  <c r="Q40" i="2"/>
  <c r="Q39" i="2" s="1"/>
  <c r="P40" i="2"/>
  <c r="O40" i="2"/>
  <c r="O39" i="2" s="1"/>
  <c r="J40" i="2"/>
  <c r="J39" i="2" s="1"/>
  <c r="H40" i="2"/>
  <c r="H39" i="2" s="1"/>
  <c r="F40" i="2"/>
  <c r="F39" i="2" s="1"/>
  <c r="E40" i="2"/>
  <c r="E39" i="2" s="1"/>
  <c r="R624" i="2"/>
  <c r="K38" i="2"/>
  <c r="L38" i="2" s="1"/>
  <c r="G38" i="2"/>
  <c r="V37" i="2"/>
  <c r="N37" i="2" s="1"/>
  <c r="K37" i="2"/>
  <c r="L37" i="2" s="1"/>
  <c r="G37" i="2"/>
  <c r="R36" i="2"/>
  <c r="V36" i="2" s="1"/>
  <c r="N36" i="2" s="1"/>
  <c r="I36" i="2"/>
  <c r="K36" i="2" s="1"/>
  <c r="L36" i="2" s="1"/>
  <c r="G36" i="2"/>
  <c r="R35" i="2"/>
  <c r="V35" i="2" s="1"/>
  <c r="N35" i="2" s="1"/>
  <c r="I35" i="2"/>
  <c r="K35" i="2" s="1"/>
  <c r="L35" i="2" s="1"/>
  <c r="G35" i="2"/>
  <c r="V34" i="2"/>
  <c r="N34" i="2" s="1"/>
  <c r="I34" i="2"/>
  <c r="K34" i="2" s="1"/>
  <c r="G34" i="2"/>
  <c r="X33" i="2"/>
  <c r="W33" i="2"/>
  <c r="U33" i="2"/>
  <c r="T33" i="2"/>
  <c r="S33" i="2"/>
  <c r="Q33" i="2"/>
  <c r="P33" i="2"/>
  <c r="O33" i="2"/>
  <c r="J33" i="2"/>
  <c r="H33" i="2"/>
  <c r="F33" i="2"/>
  <c r="E33" i="2"/>
  <c r="V32" i="2"/>
  <c r="N32" i="2" s="1"/>
  <c r="N31" i="2" s="1"/>
  <c r="K32" i="2"/>
  <c r="K31" i="2" s="1"/>
  <c r="L31" i="2" s="1"/>
  <c r="G32" i="2"/>
  <c r="X31" i="2"/>
  <c r="W31" i="2"/>
  <c r="U31" i="2"/>
  <c r="T31" i="2"/>
  <c r="S31" i="2"/>
  <c r="R31" i="2"/>
  <c r="Q31" i="2"/>
  <c r="P31" i="2"/>
  <c r="O31" i="2"/>
  <c r="J31" i="2"/>
  <c r="I31" i="2"/>
  <c r="H31" i="2"/>
  <c r="F31" i="2"/>
  <c r="E31" i="2"/>
  <c r="V30" i="2"/>
  <c r="N30" i="2" s="1"/>
  <c r="K30" i="2"/>
  <c r="L30" i="2" s="1"/>
  <c r="G30" i="2"/>
  <c r="V29" i="2"/>
  <c r="N29" i="2"/>
  <c r="K29" i="2"/>
  <c r="G29" i="2"/>
  <c r="X28" i="2"/>
  <c r="W28" i="2"/>
  <c r="U28" i="2"/>
  <c r="T28" i="2"/>
  <c r="S28" i="2"/>
  <c r="R28" i="2"/>
  <c r="Q28" i="2"/>
  <c r="P28" i="2"/>
  <c r="O28" i="2"/>
  <c r="J28" i="2"/>
  <c r="I28" i="2"/>
  <c r="H28" i="2"/>
  <c r="F28" i="2"/>
  <c r="E28" i="2"/>
  <c r="V26" i="2"/>
  <c r="N26" i="2" s="1"/>
  <c r="K26" i="2"/>
  <c r="L26" i="2" s="1"/>
  <c r="G26" i="2"/>
  <c r="V25" i="2"/>
  <c r="N25" i="2" s="1"/>
  <c r="K25" i="2"/>
  <c r="L25" i="2" s="1"/>
  <c r="G25" i="2"/>
  <c r="V24" i="2"/>
  <c r="N24" i="2" s="1"/>
  <c r="K24" i="2"/>
  <c r="L24" i="2" s="1"/>
  <c r="G24" i="2"/>
  <c r="V23" i="2"/>
  <c r="N23" i="2" s="1"/>
  <c r="K23" i="2"/>
  <c r="L23" i="2" s="1"/>
  <c r="G23" i="2"/>
  <c r="V22" i="2"/>
  <c r="K22" i="2"/>
  <c r="G22" i="2"/>
  <c r="X21" i="2"/>
  <c r="X20" i="2" s="1"/>
  <c r="W21" i="2"/>
  <c r="W20" i="2" s="1"/>
  <c r="U21" i="2"/>
  <c r="U20" i="2" s="1"/>
  <c r="T21" i="2"/>
  <c r="T20" i="2" s="1"/>
  <c r="S21" i="2"/>
  <c r="S20" i="2" s="1"/>
  <c r="R21" i="2"/>
  <c r="R20" i="2" s="1"/>
  <c r="Q21" i="2"/>
  <c r="Q20" i="2" s="1"/>
  <c r="P21" i="2"/>
  <c r="P20" i="2" s="1"/>
  <c r="O21" i="2"/>
  <c r="O20" i="2" s="1"/>
  <c r="J21" i="2"/>
  <c r="J20" i="2" s="1"/>
  <c r="I21" i="2"/>
  <c r="I20" i="2" s="1"/>
  <c r="H21" i="2"/>
  <c r="H20" i="2" s="1"/>
  <c r="F21" i="2"/>
  <c r="E21" i="2"/>
  <c r="E20" i="2" s="1"/>
  <c r="V19" i="2"/>
  <c r="N19" i="2" s="1"/>
  <c r="K19" i="2"/>
  <c r="L19" i="2" s="1"/>
  <c r="G19" i="2"/>
  <c r="V18" i="2"/>
  <c r="N18" i="2" s="1"/>
  <c r="K18" i="2"/>
  <c r="L18" i="2" s="1"/>
  <c r="G18" i="2"/>
  <c r="V17" i="2"/>
  <c r="N17" i="2" s="1"/>
  <c r="I17" i="2"/>
  <c r="I12" i="2" s="1"/>
  <c r="G17" i="2"/>
  <c r="V16" i="2"/>
  <c r="N16" i="2" s="1"/>
  <c r="K16" i="2"/>
  <c r="L16" i="2" s="1"/>
  <c r="G16" i="2"/>
  <c r="V15" i="2"/>
  <c r="N15" i="2" s="1"/>
  <c r="K15" i="2"/>
  <c r="L15" i="2" s="1"/>
  <c r="G15" i="2"/>
  <c r="V14" i="2"/>
  <c r="N14" i="2" s="1"/>
  <c r="K14" i="2"/>
  <c r="G14" i="2"/>
  <c r="V13" i="2"/>
  <c r="N13" i="2" s="1"/>
  <c r="K13" i="2"/>
  <c r="L13" i="2" s="1"/>
  <c r="G13" i="2"/>
  <c r="X12" i="2"/>
  <c r="W12" i="2"/>
  <c r="U12" i="2"/>
  <c r="T12" i="2"/>
  <c r="S12" i="2"/>
  <c r="R12" i="2"/>
  <c r="Q12" i="2"/>
  <c r="P12" i="2"/>
  <c r="O12" i="2"/>
  <c r="J12" i="2"/>
  <c r="H12" i="2"/>
  <c r="F12" i="2"/>
  <c r="E12" i="2"/>
  <c r="V11" i="2"/>
  <c r="V10" i="2" s="1"/>
  <c r="K11" i="2"/>
  <c r="L11" i="2" s="1"/>
  <c r="G11" i="2"/>
  <c r="X10" i="2"/>
  <c r="W10" i="2"/>
  <c r="U10" i="2"/>
  <c r="T10" i="2"/>
  <c r="S10" i="2"/>
  <c r="R10" i="2"/>
  <c r="Q10" i="2"/>
  <c r="P10" i="2"/>
  <c r="O10" i="2"/>
  <c r="J10" i="2"/>
  <c r="I10" i="2"/>
  <c r="H10" i="2"/>
  <c r="F10" i="2"/>
  <c r="E10" i="2"/>
  <c r="V9" i="2"/>
  <c r="V7" i="2" s="1"/>
  <c r="K9" i="2"/>
  <c r="L9" i="2" s="1"/>
  <c r="G9" i="2"/>
  <c r="N8" i="2"/>
  <c r="K8" i="2"/>
  <c r="L8" i="2" s="1"/>
  <c r="G8" i="2"/>
  <c r="X7" i="2"/>
  <c r="W7" i="2"/>
  <c r="U7" i="2"/>
  <c r="T7" i="2"/>
  <c r="S7" i="2"/>
  <c r="R7" i="2"/>
  <c r="Q7" i="2"/>
  <c r="P7" i="2"/>
  <c r="O7" i="2"/>
  <c r="J7" i="2"/>
  <c r="I7" i="2"/>
  <c r="H7" i="2"/>
  <c r="F7" i="2"/>
  <c r="E7" i="2"/>
  <c r="J226" i="1"/>
  <c r="I226" i="1"/>
  <c r="H226" i="1"/>
  <c r="F226" i="1"/>
  <c r="E226" i="1"/>
  <c r="J225" i="1"/>
  <c r="I225" i="1"/>
  <c r="H225" i="1"/>
  <c r="F225" i="1"/>
  <c r="E225" i="1"/>
  <c r="J224" i="1"/>
  <c r="J221" i="1" s="1"/>
  <c r="I224" i="1"/>
  <c r="H224" i="1"/>
  <c r="F224" i="1"/>
  <c r="E224" i="1"/>
  <c r="J223" i="1"/>
  <c r="I223" i="1"/>
  <c r="H223" i="1"/>
  <c r="F223" i="1"/>
  <c r="G223" i="1" s="1"/>
  <c r="E223" i="1"/>
  <c r="H220" i="1"/>
  <c r="F220" i="1"/>
  <c r="E220" i="1"/>
  <c r="I219" i="1"/>
  <c r="H219" i="1"/>
  <c r="F219" i="1"/>
  <c r="E219" i="1"/>
  <c r="J218" i="1"/>
  <c r="I218" i="1"/>
  <c r="H218" i="1"/>
  <c r="F218" i="1"/>
  <c r="E218" i="1"/>
  <c r="J217" i="1"/>
  <c r="I217" i="1"/>
  <c r="H217" i="1"/>
  <c r="F217" i="1"/>
  <c r="E217" i="1"/>
  <c r="I215" i="1"/>
  <c r="H215" i="1"/>
  <c r="F215" i="1"/>
  <c r="E215" i="1"/>
  <c r="J214" i="1"/>
  <c r="I214" i="1"/>
  <c r="H214" i="1"/>
  <c r="F214" i="1"/>
  <c r="E214" i="1"/>
  <c r="J213" i="1"/>
  <c r="I213" i="1"/>
  <c r="H213" i="1"/>
  <c r="F213" i="1"/>
  <c r="E213" i="1"/>
  <c r="K208" i="1"/>
  <c r="G208" i="1"/>
  <c r="K207" i="1"/>
  <c r="J206" i="1"/>
  <c r="J205" i="1" s="1"/>
  <c r="I206" i="1"/>
  <c r="I205" i="1" s="1"/>
  <c r="H206" i="1"/>
  <c r="H205" i="1" s="1"/>
  <c r="F206" i="1"/>
  <c r="F205" i="1" s="1"/>
  <c r="E206" i="1"/>
  <c r="K204" i="1"/>
  <c r="K203" i="1"/>
  <c r="L203" i="1" s="1"/>
  <c r="G203" i="1"/>
  <c r="J202" i="1"/>
  <c r="I202" i="1"/>
  <c r="H202" i="1"/>
  <c r="F202" i="1"/>
  <c r="E202" i="1"/>
  <c r="K201" i="1"/>
  <c r="G201" i="1"/>
  <c r="J200" i="1"/>
  <c r="I200" i="1"/>
  <c r="H200" i="1"/>
  <c r="F200" i="1"/>
  <c r="E200" i="1"/>
  <c r="K198" i="1"/>
  <c r="L198" i="1" s="1"/>
  <c r="G198" i="1"/>
  <c r="K197" i="1"/>
  <c r="K196" i="1"/>
  <c r="L196" i="1" s="1"/>
  <c r="G196" i="1"/>
  <c r="J195" i="1"/>
  <c r="I195" i="1"/>
  <c r="H195" i="1"/>
  <c r="F195" i="1"/>
  <c r="E195" i="1"/>
  <c r="K194" i="1"/>
  <c r="L194" i="1" s="1"/>
  <c r="G194" i="1"/>
  <c r="J193" i="1"/>
  <c r="I193" i="1"/>
  <c r="H193" i="1"/>
  <c r="F193" i="1"/>
  <c r="E193" i="1"/>
  <c r="K192" i="1"/>
  <c r="K191" i="1"/>
  <c r="K190" i="1"/>
  <c r="G190" i="1"/>
  <c r="K189" i="1"/>
  <c r="K188" i="1"/>
  <c r="L188" i="1" s="1"/>
  <c r="G188" i="1"/>
  <c r="J187" i="1"/>
  <c r="I187" i="1"/>
  <c r="H187" i="1"/>
  <c r="F187" i="1"/>
  <c r="E187" i="1"/>
  <c r="K171" i="1"/>
  <c r="K170" i="1"/>
  <c r="K169" i="1"/>
  <c r="K168" i="1"/>
  <c r="J167" i="1"/>
  <c r="I167" i="1"/>
  <c r="H167" i="1"/>
  <c r="F167" i="1"/>
  <c r="E167" i="1"/>
  <c r="K166" i="1"/>
  <c r="K165" i="1" s="1"/>
  <c r="J165" i="1"/>
  <c r="I165" i="1"/>
  <c r="H165" i="1"/>
  <c r="F165" i="1"/>
  <c r="E165" i="1"/>
  <c r="K163" i="1"/>
  <c r="L163" i="1" s="1"/>
  <c r="G163" i="1"/>
  <c r="K162" i="1"/>
  <c r="L162" i="1" s="1"/>
  <c r="G162" i="1"/>
  <c r="J161" i="1"/>
  <c r="J160" i="1" s="1"/>
  <c r="I161" i="1"/>
  <c r="H161" i="1"/>
  <c r="H160" i="1" s="1"/>
  <c r="F161" i="1"/>
  <c r="F160" i="1" s="1"/>
  <c r="E161" i="1"/>
  <c r="E160" i="1" s="1"/>
  <c r="I160" i="1"/>
  <c r="K159" i="1"/>
  <c r="K158" i="1"/>
  <c r="L158" i="1" s="1"/>
  <c r="G158" i="1"/>
  <c r="K157" i="1"/>
  <c r="G157" i="1"/>
  <c r="J156" i="1"/>
  <c r="I156" i="1"/>
  <c r="H156" i="1"/>
  <c r="F156" i="1"/>
  <c r="E156" i="1"/>
  <c r="K155" i="1"/>
  <c r="K154" i="1" s="1"/>
  <c r="J154" i="1"/>
  <c r="I154" i="1"/>
  <c r="H154" i="1"/>
  <c r="F154" i="1"/>
  <c r="E154" i="1"/>
  <c r="K153" i="1"/>
  <c r="L153" i="1" s="1"/>
  <c r="G153" i="1"/>
  <c r="K152" i="1"/>
  <c r="L152" i="1" s="1"/>
  <c r="G152" i="1"/>
  <c r="K151" i="1"/>
  <c r="G151" i="1"/>
  <c r="J150" i="1"/>
  <c r="I150" i="1"/>
  <c r="H150" i="1"/>
  <c r="F150" i="1"/>
  <c r="E150" i="1"/>
  <c r="K149" i="1"/>
  <c r="K148" i="1" s="1"/>
  <c r="G149" i="1"/>
  <c r="J148" i="1"/>
  <c r="I148" i="1"/>
  <c r="H148" i="1"/>
  <c r="F148" i="1"/>
  <c r="E148" i="1"/>
  <c r="K147" i="1"/>
  <c r="L147" i="1" s="1"/>
  <c r="G147" i="1"/>
  <c r="K146" i="1"/>
  <c r="G146" i="1"/>
  <c r="J145" i="1"/>
  <c r="I145" i="1"/>
  <c r="H145" i="1"/>
  <c r="F145" i="1"/>
  <c r="E145" i="1"/>
  <c r="K144" i="1"/>
  <c r="G144" i="1"/>
  <c r="J143" i="1"/>
  <c r="I143" i="1"/>
  <c r="H143" i="1"/>
  <c r="F143" i="1"/>
  <c r="E143" i="1"/>
  <c r="K142" i="1"/>
  <c r="K140" i="1" s="1"/>
  <c r="G142" i="1"/>
  <c r="K141" i="1"/>
  <c r="L141" i="1" s="1"/>
  <c r="G141" i="1"/>
  <c r="J140" i="1"/>
  <c r="I140" i="1"/>
  <c r="H140" i="1"/>
  <c r="F140" i="1"/>
  <c r="E140" i="1"/>
  <c r="K139" i="1"/>
  <c r="L139" i="1" s="1"/>
  <c r="G139" i="1"/>
  <c r="K138" i="1"/>
  <c r="G138" i="1"/>
  <c r="K137" i="1"/>
  <c r="L137" i="1" s="1"/>
  <c r="G137" i="1"/>
  <c r="J136" i="1"/>
  <c r="I136" i="1"/>
  <c r="H136" i="1"/>
  <c r="F136" i="1"/>
  <c r="E136" i="1"/>
  <c r="K135" i="1"/>
  <c r="L135" i="1" s="1"/>
  <c r="G135" i="1"/>
  <c r="K134" i="1"/>
  <c r="L134" i="1" s="1"/>
  <c r="G134" i="1"/>
  <c r="K133" i="1"/>
  <c r="G133" i="1"/>
  <c r="K132" i="1"/>
  <c r="L132" i="1" s="1"/>
  <c r="G132" i="1"/>
  <c r="J131" i="1"/>
  <c r="I131" i="1"/>
  <c r="H131" i="1"/>
  <c r="F131" i="1"/>
  <c r="E131" i="1"/>
  <c r="K130" i="1"/>
  <c r="K129" i="1" s="1"/>
  <c r="G130" i="1"/>
  <c r="J129" i="1"/>
  <c r="I129" i="1"/>
  <c r="H129" i="1"/>
  <c r="F129" i="1"/>
  <c r="E129" i="1"/>
  <c r="K128" i="1"/>
  <c r="K127" i="1" s="1"/>
  <c r="G128" i="1"/>
  <c r="J127" i="1"/>
  <c r="I127" i="1"/>
  <c r="H127" i="1"/>
  <c r="F127" i="1"/>
  <c r="E127" i="1"/>
  <c r="K125" i="1"/>
  <c r="G125" i="1"/>
  <c r="J124" i="1"/>
  <c r="I124" i="1"/>
  <c r="H124" i="1"/>
  <c r="F124" i="1"/>
  <c r="E124" i="1"/>
  <c r="K123" i="1"/>
  <c r="L123" i="1" s="1"/>
  <c r="G123" i="1"/>
  <c r="K122" i="1"/>
  <c r="L122" i="1" s="1"/>
  <c r="G122" i="1"/>
  <c r="J121" i="1"/>
  <c r="I121" i="1"/>
  <c r="H121" i="1"/>
  <c r="F121" i="1"/>
  <c r="E121" i="1"/>
  <c r="K120" i="1"/>
  <c r="L120" i="1" s="1"/>
  <c r="G120" i="1"/>
  <c r="K119" i="1"/>
  <c r="G119" i="1"/>
  <c r="J118" i="1"/>
  <c r="I118" i="1"/>
  <c r="H118" i="1"/>
  <c r="F118" i="1"/>
  <c r="E118" i="1"/>
  <c r="K117" i="1"/>
  <c r="L117" i="1" s="1"/>
  <c r="G117" i="1"/>
  <c r="K116" i="1"/>
  <c r="L116" i="1" s="1"/>
  <c r="G116" i="1"/>
  <c r="K115" i="1"/>
  <c r="L115" i="1" s="1"/>
  <c r="G115" i="1"/>
  <c r="K114" i="1"/>
  <c r="L114" i="1" s="1"/>
  <c r="G114" i="1"/>
  <c r="K113" i="1"/>
  <c r="L113" i="1" s="1"/>
  <c r="G113" i="1"/>
  <c r="L112" i="1"/>
  <c r="K112" i="1"/>
  <c r="G112" i="1"/>
  <c r="J111" i="1"/>
  <c r="I111" i="1"/>
  <c r="H111" i="1"/>
  <c r="F111" i="1"/>
  <c r="E111" i="1"/>
  <c r="K110" i="1"/>
  <c r="L110" i="1" s="1"/>
  <c r="G110" i="1"/>
  <c r="K109" i="1"/>
  <c r="G109" i="1"/>
  <c r="J108" i="1"/>
  <c r="I108" i="1"/>
  <c r="H108" i="1"/>
  <c r="F108" i="1"/>
  <c r="E108" i="1"/>
  <c r="K107" i="1"/>
  <c r="L107" i="1" s="1"/>
  <c r="G107" i="1"/>
  <c r="K106" i="1"/>
  <c r="L106" i="1" s="1"/>
  <c r="G106" i="1"/>
  <c r="K105" i="1"/>
  <c r="G105" i="1"/>
  <c r="K104" i="1"/>
  <c r="J103" i="1"/>
  <c r="I103" i="1"/>
  <c r="H103" i="1"/>
  <c r="F103" i="1"/>
  <c r="E103" i="1"/>
  <c r="K101" i="1"/>
  <c r="L101" i="1" s="1"/>
  <c r="G101" i="1"/>
  <c r="J100" i="1"/>
  <c r="I100" i="1"/>
  <c r="H100" i="1"/>
  <c r="F100" i="1"/>
  <c r="E100" i="1"/>
  <c r="K99" i="1"/>
  <c r="K226" i="1" s="1"/>
  <c r="L226" i="1" s="1"/>
  <c r="G99" i="1"/>
  <c r="K98" i="1"/>
  <c r="G98" i="1"/>
  <c r="K97" i="1"/>
  <c r="L97" i="1" s="1"/>
  <c r="G97" i="1"/>
  <c r="K96" i="1"/>
  <c r="K95" i="1"/>
  <c r="L95" i="1" s="1"/>
  <c r="G95" i="1"/>
  <c r="J94" i="1"/>
  <c r="J220" i="1" s="1"/>
  <c r="G94" i="1"/>
  <c r="K93" i="1"/>
  <c r="L93" i="1" s="1"/>
  <c r="G93" i="1"/>
  <c r="K92" i="1"/>
  <c r="K91" i="1"/>
  <c r="I90" i="1"/>
  <c r="H90" i="1"/>
  <c r="F90" i="1"/>
  <c r="E90" i="1"/>
  <c r="K89" i="1"/>
  <c r="G89" i="1"/>
  <c r="J88" i="1"/>
  <c r="I88" i="1"/>
  <c r="H88" i="1"/>
  <c r="F88" i="1"/>
  <c r="E88" i="1"/>
  <c r="K87" i="1"/>
  <c r="G87" i="1"/>
  <c r="J86" i="1"/>
  <c r="I86" i="1"/>
  <c r="H86" i="1"/>
  <c r="H85" i="1" s="1"/>
  <c r="F86" i="1"/>
  <c r="E86" i="1"/>
  <c r="K84" i="1"/>
  <c r="K214" i="1" s="1"/>
  <c r="G84" i="1"/>
  <c r="K83" i="1"/>
  <c r="K213" i="1" s="1"/>
  <c r="G83" i="1"/>
  <c r="J82" i="1"/>
  <c r="I82" i="1"/>
  <c r="H82" i="1"/>
  <c r="F82" i="1"/>
  <c r="E82" i="1"/>
  <c r="K81" i="1"/>
  <c r="K80" i="1"/>
  <c r="K79" i="1"/>
  <c r="L79" i="1" s="1"/>
  <c r="G79" i="1"/>
  <c r="K78" i="1"/>
  <c r="L78" i="1" s="1"/>
  <c r="G78" i="1"/>
  <c r="K77" i="1"/>
  <c r="L77" i="1" s="1"/>
  <c r="G77" i="1"/>
  <c r="J76" i="1"/>
  <c r="I76" i="1"/>
  <c r="H76" i="1"/>
  <c r="F76" i="1"/>
  <c r="E76" i="1"/>
  <c r="K75" i="1"/>
  <c r="L75" i="1" s="1"/>
  <c r="G75" i="1"/>
  <c r="K74" i="1"/>
  <c r="L74" i="1" s="1"/>
  <c r="G74" i="1"/>
  <c r="K73" i="1"/>
  <c r="L73" i="1" s="1"/>
  <c r="G73" i="1"/>
  <c r="K72" i="1"/>
  <c r="L72" i="1" s="1"/>
  <c r="G72" i="1"/>
  <c r="K71" i="1"/>
  <c r="L71" i="1" s="1"/>
  <c r="G71" i="1"/>
  <c r="K70" i="1"/>
  <c r="L70" i="1" s="1"/>
  <c r="G70" i="1"/>
  <c r="K69" i="1"/>
  <c r="L69" i="1" s="1"/>
  <c r="G69" i="1"/>
  <c r="K68" i="1"/>
  <c r="L68" i="1" s="1"/>
  <c r="G68" i="1"/>
  <c r="K67" i="1"/>
  <c r="G67" i="1"/>
  <c r="J66" i="1"/>
  <c r="I66" i="1"/>
  <c r="H66" i="1"/>
  <c r="F66" i="1"/>
  <c r="E66" i="1"/>
  <c r="K65" i="1"/>
  <c r="L65" i="1" s="1"/>
  <c r="G65" i="1"/>
  <c r="K64" i="1"/>
  <c r="K63" i="1"/>
  <c r="L63" i="1" s="1"/>
  <c r="G63" i="1"/>
  <c r="K62" i="1"/>
  <c r="L62" i="1" s="1"/>
  <c r="G62" i="1"/>
  <c r="K61" i="1"/>
  <c r="L61" i="1" s="1"/>
  <c r="G61" i="1"/>
  <c r="K60" i="1"/>
  <c r="L60" i="1" s="1"/>
  <c r="G60" i="1"/>
  <c r="K59" i="1"/>
  <c r="L59" i="1" s="1"/>
  <c r="G59" i="1"/>
  <c r="K58" i="1"/>
  <c r="L58" i="1" s="1"/>
  <c r="G58" i="1"/>
  <c r="J57" i="1"/>
  <c r="I57" i="1"/>
  <c r="H57" i="1"/>
  <c r="F57" i="1"/>
  <c r="E57" i="1"/>
  <c r="K56" i="1"/>
  <c r="J55" i="1"/>
  <c r="J215" i="1" s="1"/>
  <c r="G55" i="1"/>
  <c r="I54" i="1"/>
  <c r="H54" i="1"/>
  <c r="F54" i="1"/>
  <c r="E54" i="1"/>
  <c r="K52" i="1"/>
  <c r="L52" i="1" s="1"/>
  <c r="G52" i="1"/>
  <c r="K51" i="1"/>
  <c r="L51" i="1" s="1"/>
  <c r="G51" i="1"/>
  <c r="J50" i="1"/>
  <c r="J49" i="1" s="1"/>
  <c r="I50" i="1"/>
  <c r="I49" i="1" s="1"/>
  <c r="H50" i="1"/>
  <c r="H49" i="1" s="1"/>
  <c r="F50" i="1"/>
  <c r="E50" i="1"/>
  <c r="E49" i="1" s="1"/>
  <c r="K48" i="1"/>
  <c r="L48" i="1" s="1"/>
  <c r="G48" i="1"/>
  <c r="J47" i="1"/>
  <c r="J46" i="1" s="1"/>
  <c r="I47" i="1"/>
  <c r="H47" i="1"/>
  <c r="H46" i="1" s="1"/>
  <c r="F47" i="1"/>
  <c r="E47" i="1"/>
  <c r="E46" i="1" s="1"/>
  <c r="I46" i="1"/>
  <c r="K45" i="1"/>
  <c r="L45" i="1" s="1"/>
  <c r="G45" i="1"/>
  <c r="K44" i="1"/>
  <c r="K43" i="1"/>
  <c r="L43" i="1" s="1"/>
  <c r="G43" i="1"/>
  <c r="J42" i="1"/>
  <c r="I42" i="1"/>
  <c r="H42" i="1"/>
  <c r="F42" i="1"/>
  <c r="E42" i="1"/>
  <c r="K41" i="1"/>
  <c r="J40" i="1"/>
  <c r="J219" i="1" s="1"/>
  <c r="G40" i="1"/>
  <c r="I39" i="1"/>
  <c r="H39" i="1"/>
  <c r="F39" i="1"/>
  <c r="E39" i="1"/>
  <c r="K37" i="1"/>
  <c r="L37" i="1" s="1"/>
  <c r="G37" i="1"/>
  <c r="K36" i="1"/>
  <c r="L36" i="1" s="1"/>
  <c r="G36" i="1"/>
  <c r="K35" i="1"/>
  <c r="K34" i="1"/>
  <c r="L34" i="1" s="1"/>
  <c r="G34" i="1"/>
  <c r="K33" i="1"/>
  <c r="K224" i="1" s="1"/>
  <c r="G33" i="1"/>
  <c r="I32" i="1"/>
  <c r="I220" i="1" s="1"/>
  <c r="G32" i="1"/>
  <c r="K31" i="1"/>
  <c r="L31" i="1" s="1"/>
  <c r="G31" i="1"/>
  <c r="K30" i="1"/>
  <c r="K29" i="1"/>
  <c r="L29" i="1" s="1"/>
  <c r="G29" i="1"/>
  <c r="K28" i="1"/>
  <c r="K27" i="1"/>
  <c r="L27" i="1" s="1"/>
  <c r="G27" i="1"/>
  <c r="J26" i="1"/>
  <c r="H26" i="1"/>
  <c r="F26" i="1"/>
  <c r="E26" i="1"/>
  <c r="K25" i="1"/>
  <c r="L25" i="1" s="1"/>
  <c r="G25" i="1"/>
  <c r="G24" i="1" s="1"/>
  <c r="J24" i="1"/>
  <c r="I24" i="1"/>
  <c r="H24" i="1"/>
  <c r="F24" i="1"/>
  <c r="E24" i="1"/>
  <c r="K22" i="1"/>
  <c r="K21" i="1"/>
  <c r="K20" i="1"/>
  <c r="L20" i="1" s="1"/>
  <c r="G20" i="1"/>
  <c r="J19" i="1"/>
  <c r="J18" i="1" s="1"/>
  <c r="I19" i="1"/>
  <c r="I18" i="1" s="1"/>
  <c r="H19" i="1"/>
  <c r="H18" i="1" s="1"/>
  <c r="F19" i="1"/>
  <c r="E19" i="1"/>
  <c r="E18" i="1" s="1"/>
  <c r="K17" i="1"/>
  <c r="L17" i="1" s="1"/>
  <c r="G17" i="1"/>
  <c r="J16" i="1"/>
  <c r="J15" i="1" s="1"/>
  <c r="I16" i="1"/>
  <c r="I15" i="1" s="1"/>
  <c r="H16" i="1"/>
  <c r="H15" i="1" s="1"/>
  <c r="F16" i="1"/>
  <c r="F15" i="1" s="1"/>
  <c r="E16" i="1"/>
  <c r="E15" i="1" s="1"/>
  <c r="K14" i="1"/>
  <c r="J13" i="1"/>
  <c r="J12" i="1" s="1"/>
  <c r="I13" i="1"/>
  <c r="I12" i="1" s="1"/>
  <c r="H13" i="1"/>
  <c r="H12" i="1" s="1"/>
  <c r="F13" i="1"/>
  <c r="F12" i="1" s="1"/>
  <c r="E13" i="1"/>
  <c r="E12" i="1" s="1"/>
  <c r="K11" i="1"/>
  <c r="L11" i="1" s="1"/>
  <c r="G11" i="1"/>
  <c r="K10" i="1"/>
  <c r="L10" i="1" s="1"/>
  <c r="G10" i="1"/>
  <c r="K9" i="1"/>
  <c r="K8" i="1"/>
  <c r="L8" i="1" s="1"/>
  <c r="G8" i="1"/>
  <c r="J7" i="1"/>
  <c r="I7" i="1"/>
  <c r="H7" i="1"/>
  <c r="F7" i="1"/>
  <c r="E7" i="1"/>
  <c r="K6" i="1"/>
  <c r="L6" i="1" s="1"/>
  <c r="G6" i="1"/>
  <c r="J5" i="1"/>
  <c r="I5" i="1"/>
  <c r="H5" i="1"/>
  <c r="F5" i="1"/>
  <c r="E5" i="1"/>
  <c r="G19" i="1" l="1"/>
  <c r="I38" i="1"/>
  <c r="G225" i="1"/>
  <c r="H53" i="1"/>
  <c r="F18" i="1"/>
  <c r="K55" i="1"/>
  <c r="L55" i="1" s="1"/>
  <c r="G140" i="1"/>
  <c r="L140" i="1"/>
  <c r="G7" i="1"/>
  <c r="E4" i="1"/>
  <c r="K19" i="1"/>
  <c r="L19" i="1" s="1"/>
  <c r="E38" i="1"/>
  <c r="J54" i="1"/>
  <c r="G26" i="1"/>
  <c r="G23" i="1" s="1"/>
  <c r="L83" i="1"/>
  <c r="L148" i="1"/>
  <c r="H199" i="1"/>
  <c r="I199" i="1"/>
  <c r="L224" i="1"/>
  <c r="G39" i="1"/>
  <c r="H38" i="1"/>
  <c r="G86" i="1"/>
  <c r="G121" i="1"/>
  <c r="L149" i="1"/>
  <c r="G195" i="1"/>
  <c r="G214" i="1"/>
  <c r="H221" i="1"/>
  <c r="G224" i="1"/>
  <c r="G82" i="1"/>
  <c r="L214" i="1"/>
  <c r="G111" i="1"/>
  <c r="K206" i="1"/>
  <c r="K205" i="1" s="1"/>
  <c r="I221" i="1"/>
  <c r="E23" i="1"/>
  <c r="F23" i="1"/>
  <c r="G57" i="1"/>
  <c r="I85" i="1"/>
  <c r="G90" i="1"/>
  <c r="K111" i="1"/>
  <c r="L111" i="1" s="1"/>
  <c r="L128" i="1"/>
  <c r="H186" i="1"/>
  <c r="E199" i="1"/>
  <c r="G202" i="1"/>
  <c r="G206" i="1"/>
  <c r="G218" i="1"/>
  <c r="G5" i="1"/>
  <c r="H4" i="1"/>
  <c r="J23" i="1"/>
  <c r="G76" i="1"/>
  <c r="K82" i="1"/>
  <c r="L82" i="1" s="1"/>
  <c r="G88" i="1"/>
  <c r="J126" i="1"/>
  <c r="G129" i="1"/>
  <c r="G145" i="1"/>
  <c r="I186" i="1"/>
  <c r="G215" i="1"/>
  <c r="G217" i="1"/>
  <c r="E221" i="1"/>
  <c r="G18" i="1"/>
  <c r="K145" i="1"/>
  <c r="L145" i="1" s="1"/>
  <c r="G156" i="1"/>
  <c r="E186" i="1"/>
  <c r="J186" i="1"/>
  <c r="F221" i="1"/>
  <c r="E85" i="1"/>
  <c r="K54" i="1"/>
  <c r="L54" i="1" s="1"/>
  <c r="G42" i="1"/>
  <c r="G47" i="1"/>
  <c r="G50" i="1"/>
  <c r="L84" i="1"/>
  <c r="L99" i="1"/>
  <c r="J102" i="1"/>
  <c r="L129" i="1"/>
  <c r="G193" i="1"/>
  <c r="G226" i="1"/>
  <c r="L563" i="2"/>
  <c r="K562" i="2"/>
  <c r="J592" i="2"/>
  <c r="L616" i="2"/>
  <c r="N74" i="2"/>
  <c r="N616" i="2" s="1"/>
  <c r="V616" i="2"/>
  <c r="G407" i="2"/>
  <c r="F475" i="2"/>
  <c r="K489" i="2"/>
  <c r="X621" i="2"/>
  <c r="N502" i="2"/>
  <c r="N489" i="2" s="1"/>
  <c r="V489" i="2"/>
  <c r="R33" i="2"/>
  <c r="R27" i="2" s="1"/>
  <c r="G159" i="2"/>
  <c r="N359" i="2"/>
  <c r="N358" i="2" s="1"/>
  <c r="I475" i="2"/>
  <c r="Q522" i="2"/>
  <c r="E621" i="2"/>
  <c r="K356" i="2"/>
  <c r="L356" i="2" s="1"/>
  <c r="I355" i="2"/>
  <c r="K407" i="2"/>
  <c r="L407" i="2" s="1"/>
  <c r="G431" i="2"/>
  <c r="G437" i="2"/>
  <c r="I517" i="2"/>
  <c r="G534" i="2"/>
  <c r="E66" i="2"/>
  <c r="G127" i="2"/>
  <c r="U142" i="2"/>
  <c r="V142" i="2" s="1"/>
  <c r="G200" i="2"/>
  <c r="L474" i="2"/>
  <c r="L473" i="2" s="1"/>
  <c r="G603" i="2"/>
  <c r="G31" i="2"/>
  <c r="I33" i="2"/>
  <c r="I27" i="2" s="1"/>
  <c r="U27" i="2"/>
  <c r="I40" i="2"/>
  <c r="I39" i="2" s="1"/>
  <c r="H44" i="2"/>
  <c r="I455" i="2"/>
  <c r="Q6" i="2"/>
  <c r="G10" i="2"/>
  <c r="U44" i="2"/>
  <c r="O67" i="2"/>
  <c r="V67" i="2" s="1"/>
  <c r="K59" i="2"/>
  <c r="L59" i="2" s="1"/>
  <c r="H60" i="2"/>
  <c r="P60" i="2"/>
  <c r="U60" i="2"/>
  <c r="Q61" i="2"/>
  <c r="Q60" i="2" s="1"/>
  <c r="Q66" i="2"/>
  <c r="U66" i="2"/>
  <c r="G333" i="2"/>
  <c r="G339" i="2"/>
  <c r="G360" i="2"/>
  <c r="H455" i="2"/>
  <c r="P455" i="2"/>
  <c r="T455" i="2"/>
  <c r="W621" i="2"/>
  <c r="P621" i="2"/>
  <c r="E6" i="2"/>
  <c r="U6" i="2"/>
  <c r="K10" i="2"/>
  <c r="L10" i="2" s="1"/>
  <c r="Q27" i="2"/>
  <c r="I137" i="2"/>
  <c r="G280" i="2"/>
  <c r="K280" i="2"/>
  <c r="L280" i="2" s="1"/>
  <c r="O615" i="2"/>
  <c r="E449" i="2"/>
  <c r="K519" i="2"/>
  <c r="L519" i="2" s="1"/>
  <c r="G536" i="2"/>
  <c r="G541" i="2"/>
  <c r="I546" i="2"/>
  <c r="K579" i="2"/>
  <c r="L579" i="2" s="1"/>
  <c r="K7" i="2"/>
  <c r="L7" i="2" s="1"/>
  <c r="R6" i="2"/>
  <c r="W6" i="2"/>
  <c r="N28" i="2"/>
  <c r="R40" i="2"/>
  <c r="R39" i="2" s="1"/>
  <c r="V42" i="2"/>
  <c r="N42" i="2" s="1"/>
  <c r="I621" i="2"/>
  <c r="G61" i="2"/>
  <c r="T60" i="2"/>
  <c r="J615" i="2"/>
  <c r="J614" i="2" s="1"/>
  <c r="G111" i="2"/>
  <c r="K117" i="2"/>
  <c r="L117" i="2" s="1"/>
  <c r="G138" i="2"/>
  <c r="K138" i="2"/>
  <c r="L138" i="2" s="1"/>
  <c r="R137" i="2"/>
  <c r="W137" i="2"/>
  <c r="G142" i="2"/>
  <c r="I333" i="2"/>
  <c r="V529" i="2"/>
  <c r="N529" i="2" s="1"/>
  <c r="G582" i="2"/>
  <c r="K582" i="2"/>
  <c r="I615" i="2"/>
  <c r="T621" i="2"/>
  <c r="L609" i="2"/>
  <c r="G33" i="2"/>
  <c r="W60" i="2"/>
  <c r="G166" i="2"/>
  <c r="H177" i="2"/>
  <c r="G215" i="2"/>
  <c r="L331" i="2"/>
  <c r="R330" i="2"/>
  <c r="V399" i="2"/>
  <c r="L402" i="2"/>
  <c r="G410" i="2"/>
  <c r="V431" i="2"/>
  <c r="K437" i="2"/>
  <c r="L437" i="2" s="1"/>
  <c r="V468" i="2"/>
  <c r="P561" i="2"/>
  <c r="T561" i="2"/>
  <c r="G588" i="2"/>
  <c r="U621" i="2"/>
  <c r="E27" i="2"/>
  <c r="W27" i="2"/>
  <c r="I60" i="2"/>
  <c r="P6" i="2"/>
  <c r="T6" i="2"/>
  <c r="G12" i="2"/>
  <c r="G39" i="2"/>
  <c r="E60" i="2"/>
  <c r="S60" i="2"/>
  <c r="X60" i="2"/>
  <c r="G64" i="2"/>
  <c r="G82" i="2"/>
  <c r="G105" i="2"/>
  <c r="G132" i="2"/>
  <c r="T177" i="2"/>
  <c r="V283" i="2"/>
  <c r="G309" i="2"/>
  <c r="S330" i="2"/>
  <c r="G358" i="2"/>
  <c r="K358" i="2"/>
  <c r="L358" i="2" s="1"/>
  <c r="G383" i="2"/>
  <c r="V435" i="2"/>
  <c r="G440" i="2"/>
  <c r="V450" i="2"/>
  <c r="G452" i="2"/>
  <c r="N504" i="2"/>
  <c r="N503" i="2" s="1"/>
  <c r="V618" i="2"/>
  <c r="X614" i="2"/>
  <c r="J516" i="2"/>
  <c r="R516" i="2"/>
  <c r="V522" i="2"/>
  <c r="G546" i="2"/>
  <c r="K550" i="2"/>
  <c r="L550" i="2" s="1"/>
  <c r="V552" i="2"/>
  <c r="G584" i="2"/>
  <c r="K584" i="2"/>
  <c r="L584" i="2" s="1"/>
  <c r="L606" i="2"/>
  <c r="K618" i="2"/>
  <c r="H6" i="2"/>
  <c r="J27" i="2"/>
  <c r="G47" i="2"/>
  <c r="J6" i="2"/>
  <c r="H27" i="2"/>
  <c r="L64" i="2"/>
  <c r="E137" i="2"/>
  <c r="G259" i="2"/>
  <c r="P330" i="2"/>
  <c r="T330" i="2"/>
  <c r="G351" i="2"/>
  <c r="V358" i="2"/>
  <c r="X516" i="2"/>
  <c r="V536" i="2"/>
  <c r="E561" i="2"/>
  <c r="J561" i="2"/>
  <c r="R561" i="2"/>
  <c r="W561" i="2"/>
  <c r="G579" i="2"/>
  <c r="L582" i="2"/>
  <c r="X592" i="2"/>
  <c r="N606" i="2"/>
  <c r="G624" i="2"/>
  <c r="I6" i="2"/>
  <c r="S614" i="2"/>
  <c r="I536" i="2"/>
  <c r="K538" i="2"/>
  <c r="L538" i="2" s="1"/>
  <c r="K608" i="2"/>
  <c r="L608" i="2" s="1"/>
  <c r="X6" i="2"/>
  <c r="N9" i="2"/>
  <c r="N7" i="2" s="1"/>
  <c r="N11" i="2"/>
  <c r="N10" i="2" s="1"/>
  <c r="K17" i="2"/>
  <c r="L17" i="2" s="1"/>
  <c r="G21" i="2"/>
  <c r="F27" i="2"/>
  <c r="O27" i="2"/>
  <c r="S27" i="2"/>
  <c r="X27" i="2"/>
  <c r="V31" i="2"/>
  <c r="R621" i="2"/>
  <c r="G40" i="2"/>
  <c r="E44" i="2"/>
  <c r="V59" i="2"/>
  <c r="N59" i="2" s="1"/>
  <c r="N47" i="2" s="1"/>
  <c r="V62" i="2"/>
  <c r="N62" i="2" s="1"/>
  <c r="W66" i="2"/>
  <c r="G76" i="2"/>
  <c r="V76" i="2"/>
  <c r="J66" i="2"/>
  <c r="R66" i="2"/>
  <c r="H137" i="2"/>
  <c r="V138" i="2"/>
  <c r="S137" i="2"/>
  <c r="X137" i="2"/>
  <c r="L141" i="2"/>
  <c r="K140" i="2"/>
  <c r="L140" i="2" s="1"/>
  <c r="X177" i="2"/>
  <c r="I177" i="2"/>
  <c r="K344" i="2"/>
  <c r="L344" i="2" s="1"/>
  <c r="I339" i="2"/>
  <c r="P27" i="2"/>
  <c r="T27" i="2"/>
  <c r="O44" i="2"/>
  <c r="V111" i="2"/>
  <c r="P137" i="2"/>
  <c r="T137" i="2"/>
  <c r="V178" i="2"/>
  <c r="E330" i="2"/>
  <c r="K534" i="2"/>
  <c r="L534" i="2" s="1"/>
  <c r="L535" i="2"/>
  <c r="K588" i="2"/>
  <c r="L588" i="2" s="1"/>
  <c r="V61" i="2"/>
  <c r="P44" i="2"/>
  <c r="H66" i="2"/>
  <c r="P66" i="2"/>
  <c r="T66" i="2"/>
  <c r="V127" i="2"/>
  <c r="V132" i="2"/>
  <c r="J137" i="2"/>
  <c r="Q137" i="2"/>
  <c r="V140" i="2"/>
  <c r="L165" i="2"/>
  <c r="K164" i="2"/>
  <c r="L164" i="2" s="1"/>
  <c r="K404" i="2"/>
  <c r="L404" i="2" s="1"/>
  <c r="L405" i="2"/>
  <c r="K431" i="2"/>
  <c r="L431" i="2" s="1"/>
  <c r="L433" i="2"/>
  <c r="K440" i="2"/>
  <c r="L440" i="2" s="1"/>
  <c r="L441" i="2"/>
  <c r="L453" i="2"/>
  <c r="K452" i="2"/>
  <c r="K449" i="2" s="1"/>
  <c r="I552" i="2"/>
  <c r="K556" i="2"/>
  <c r="L556" i="2" s="1"/>
  <c r="G238" i="2"/>
  <c r="G283" i="2"/>
  <c r="N311" i="2"/>
  <c r="J330" i="2"/>
  <c r="X330" i="2"/>
  <c r="J355" i="2"/>
  <c r="G365" i="2"/>
  <c r="G399" i="2"/>
  <c r="Q455" i="2"/>
  <c r="U455" i="2"/>
  <c r="G473" i="2"/>
  <c r="V473" i="2"/>
  <c r="N515" i="2"/>
  <c r="N514" i="2" s="1"/>
  <c r="G522" i="2"/>
  <c r="F561" i="2"/>
  <c r="O561" i="2"/>
  <c r="S561" i="2"/>
  <c r="X561" i="2"/>
  <c r="V582" i="2"/>
  <c r="O592" i="2"/>
  <c r="S592" i="2"/>
  <c r="N593" i="2"/>
  <c r="P592" i="2"/>
  <c r="T592" i="2"/>
  <c r="G620" i="2"/>
  <c r="V309" i="2"/>
  <c r="W309" i="2"/>
  <c r="V324" i="2"/>
  <c r="Q330" i="2"/>
  <c r="U330" i="2"/>
  <c r="Q355" i="2"/>
  <c r="U355" i="2"/>
  <c r="V360" i="2"/>
  <c r="V404" i="2"/>
  <c r="T355" i="2"/>
  <c r="V437" i="2"/>
  <c r="V452" i="2"/>
  <c r="E455" i="2"/>
  <c r="J455" i="2"/>
  <c r="R455" i="2"/>
  <c r="W455" i="2"/>
  <c r="H516" i="2"/>
  <c r="V534" i="2"/>
  <c r="H561" i="2"/>
  <c r="J621" i="2"/>
  <c r="S621" i="2"/>
  <c r="G140" i="2"/>
  <c r="G164" i="2"/>
  <c r="E177" i="2"/>
  <c r="J177" i="2"/>
  <c r="R177" i="2"/>
  <c r="U177" i="2"/>
  <c r="V215" i="2"/>
  <c r="V263" i="2"/>
  <c r="V280" i="2"/>
  <c r="V295" i="2"/>
  <c r="H330" i="2"/>
  <c r="W330" i="2"/>
  <c r="V351" i="2"/>
  <c r="H355" i="2"/>
  <c r="G362" i="2"/>
  <c r="V362" i="2"/>
  <c r="G374" i="2"/>
  <c r="R355" i="2"/>
  <c r="V402" i="2"/>
  <c r="K435" i="2"/>
  <c r="G456" i="2"/>
  <c r="F455" i="2"/>
  <c r="O455" i="2"/>
  <c r="S455" i="2"/>
  <c r="X455" i="2"/>
  <c r="K468" i="2"/>
  <c r="L468" i="2" s="1"/>
  <c r="V503" i="2"/>
  <c r="N513" i="2"/>
  <c r="N512" i="2" s="1"/>
  <c r="X514" i="2"/>
  <c r="Q516" i="2"/>
  <c r="U516" i="2"/>
  <c r="K541" i="2"/>
  <c r="L541" i="2" s="1"/>
  <c r="Q561" i="2"/>
  <c r="U561" i="2"/>
  <c r="G568" i="2"/>
  <c r="I593" i="2"/>
  <c r="G623" i="2"/>
  <c r="O621" i="2"/>
  <c r="P516" i="2"/>
  <c r="T516" i="2"/>
  <c r="G617" i="2"/>
  <c r="U614" i="2"/>
  <c r="V514" i="2"/>
  <c r="K514" i="2"/>
  <c r="E626" i="2"/>
  <c r="L181" i="2"/>
  <c r="K200" i="2"/>
  <c r="L200" i="2" s="1"/>
  <c r="K333" i="2"/>
  <c r="L333" i="2" s="1"/>
  <c r="N351" i="2"/>
  <c r="K456" i="2"/>
  <c r="K166" i="2"/>
  <c r="L166" i="2" s="1"/>
  <c r="N591" i="2"/>
  <c r="N588" i="2" s="1"/>
  <c r="L467" i="2"/>
  <c r="K21" i="2"/>
  <c r="N283" i="2"/>
  <c r="L205" i="2"/>
  <c r="K324" i="2"/>
  <c r="L324" i="2" s="1"/>
  <c r="L335" i="2"/>
  <c r="N362" i="2"/>
  <c r="K365" i="2"/>
  <c r="L365" i="2" s="1"/>
  <c r="N399" i="2"/>
  <c r="N374" i="2"/>
  <c r="N259" i="2"/>
  <c r="K283" i="2"/>
  <c r="L283" i="2" s="1"/>
  <c r="N105" i="2"/>
  <c r="N111" i="2"/>
  <c r="N132" i="2"/>
  <c r="N131" i="2" s="1"/>
  <c r="N333" i="2"/>
  <c r="K503" i="2"/>
  <c r="N552" i="2"/>
  <c r="K159" i="2"/>
  <c r="L159" i="2" s="1"/>
  <c r="L261" i="2"/>
  <c r="K259" i="2"/>
  <c r="L259" i="2" s="1"/>
  <c r="N468" i="2"/>
  <c r="L564" i="2"/>
  <c r="N40" i="2"/>
  <c r="N39" i="2" s="1"/>
  <c r="N215" i="2"/>
  <c r="N166" i="2"/>
  <c r="N178" i="2"/>
  <c r="N263" i="2"/>
  <c r="N280" i="2"/>
  <c r="N522" i="2"/>
  <c r="N568" i="2"/>
  <c r="N238" i="2"/>
  <c r="N452" i="2"/>
  <c r="N449" i="2" s="1"/>
  <c r="N562" i="2"/>
  <c r="N295" i="2"/>
  <c r="N324" i="2"/>
  <c r="N407" i="2"/>
  <c r="N431" i="2"/>
  <c r="N437" i="2"/>
  <c r="N579" i="2"/>
  <c r="L65" i="2"/>
  <c r="G15" i="1"/>
  <c r="K187" i="1"/>
  <c r="L187" i="1" s="1"/>
  <c r="K5" i="1"/>
  <c r="L5" i="1" s="1"/>
  <c r="I4" i="1"/>
  <c r="G16" i="1"/>
  <c r="H23" i="1"/>
  <c r="K32" i="1"/>
  <c r="L33" i="1"/>
  <c r="G54" i="1"/>
  <c r="E53" i="1"/>
  <c r="J53" i="1"/>
  <c r="G66" i="1"/>
  <c r="K218" i="1"/>
  <c r="L218" i="1" s="1"/>
  <c r="J90" i="1"/>
  <c r="J85" i="1" s="1"/>
  <c r="K94" i="1"/>
  <c r="L94" i="1" s="1"/>
  <c r="E102" i="1"/>
  <c r="H102" i="1"/>
  <c r="G127" i="1"/>
  <c r="L130" i="1"/>
  <c r="I126" i="1"/>
  <c r="G136" i="1"/>
  <c r="L142" i="1"/>
  <c r="G200" i="1"/>
  <c r="F211" i="1"/>
  <c r="J4" i="1"/>
  <c r="K223" i="1"/>
  <c r="L223" i="1" s="1"/>
  <c r="I26" i="1"/>
  <c r="I23" i="1" s="1"/>
  <c r="J39" i="1"/>
  <c r="J38" i="1" s="1"/>
  <c r="F46" i="1"/>
  <c r="G46" i="1" s="1"/>
  <c r="F49" i="1"/>
  <c r="G49" i="1" s="1"/>
  <c r="G187" i="1"/>
  <c r="H211" i="1"/>
  <c r="I53" i="1"/>
  <c r="I102" i="1"/>
  <c r="K103" i="1"/>
  <c r="L103" i="1" s="1"/>
  <c r="K121" i="1"/>
  <c r="L121" i="1" s="1"/>
  <c r="H126" i="1"/>
  <c r="G148" i="1"/>
  <c r="K167" i="1"/>
  <c r="J199" i="1"/>
  <c r="E205" i="1"/>
  <c r="E211" i="1"/>
  <c r="I164" i="1"/>
  <c r="H164" i="1"/>
  <c r="G220" i="1"/>
  <c r="J164" i="1"/>
  <c r="F164" i="1"/>
  <c r="G219" i="1"/>
  <c r="T35" i="3"/>
  <c r="F26" i="3"/>
  <c r="F19" i="3"/>
  <c r="X35" i="3"/>
  <c r="S5" i="3"/>
  <c r="O16" i="3"/>
  <c r="Q14" i="3"/>
  <c r="G26" i="3"/>
  <c r="G19" i="3"/>
  <c r="J33" i="3"/>
  <c r="J35" i="3" s="1"/>
  <c r="J28" i="3"/>
  <c r="Z26" i="3"/>
  <c r="P28" i="3"/>
  <c r="N33" i="3"/>
  <c r="N35" i="3" s="1"/>
  <c r="N28" i="3"/>
  <c r="D33" i="3"/>
  <c r="D35" i="3" s="1"/>
  <c r="D28" i="3"/>
  <c r="Q17" i="3"/>
  <c r="Q19" i="3" s="1"/>
  <c r="M26" i="3"/>
  <c r="M25" i="3"/>
  <c r="R26" i="3"/>
  <c r="L33" i="3"/>
  <c r="L35" i="3" s="1"/>
  <c r="AB33" i="3"/>
  <c r="AB35" i="3" s="1"/>
  <c r="H17" i="3"/>
  <c r="H7" i="3"/>
  <c r="K33" i="3"/>
  <c r="K35" i="3" s="1"/>
  <c r="K28" i="3"/>
  <c r="T28" i="3"/>
  <c r="O17" i="3"/>
  <c r="O13" i="3"/>
  <c r="Q11" i="3"/>
  <c r="Q13" i="3" s="1"/>
  <c r="E33" i="3"/>
  <c r="E35" i="3" s="1"/>
  <c r="E28" i="3"/>
  <c r="V26" i="3"/>
  <c r="O7" i="3"/>
  <c r="AB19" i="3"/>
  <c r="M22" i="3"/>
  <c r="L25" i="3"/>
  <c r="P25" i="3"/>
  <c r="T25" i="3"/>
  <c r="X25" i="3"/>
  <c r="AB25" i="3"/>
  <c r="AF25" i="3"/>
  <c r="AF28" i="3" s="1"/>
  <c r="AF35" i="3" s="1"/>
  <c r="D19" i="3"/>
  <c r="O20" i="3"/>
  <c r="L14" i="2"/>
  <c r="K12" i="2"/>
  <c r="L12" i="2" s="1"/>
  <c r="N22" i="2"/>
  <c r="N21" i="2" s="1"/>
  <c r="N20" i="2" s="1"/>
  <c r="V21" i="2"/>
  <c r="V20" i="2" s="1"/>
  <c r="K40" i="2"/>
  <c r="L49" i="2"/>
  <c r="K47" i="2"/>
  <c r="L47" i="2" s="1"/>
  <c r="O60" i="2"/>
  <c r="L84" i="2"/>
  <c r="L132" i="2"/>
  <c r="K131" i="2"/>
  <c r="L131" i="2" s="1"/>
  <c r="L174" i="2"/>
  <c r="O174" i="2"/>
  <c r="V174" i="2" s="1"/>
  <c r="V175" i="2"/>
  <c r="L72" i="2"/>
  <c r="K67" i="2"/>
  <c r="N76" i="2"/>
  <c r="G7" i="2"/>
  <c r="F6" i="2"/>
  <c r="G67" i="2"/>
  <c r="F66" i="2"/>
  <c r="G66" i="2" s="1"/>
  <c r="S66" i="2"/>
  <c r="X66" i="2"/>
  <c r="N67" i="2"/>
  <c r="V105" i="2"/>
  <c r="K105" i="2"/>
  <c r="L105" i="2" s="1"/>
  <c r="L106" i="2"/>
  <c r="K111" i="2"/>
  <c r="L111" i="2" s="1"/>
  <c r="L112" i="2"/>
  <c r="J44" i="2"/>
  <c r="O6" i="2"/>
  <c r="S6" i="2"/>
  <c r="V12" i="2"/>
  <c r="V28" i="2"/>
  <c r="K28" i="2"/>
  <c r="L29" i="2"/>
  <c r="L34" i="2"/>
  <c r="K33" i="2"/>
  <c r="L33" i="2" s="1"/>
  <c r="V40" i="2"/>
  <c r="P39" i="2"/>
  <c r="V39" i="2" s="1"/>
  <c r="G45" i="2"/>
  <c r="V45" i="2"/>
  <c r="I617" i="2"/>
  <c r="K46" i="2"/>
  <c r="K617" i="2" s="1"/>
  <c r="L617" i="2" s="1"/>
  <c r="J60" i="2"/>
  <c r="K61" i="2"/>
  <c r="L62" i="2"/>
  <c r="L78" i="2"/>
  <c r="K76" i="2"/>
  <c r="L76" i="2" s="1"/>
  <c r="N127" i="2"/>
  <c r="I127" i="2"/>
  <c r="I66" i="2" s="1"/>
  <c r="K130" i="2"/>
  <c r="R131" i="2"/>
  <c r="V131" i="2" s="1"/>
  <c r="L136" i="2"/>
  <c r="F137" i="2"/>
  <c r="O137" i="2"/>
  <c r="V164" i="2"/>
  <c r="G172" i="2"/>
  <c r="F171" i="2"/>
  <c r="G171" i="2" s="1"/>
  <c r="V173" i="2"/>
  <c r="N173" i="2" s="1"/>
  <c r="G175" i="2"/>
  <c r="F174" i="2"/>
  <c r="G174" i="2" s="1"/>
  <c r="L175" i="2"/>
  <c r="V176" i="2"/>
  <c r="N176" i="2" s="1"/>
  <c r="N175" i="2" s="1"/>
  <c r="N174" i="2" s="1"/>
  <c r="P177" i="2"/>
  <c r="G178" i="2"/>
  <c r="F177" i="2"/>
  <c r="K215" i="2"/>
  <c r="L215" i="2" s="1"/>
  <c r="K238" i="2"/>
  <c r="L238" i="2" s="1"/>
  <c r="L284" i="2"/>
  <c r="V331" i="2"/>
  <c r="L340" i="2"/>
  <c r="K351" i="2"/>
  <c r="L351" i="2" s="1"/>
  <c r="G356" i="2"/>
  <c r="F355" i="2"/>
  <c r="V374" i="2"/>
  <c r="K374" i="2"/>
  <c r="L374" i="2" s="1"/>
  <c r="L375" i="2"/>
  <c r="K625" i="2"/>
  <c r="L625" i="2" s="1"/>
  <c r="L430" i="2"/>
  <c r="L385" i="2"/>
  <c r="V407" i="2"/>
  <c r="P355" i="2"/>
  <c r="G28" i="2"/>
  <c r="L32" i="2"/>
  <c r="V38" i="2"/>
  <c r="N38" i="2" s="1"/>
  <c r="N33" i="2" s="1"/>
  <c r="N27" i="2" s="1"/>
  <c r="F44" i="2"/>
  <c r="G44" i="2" s="1"/>
  <c r="V46" i="2"/>
  <c r="N46" i="2" s="1"/>
  <c r="N45" i="2" s="1"/>
  <c r="Q47" i="2"/>
  <c r="Q44" i="2" s="1"/>
  <c r="F60" i="2"/>
  <c r="V63" i="2"/>
  <c r="N63" i="2" s="1"/>
  <c r="R614" i="2"/>
  <c r="K100" i="2"/>
  <c r="L100" i="2" s="1"/>
  <c r="V100" i="2"/>
  <c r="N100" i="2" s="1"/>
  <c r="K102" i="2"/>
  <c r="L102" i="2" s="1"/>
  <c r="F131" i="2"/>
  <c r="G131" i="2" s="1"/>
  <c r="K149" i="2"/>
  <c r="L149" i="2" s="1"/>
  <c r="V149" i="2"/>
  <c r="N149" i="2" s="1"/>
  <c r="N142" i="2" s="1"/>
  <c r="K620" i="2"/>
  <c r="L620" i="2" s="1"/>
  <c r="K172" i="2"/>
  <c r="Q177" i="2"/>
  <c r="K178" i="2"/>
  <c r="V200" i="2"/>
  <c r="N200" i="2"/>
  <c r="G263" i="2"/>
  <c r="K263" i="2"/>
  <c r="L263" i="2" s="1"/>
  <c r="K309" i="2"/>
  <c r="L309" i="2" s="1"/>
  <c r="G324" i="2"/>
  <c r="V344" i="2"/>
  <c r="N344" i="2" s="1"/>
  <c r="O339" i="2"/>
  <c r="V339" i="2" s="1"/>
  <c r="W355" i="2"/>
  <c r="K360" i="2"/>
  <c r="L361" i="2"/>
  <c r="K362" i="2"/>
  <c r="L362" i="2" s="1"/>
  <c r="L363" i="2"/>
  <c r="K410" i="2"/>
  <c r="L410" i="2" s="1"/>
  <c r="F449" i="2"/>
  <c r="L22" i="2"/>
  <c r="F20" i="2"/>
  <c r="G20" i="2" s="1"/>
  <c r="I47" i="2"/>
  <c r="I44" i="2" s="1"/>
  <c r="R64" i="2"/>
  <c r="R60" i="2" s="1"/>
  <c r="V65" i="2"/>
  <c r="N65" i="2" s="1"/>
  <c r="N64" i="2" s="1"/>
  <c r="V166" i="2"/>
  <c r="O172" i="2"/>
  <c r="L173" i="2"/>
  <c r="L176" i="2"/>
  <c r="O177" i="2"/>
  <c r="S177" i="2"/>
  <c r="W177" i="2"/>
  <c r="L179" i="2"/>
  <c r="V238" i="2"/>
  <c r="V259" i="2"/>
  <c r="L264" i="2"/>
  <c r="G295" i="2"/>
  <c r="K295" i="2"/>
  <c r="L295" i="2" s="1"/>
  <c r="L325" i="2"/>
  <c r="G331" i="2"/>
  <c r="F330" i="2"/>
  <c r="E355" i="2"/>
  <c r="V356" i="2"/>
  <c r="O355" i="2"/>
  <c r="S355" i="2"/>
  <c r="V365" i="2"/>
  <c r="N365" i="2"/>
  <c r="K399" i="2"/>
  <c r="L399" i="2" s="1"/>
  <c r="L400" i="2"/>
  <c r="N404" i="2"/>
  <c r="X355" i="2"/>
  <c r="G402" i="2"/>
  <c r="K476" i="2"/>
  <c r="K475" i="2" s="1"/>
  <c r="G552" i="2"/>
  <c r="E516" i="2"/>
  <c r="F621" i="2"/>
  <c r="G621" i="2" s="1"/>
  <c r="G625" i="2"/>
  <c r="G404" i="2"/>
  <c r="V410" i="2"/>
  <c r="N410" i="2"/>
  <c r="K450" i="2"/>
  <c r="N456" i="2"/>
  <c r="O333" i="2"/>
  <c r="V333" i="2" s="1"/>
  <c r="V348" i="2"/>
  <c r="N348" i="2" s="1"/>
  <c r="L403" i="2"/>
  <c r="V440" i="2"/>
  <c r="N440" i="2"/>
  <c r="V512" i="2"/>
  <c r="O449" i="2"/>
  <c r="V449" i="2" s="1"/>
  <c r="V456" i="2"/>
  <c r="G517" i="2"/>
  <c r="F516" i="2"/>
  <c r="W516" i="2"/>
  <c r="N517" i="2"/>
  <c r="N536" i="2"/>
  <c r="V541" i="2"/>
  <c r="V623" i="2"/>
  <c r="V621" i="2" s="1"/>
  <c r="N545" i="2"/>
  <c r="N623" i="2" s="1"/>
  <c r="N546" i="2"/>
  <c r="V550" i="2"/>
  <c r="L553" i="2"/>
  <c r="I568" i="2"/>
  <c r="I561" i="2" s="1"/>
  <c r="K574" i="2"/>
  <c r="V517" i="2"/>
  <c r="O516" i="2"/>
  <c r="S516" i="2"/>
  <c r="I522" i="2"/>
  <c r="K528" i="2"/>
  <c r="L528" i="2" s="1"/>
  <c r="K607" i="2"/>
  <c r="L607" i="2" s="1"/>
  <c r="L548" i="2"/>
  <c r="K546" i="2"/>
  <c r="L546" i="2" s="1"/>
  <c r="K623" i="2"/>
  <c r="K624" i="2"/>
  <c r="L624" i="2" s="1"/>
  <c r="G614" i="2"/>
  <c r="Q621" i="2"/>
  <c r="Q614" i="2"/>
  <c r="L545" i="2"/>
  <c r="V546" i="2"/>
  <c r="V568" i="2"/>
  <c r="V584" i="2"/>
  <c r="G593" i="2"/>
  <c r="F592" i="2"/>
  <c r="V593" i="2"/>
  <c r="K593" i="2"/>
  <c r="I603" i="2"/>
  <c r="V562" i="2"/>
  <c r="V579" i="2"/>
  <c r="V588" i="2"/>
  <c r="V603" i="2"/>
  <c r="P614" i="2"/>
  <c r="N609" i="2"/>
  <c r="L127" i="1"/>
  <c r="L213" i="1"/>
  <c r="L119" i="1"/>
  <c r="K118" i="1"/>
  <c r="L118" i="1" s="1"/>
  <c r="F126" i="1"/>
  <c r="K136" i="1"/>
  <c r="L136" i="1" s="1"/>
  <c r="L138" i="1"/>
  <c r="L144" i="1"/>
  <c r="K143" i="1"/>
  <c r="L143" i="1" s="1"/>
  <c r="G160" i="1"/>
  <c r="K225" i="1"/>
  <c r="L225" i="1" s="1"/>
  <c r="G131" i="1"/>
  <c r="E126" i="1"/>
  <c r="G150" i="1"/>
  <c r="L157" i="1"/>
  <c r="K156" i="1"/>
  <c r="L156" i="1" s="1"/>
  <c r="G161" i="1"/>
  <c r="K16" i="1"/>
  <c r="K24" i="1"/>
  <c r="F38" i="1"/>
  <c r="K42" i="1"/>
  <c r="L42" i="1" s="1"/>
  <c r="K50" i="1"/>
  <c r="K217" i="1"/>
  <c r="L217" i="1" s="1"/>
  <c r="K76" i="1"/>
  <c r="L76" i="1" s="1"/>
  <c r="F85" i="1"/>
  <c r="G85" i="1" s="1"/>
  <c r="L98" i="1"/>
  <c r="G108" i="1"/>
  <c r="G124" i="1"/>
  <c r="L146" i="1"/>
  <c r="L151" i="1"/>
  <c r="K150" i="1"/>
  <c r="L150" i="1" s="1"/>
  <c r="I211" i="1"/>
  <c r="F4" i="1"/>
  <c r="K7" i="1"/>
  <c r="K13" i="1"/>
  <c r="K40" i="1"/>
  <c r="K219" i="1" s="1"/>
  <c r="L219" i="1" s="1"/>
  <c r="K47" i="1"/>
  <c r="F53" i="1"/>
  <c r="K57" i="1"/>
  <c r="K66" i="1"/>
  <c r="L66" i="1" s="1"/>
  <c r="L67" i="1"/>
  <c r="K86" i="1"/>
  <c r="L87" i="1"/>
  <c r="L89" i="1"/>
  <c r="K88" i="1"/>
  <c r="L88" i="1" s="1"/>
  <c r="G100" i="1"/>
  <c r="F102" i="1"/>
  <c r="G102" i="1" s="1"/>
  <c r="G103" i="1"/>
  <c r="L105" i="1"/>
  <c r="L109" i="1"/>
  <c r="K108" i="1"/>
  <c r="L108" i="1" s="1"/>
  <c r="G118" i="1"/>
  <c r="L125" i="1"/>
  <c r="K124" i="1"/>
  <c r="L124" i="1" s="1"/>
  <c r="K131" i="1"/>
  <c r="L131" i="1" s="1"/>
  <c r="L133" i="1"/>
  <c r="G143" i="1"/>
  <c r="J211" i="1"/>
  <c r="L190" i="1"/>
  <c r="K195" i="1"/>
  <c r="L195" i="1" s="1"/>
  <c r="F199" i="1"/>
  <c r="K202" i="1"/>
  <c r="L202" i="1" s="1"/>
  <c r="K161" i="1"/>
  <c r="E164" i="1"/>
  <c r="F186" i="1"/>
  <c r="K193" i="1"/>
  <c r="L193" i="1" s="1"/>
  <c r="K200" i="1"/>
  <c r="L201" i="1"/>
  <c r="L208" i="1"/>
  <c r="G213" i="1"/>
  <c r="K215" i="1"/>
  <c r="L215" i="1" s="1"/>
  <c r="K100" i="1"/>
  <c r="L100" i="1" s="1"/>
  <c r="G205" i="1"/>
  <c r="L206" i="1" l="1"/>
  <c r="G38" i="1"/>
  <c r="G4" i="1"/>
  <c r="K18" i="1"/>
  <c r="L18" i="1" s="1"/>
  <c r="K220" i="1"/>
  <c r="L220" i="1" s="1"/>
  <c r="K90" i="1"/>
  <c r="L90" i="1" s="1"/>
  <c r="G53" i="1"/>
  <c r="G211" i="1"/>
  <c r="G186" i="1"/>
  <c r="K221" i="1"/>
  <c r="L221" i="1" s="1"/>
  <c r="I209" i="1"/>
  <c r="G221" i="1"/>
  <c r="H209" i="1"/>
  <c r="V33" i="2"/>
  <c r="V27" i="2" s="1"/>
  <c r="Q610" i="2"/>
  <c r="P610" i="2"/>
  <c r="W610" i="2"/>
  <c r="X610" i="2"/>
  <c r="O610" i="2"/>
  <c r="S610" i="2"/>
  <c r="R610" i="2"/>
  <c r="T610" i="2"/>
  <c r="V455" i="2"/>
  <c r="N625" i="2"/>
  <c r="U137" i="2"/>
  <c r="U610" i="2" s="1"/>
  <c r="G137" i="2"/>
  <c r="N61" i="2"/>
  <c r="O614" i="2"/>
  <c r="G449" i="2"/>
  <c r="G60" i="2"/>
  <c r="O66" i="2"/>
  <c r="V66" i="2" s="1"/>
  <c r="G455" i="2"/>
  <c r="L449" i="2"/>
  <c r="G561" i="2"/>
  <c r="I592" i="2"/>
  <c r="K536" i="2"/>
  <c r="L536" i="2" s="1"/>
  <c r="V44" i="2"/>
  <c r="N455" i="2"/>
  <c r="I330" i="2"/>
  <c r="K517" i="2"/>
  <c r="L517" i="2" s="1"/>
  <c r="H610" i="2"/>
  <c r="G6" i="2"/>
  <c r="G27" i="2"/>
  <c r="N615" i="2"/>
  <c r="K339" i="2"/>
  <c r="L339" i="2" s="1"/>
  <c r="V615" i="2"/>
  <c r="K615" i="2"/>
  <c r="N618" i="2"/>
  <c r="V592" i="2"/>
  <c r="E610" i="2"/>
  <c r="E613" i="2" s="1"/>
  <c r="G330" i="2"/>
  <c r="G177" i="2"/>
  <c r="J626" i="2"/>
  <c r="L562" i="2"/>
  <c r="J610" i="2"/>
  <c r="J613" i="2" s="1"/>
  <c r="L456" i="2"/>
  <c r="K455" i="2"/>
  <c r="L455" i="2" s="1"/>
  <c r="N309" i="2"/>
  <c r="N177" i="2" s="1"/>
  <c r="K603" i="2"/>
  <c r="L603" i="2" s="1"/>
  <c r="F626" i="2"/>
  <c r="G626" i="2" s="1"/>
  <c r="I516" i="2"/>
  <c r="K552" i="2"/>
  <c r="L552" i="2" s="1"/>
  <c r="K6" i="2"/>
  <c r="L6" i="2" s="1"/>
  <c r="V516" i="2"/>
  <c r="N617" i="2"/>
  <c r="N561" i="2"/>
  <c r="N624" i="2"/>
  <c r="V561" i="2"/>
  <c r="L21" i="2"/>
  <c r="K20" i="2"/>
  <c r="L20" i="2" s="1"/>
  <c r="N137" i="2"/>
  <c r="N44" i="2"/>
  <c r="N355" i="2"/>
  <c r="N60" i="2"/>
  <c r="J209" i="1"/>
  <c r="L32" i="1"/>
  <c r="K26" i="1"/>
  <c r="L26" i="1" s="1"/>
  <c r="K164" i="1"/>
  <c r="E209" i="1"/>
  <c r="H26" i="3"/>
  <c r="H19" i="3"/>
  <c r="Z33" i="3"/>
  <c r="Z35" i="3" s="1"/>
  <c r="Z28" i="3"/>
  <c r="G33" i="3"/>
  <c r="G35" i="3" s="1"/>
  <c r="G28" i="3"/>
  <c r="V33" i="3"/>
  <c r="V35" i="3" s="1"/>
  <c r="V28" i="3"/>
  <c r="M33" i="3"/>
  <c r="M35" i="3" s="1"/>
  <c r="M28" i="3"/>
  <c r="S14" i="3"/>
  <c r="Q16" i="3"/>
  <c r="O22" i="3"/>
  <c r="O23" i="3"/>
  <c r="O25" i="3" s="1"/>
  <c r="Q20" i="3"/>
  <c r="O19" i="3"/>
  <c r="F33" i="3"/>
  <c r="F35" i="3" s="1"/>
  <c r="F28" i="3"/>
  <c r="R33" i="3"/>
  <c r="R35" i="3" s="1"/>
  <c r="R28" i="3"/>
  <c r="S7" i="3"/>
  <c r="U5" i="3"/>
  <c r="L574" i="2"/>
  <c r="K568" i="2"/>
  <c r="K561" i="2" s="1"/>
  <c r="L561" i="2" s="1"/>
  <c r="O171" i="2"/>
  <c r="V171" i="2" s="1"/>
  <c r="V172" i="2"/>
  <c r="K177" i="2"/>
  <c r="L177" i="2" s="1"/>
  <c r="L178" i="2"/>
  <c r="L130" i="2"/>
  <c r="K127" i="2"/>
  <c r="L127" i="2" s="1"/>
  <c r="L593" i="2"/>
  <c r="K522" i="2"/>
  <c r="L522" i="2" s="1"/>
  <c r="V177" i="2"/>
  <c r="V47" i="2"/>
  <c r="V60" i="2"/>
  <c r="L40" i="2"/>
  <c r="K39" i="2"/>
  <c r="L39" i="2" s="1"/>
  <c r="N603" i="2"/>
  <c r="N592" i="2" s="1"/>
  <c r="K621" i="2"/>
  <c r="L621" i="2" s="1"/>
  <c r="L623" i="2"/>
  <c r="N541" i="2"/>
  <c r="N516" i="2" s="1"/>
  <c r="N339" i="2"/>
  <c r="N330" i="2" s="1"/>
  <c r="K171" i="2"/>
  <c r="L171" i="2" s="1"/>
  <c r="L172" i="2"/>
  <c r="G355" i="2"/>
  <c r="K330" i="2"/>
  <c r="L330" i="2" s="1"/>
  <c r="L61" i="2"/>
  <c r="K60" i="2"/>
  <c r="L60" i="2" s="1"/>
  <c r="L46" i="2"/>
  <c r="K45" i="2"/>
  <c r="N12" i="2"/>
  <c r="N6" i="2" s="1"/>
  <c r="V6" i="2"/>
  <c r="V64" i="2"/>
  <c r="G592" i="2"/>
  <c r="F610" i="2"/>
  <c r="F613" i="2" s="1"/>
  <c r="I614" i="2"/>
  <c r="I626" i="2" s="1"/>
  <c r="G516" i="2"/>
  <c r="V355" i="2"/>
  <c r="L360" i="2"/>
  <c r="K355" i="2"/>
  <c r="L355" i="2" s="1"/>
  <c r="O330" i="2"/>
  <c r="N620" i="2"/>
  <c r="N172" i="2"/>
  <c r="N171" i="2" s="1"/>
  <c r="K142" i="2"/>
  <c r="L28" i="2"/>
  <c r="K27" i="2"/>
  <c r="L27" i="2" s="1"/>
  <c r="N66" i="2"/>
  <c r="L67" i="2"/>
  <c r="L82" i="2"/>
  <c r="L57" i="1"/>
  <c r="K53" i="1"/>
  <c r="L53" i="1" s="1"/>
  <c r="L200" i="1"/>
  <c r="K199" i="1"/>
  <c r="L199" i="1" s="1"/>
  <c r="L86" i="1"/>
  <c r="K12" i="1"/>
  <c r="K102" i="1"/>
  <c r="L102" i="1" s="1"/>
  <c r="G126" i="1"/>
  <c r="G199" i="1"/>
  <c r="F209" i="1"/>
  <c r="L50" i="1"/>
  <c r="K49" i="1"/>
  <c r="L49" i="1" s="1"/>
  <c r="L16" i="1"/>
  <c r="K15" i="1"/>
  <c r="L15" i="1" s="1"/>
  <c r="L7" i="1"/>
  <c r="K4" i="1"/>
  <c r="L4" i="1" s="1"/>
  <c r="K126" i="1"/>
  <c r="L126" i="1" s="1"/>
  <c r="L205" i="1"/>
  <c r="K211" i="1"/>
  <c r="L161" i="1"/>
  <c r="K160" i="1"/>
  <c r="L160" i="1" s="1"/>
  <c r="K46" i="1"/>
  <c r="L46" i="1" s="1"/>
  <c r="L47" i="1"/>
  <c r="K39" i="1"/>
  <c r="L40" i="1"/>
  <c r="L24" i="1"/>
  <c r="K23" i="1"/>
  <c r="L23" i="1" s="1"/>
  <c r="K186" i="1"/>
  <c r="L186" i="1" s="1"/>
  <c r="K85" i="1" l="1"/>
  <c r="L85" i="1" s="1"/>
  <c r="O611" i="2"/>
  <c r="L615" i="2"/>
  <c r="K614" i="2"/>
  <c r="N610" i="2"/>
  <c r="V137" i="2"/>
  <c r="H613" i="2"/>
  <c r="T613" i="2"/>
  <c r="T626" i="2" s="1"/>
  <c r="N621" i="2"/>
  <c r="W613" i="2"/>
  <c r="W626" i="2" s="1"/>
  <c r="X613" i="2"/>
  <c r="X626" i="2" s="1"/>
  <c r="P613" i="2"/>
  <c r="P626" i="2" s="1"/>
  <c r="R613" i="2"/>
  <c r="R626" i="2" s="1"/>
  <c r="Q613" i="2"/>
  <c r="Q626" i="2" s="1"/>
  <c r="S613" i="2"/>
  <c r="S626" i="2" s="1"/>
  <c r="U613" i="2"/>
  <c r="U626" i="2" s="1"/>
  <c r="I610" i="2"/>
  <c r="I613" i="2" s="1"/>
  <c r="N614" i="2"/>
  <c r="K592" i="2"/>
  <c r="L592" i="2" s="1"/>
  <c r="L614" i="2"/>
  <c r="G209" i="1"/>
  <c r="U7" i="3"/>
  <c r="W5" i="3"/>
  <c r="U17" i="3"/>
  <c r="U19" i="3" s="1"/>
  <c r="O26" i="3"/>
  <c r="U14" i="3"/>
  <c r="S16" i="3"/>
  <c r="S17" i="3"/>
  <c r="S19" i="3" s="1"/>
  <c r="Q23" i="3"/>
  <c r="Q22" i="3"/>
  <c r="S20" i="3"/>
  <c r="H33" i="3"/>
  <c r="H35" i="3" s="1"/>
  <c r="H28" i="3"/>
  <c r="G610" i="2"/>
  <c r="L568" i="2"/>
  <c r="K66" i="2"/>
  <c r="L66" i="2" s="1"/>
  <c r="V330" i="2"/>
  <c r="O613" i="2"/>
  <c r="L45" i="2"/>
  <c r="K44" i="2"/>
  <c r="L44" i="2" s="1"/>
  <c r="L142" i="2"/>
  <c r="K137" i="2"/>
  <c r="L137" i="2" s="1"/>
  <c r="K516" i="2"/>
  <c r="L516" i="2" s="1"/>
  <c r="K38" i="1"/>
  <c r="L39" i="1"/>
  <c r="L211" i="1"/>
  <c r="V610" i="2" l="1"/>
  <c r="V611" i="2" s="1"/>
  <c r="N613" i="2"/>
  <c r="N626" i="2" s="1"/>
  <c r="K626" i="2"/>
  <c r="L626" i="2" s="1"/>
  <c r="Q26" i="3"/>
  <c r="Q25" i="3"/>
  <c r="O33" i="3"/>
  <c r="O35" i="3" s="1"/>
  <c r="O28" i="3"/>
  <c r="S22" i="3"/>
  <c r="U20" i="3"/>
  <c r="S23" i="3"/>
  <c r="Y5" i="3"/>
  <c r="W7" i="3"/>
  <c r="U16" i="3"/>
  <c r="W14" i="3"/>
  <c r="O626" i="2"/>
  <c r="K610" i="2"/>
  <c r="L610" i="2" s="1"/>
  <c r="L38" i="1"/>
  <c r="K209" i="1"/>
  <c r="L209" i="1" s="1"/>
  <c r="V613" i="2" l="1"/>
  <c r="V626" i="2" s="1"/>
  <c r="K613" i="2"/>
  <c r="L613" i="2" s="1"/>
  <c r="S26" i="3"/>
  <c r="S25" i="3"/>
  <c r="W16" i="3"/>
  <c r="Y14" i="3"/>
  <c r="Y17" i="3" s="1"/>
  <c r="Y7" i="3"/>
  <c r="U23" i="3"/>
  <c r="W20" i="3"/>
  <c r="U22" i="3"/>
  <c r="W17" i="3"/>
  <c r="Q33" i="3"/>
  <c r="Q35" i="3" s="1"/>
  <c r="Q28" i="3"/>
  <c r="Y19" i="3" l="1"/>
  <c r="U26" i="3"/>
  <c r="U25" i="3"/>
  <c r="W22" i="3"/>
  <c r="W23" i="3"/>
  <c r="W25" i="3" s="1"/>
  <c r="Y20" i="3"/>
  <c r="W26" i="3"/>
  <c r="W19" i="3"/>
  <c r="AA14" i="3"/>
  <c r="Y16" i="3"/>
  <c r="S33" i="3"/>
  <c r="S35" i="3" s="1"/>
  <c r="S28" i="3"/>
  <c r="W33" i="3" l="1"/>
  <c r="W35" i="3" s="1"/>
  <c r="W28" i="3"/>
  <c r="Y23" i="3"/>
  <c r="Y22" i="3"/>
  <c r="AA20" i="3"/>
  <c r="U33" i="3"/>
  <c r="U35" i="3" s="1"/>
  <c r="U28" i="3"/>
  <c r="AC14" i="3"/>
  <c r="AA16" i="3"/>
  <c r="AA17" i="3"/>
  <c r="AA19" i="3" s="1"/>
  <c r="Y25" i="3" l="1"/>
  <c r="Y26" i="3"/>
  <c r="AC17" i="3"/>
  <c r="AC19" i="3" s="1"/>
  <c r="AC16" i="3"/>
  <c r="AA22" i="3"/>
  <c r="AC20" i="3"/>
  <c r="AA23" i="3"/>
  <c r="AA26" i="3" l="1"/>
  <c r="AA25" i="3"/>
  <c r="Y33" i="3"/>
  <c r="Y35" i="3" s="1"/>
  <c r="Y28" i="3"/>
  <c r="AC23" i="3"/>
  <c r="AE20" i="3"/>
  <c r="AE22" i="3" l="1"/>
  <c r="AE23" i="3"/>
  <c r="AC26" i="3"/>
  <c r="AC25" i="3"/>
  <c r="AA33" i="3"/>
  <c r="AA35" i="3" s="1"/>
  <c r="AA28" i="3"/>
  <c r="AG26" i="3" l="1"/>
  <c r="AC33" i="3"/>
  <c r="AC28" i="3"/>
  <c r="AE26" i="3"/>
  <c r="AE25" i="3"/>
  <c r="AE33" i="3" l="1"/>
  <c r="AE28" i="3"/>
  <c r="AE35" i="3" s="1"/>
  <c r="AC35" i="3"/>
  <c r="AG33" i="3"/>
</calcChain>
</file>

<file path=xl/sharedStrings.xml><?xml version="1.0" encoding="utf-8"?>
<sst xmlns="http://schemas.openxmlformats.org/spreadsheetml/2006/main" count="2465" uniqueCount="1001">
  <si>
    <t>Załącznik Nr 1 - materiały informacyjne 
do projektu budżetu 2017r.</t>
  </si>
  <si>
    <t>Plan i wykonanie dochodów budżetu Gminy Rogoźno za 2016 rok - stan na 30.09.2016 r. w porównianiu z projektem planu dochodów na 2017 rok (wskaźnik procentowy) oraz przewidywane wykonanie dochodów na koniec 2016 roku</t>
  </si>
  <si>
    <t>Dział</t>
  </si>
  <si>
    <t>Rozdział</t>
  </si>
  <si>
    <t>Paragraf</t>
  </si>
  <si>
    <t>Treść</t>
  </si>
  <si>
    <t>Plan obowiązujący 
na dzień:
30-09-2016r.</t>
  </si>
  <si>
    <t>Wykonanie na 30.09.2016r.</t>
  </si>
  <si>
    <t>%
Wykonania</t>
  </si>
  <si>
    <t>Przewidywane wykonanie dochodów na koniec 2016 roku</t>
  </si>
  <si>
    <t>Plan  na 2017rok</t>
  </si>
  <si>
    <t>zmiana</t>
  </si>
  <si>
    <t>Plan na 
2017 rok</t>
  </si>
  <si>
    <t>% wskaźnik wzrostu/
spadku do planu budżetu 2016 r.</t>
  </si>
  <si>
    <t>010</t>
  </si>
  <si>
    <t>Rolnictwo i łowiectwo</t>
  </si>
  <si>
    <t>01042</t>
  </si>
  <si>
    <t>Wyłączenie z produkcji gruntów rolnych</t>
  </si>
  <si>
    <t>6300</t>
  </si>
  <si>
    <t>Dotacja celowa otrzymana z tytułu pomocy finansowej udzielanej między jednostkami samorządu terytorialnego na dofinansowanie własnych zadań inwestycyjnych i zakupów inwestycyjnych</t>
  </si>
  <si>
    <t>123 000,00</t>
  </si>
  <si>
    <t>01095</t>
  </si>
  <si>
    <t>Pozostała działalność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</si>
  <si>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</si>
  <si>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</si>
  <si>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</si>
  <si>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0920</t>
  </si>
  <si>
    <t>Wpływy z pozostałych odsetek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</si>
  <si>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</si>
  <si>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</si>
  <si>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536 602,38</t>
  </si>
  <si>
    <t>20 000,00</t>
  </si>
  <si>
    <t>020</t>
  </si>
  <si>
    <t>Leśnictwo</t>
  </si>
  <si>
    <t>02001</t>
  </si>
  <si>
    <t>Gospodarka leśna</t>
  </si>
  <si>
    <t>0870</t>
  </si>
  <si>
    <t>050</t>
  </si>
  <si>
    <t>Rybołówstwo i rybactwo</t>
  </si>
  <si>
    <t>05095</t>
  </si>
  <si>
    <t>0690</t>
  </si>
  <si>
    <t>Wpływy z różnych opłat</t>
  </si>
  <si>
    <t>600</t>
  </si>
  <si>
    <t>Transport i łączność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</si>
  <si>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</si>
  <si>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</si>
  <si>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</si>
  <si>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</si>
  <si>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12 000,00</t>
  </si>
  <si>
    <t>0910</t>
  </si>
  <si>
    <t>Wpływy z odsetek od nieterminowych wpłat z tytułu podatków i opłat</t>
  </si>
  <si>
    <t>700</t>
  </si>
  <si>
    <t>Gospodarka mieszkaniowa</t>
  </si>
  <si>
    <t>70001</t>
  </si>
  <si>
    <t>Zakłady gospodarki mieszkaniowej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</si>
  <si>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</si>
  <si>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</si>
  <si>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9 439,00</t>
  </si>
  <si>
    <t>70005</t>
  </si>
  <si>
    <t>Gospodarka gruntami i nieruchomościami</t>
  </si>
  <si>
    <t>0470</t>
  </si>
  <si>
    <t>Wpływy z opłat za trwały zarząd, użytkowanie i służebności</t>
  </si>
  <si>
    <t>33 421,00</t>
  </si>
  <si>
    <t>0550</t>
  </si>
  <si>
    <t>Wpływy z opłat z tytułu użytkowania wieczystego nieruchomości</t>
  </si>
  <si>
    <t>81 579,00</t>
  </si>
  <si>
    <t>0730</t>
  </si>
  <si>
    <t>Wpłaty z zysku przedsiębiorstw państwowych, jednoosobowych spółek Skarbu Państwa i spółek jednostek samorządu terytorialnego</t>
  </si>
  <si>
    <t>498 809,31</t>
  </si>
  <si>
    <t>334 500,00</t>
  </si>
  <si>
    <t>0760</t>
  </si>
  <si>
    <t>Wpływy z tytułu przekształcenia prawa użytkowania wieczystego przysługującego osobom fizycznym w prawo własności</t>
  </si>
  <si>
    <t>4 500,00</t>
  </si>
  <si>
    <t>0770</t>
  </si>
  <si>
    <t>Wpłaty z tytułu odpłatnego nabycia prawa własności oraz prawa użytkowania wieczystego nieruchomości</t>
  </si>
  <si>
    <t>1 000 000,00</t>
  </si>
  <si>
    <t>0830</t>
  </si>
  <si>
    <t>Wpływy z usług</t>
  </si>
  <si>
    <t>5 000,00</t>
  </si>
  <si>
    <t>4 000,00</t>
  </si>
  <si>
    <t>750</t>
  </si>
  <si>
    <t>Administracja publiczna</t>
  </si>
  <si>
    <t>75011</t>
  </si>
  <si>
    <t>Urzędy wojewódzkie</t>
  </si>
  <si>
    <t>137 230,00</t>
  </si>
  <si>
    <t>2360</t>
  </si>
  <si>
    <t>Dochody jednostek samorządu terytorialnego związane z realizacją zadań z zakresu administracji rządowej oraz innych zadań zleconych ustawami</t>
  </si>
  <si>
    <t>75023</t>
  </si>
  <si>
    <t>Urzędy gmin (miast i miast na prawach powiatu)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</si>
  <si>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</si>
  <si>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</si>
  <si>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</si>
  <si>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</si>
  <si>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</si>
  <si>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</si>
  <si>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</si>
  <si>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</si>
  <si>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</si>
  <si>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</si>
  <si>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15 857,00</t>
  </si>
  <si>
    <t>754</t>
  </si>
  <si>
    <t>Bezpieczeństwo publiczne i ochrona przeciwpożarowa</t>
  </si>
  <si>
    <t>75412</t>
  </si>
  <si>
    <t>Ochotnicze straże pożarne</t>
  </si>
  <si>
    <t>1 000,00</t>
  </si>
  <si>
    <t>77 100,00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</si>
  <si>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</si>
  <si>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</si>
  <si>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</si>
  <si>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</si>
  <si>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0350</t>
  </si>
  <si>
    <t>Wpływy z podatku od działalności gospodarczej osób fizycznych, opłacanego w formie karty podatkowej</t>
  </si>
  <si>
    <t>30 000,00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</si>
  <si>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</si>
  <si>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</si>
  <si>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</si>
  <si>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Wpływy z podatku od nieruchomości</t>
  </si>
  <si>
    <t>0320</t>
  </si>
  <si>
    <t>Wpływy z podatku rolnego</t>
  </si>
  <si>
    <t>96 740,00</t>
  </si>
  <si>
    <t>0330</t>
  </si>
  <si>
    <t>Wpływy z podatku leśnego</t>
  </si>
  <si>
    <t>164 349,00</t>
  </si>
  <si>
    <t>0340</t>
  </si>
  <si>
    <t>Wpływy z podatku od środków transportowych</t>
  </si>
  <si>
    <t>63 600,00</t>
  </si>
  <si>
    <t>0500</t>
  </si>
  <si>
    <t>Wpływy z podatku od czynności cywilnoprawnych</t>
  </si>
  <si>
    <t>15 000,00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</si>
  <si>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</si>
  <si>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</si>
  <si>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</si>
  <si>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</si>
  <si>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</si>
  <si>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</si>
  <si>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669 914,00</t>
  </si>
  <si>
    <t>7 852,00</t>
  </si>
  <si>
    <t>330 360,00</t>
  </si>
  <si>
    <t>0360</t>
  </si>
  <si>
    <t>Wpływy z podatku od spadków i darowizn</t>
  </si>
  <si>
    <t>26 000,00</t>
  </si>
  <si>
    <t>0430</t>
  </si>
  <si>
    <t>Wpływy z opłaty targowej</t>
  </si>
  <si>
    <t>100 000,00</t>
  </si>
  <si>
    <t>440 000,00</t>
  </si>
  <si>
    <t>11 000,00</t>
  </si>
  <si>
    <t>75618</t>
  </si>
  <si>
    <t>Wpływy z innych opłat stanowiących dochody jednostek samorządu terytorialnego na podstawie ustaw</t>
  </si>
  <si>
    <t>0410</t>
  </si>
  <si>
    <t>Wpływy z opłaty skarbowej</t>
  </si>
  <si>
    <t>47 000,00</t>
  </si>
  <si>
    <t>0480</t>
  </si>
  <si>
    <t>Wpływy z opłat za zezwolenia na sprzedaż napojów alkoholowych</t>
  </si>
  <si>
    <t>285 000,00</t>
  </si>
  <si>
    <t>75621</t>
  </si>
  <si>
    <t>Udziały gmin w podatkach stanowiących dochód budżetu państwa</t>
  </si>
  <si>
    <t>0010</t>
  </si>
  <si>
    <t>0020</t>
  </si>
  <si>
    <t>Wpływy z podatku dochodowego od osób prawnych</t>
  </si>
  <si>
    <t>758</t>
  </si>
  <si>
    <t>Różne rozliczenia</t>
  </si>
  <si>
    <t>75801</t>
  </si>
  <si>
    <t>Część oświatowa subwencji ogólnej dla jednostek samorządu terytorialnego</t>
  </si>
  <si>
    <t>2920</t>
  </si>
  <si>
    <t>Subwencje ogólne z budżetu państwa</t>
  </si>
  <si>
    <t>13 383 829,00</t>
  </si>
  <si>
    <t>75807</t>
  </si>
  <si>
    <t>Część wyrównawcza subwencji ogólnej dla gmin</t>
  </si>
  <si>
    <t>2 853 224,00</t>
  </si>
  <si>
    <t>75814</t>
  </si>
  <si>
    <t>Różne rozliczenia finansowe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</si>
  <si>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</si>
  <si>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</si>
  <si>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80 000,00</t>
  </si>
  <si>
    <t>750 000,00</t>
  </si>
  <si>
    <t>2030</t>
  </si>
  <si>
    <t>Dotacje celowe otrzymane z budżetu państwa na realizację własnych zadań bieżących gmin (związków gmin, związków powiatowo-gminnych)</t>
  </si>
  <si>
    <t>93 198,18</t>
  </si>
  <si>
    <t>2990</t>
  </si>
  <si>
    <t>Wpłata środków finansowych z niewykorzystanych w terminie wydatków, które nie wygasają z upływem roku budżetowego</t>
  </si>
  <si>
    <t>1 200,00</t>
  </si>
  <si>
    <t>6330</t>
  </si>
  <si>
    <t>Dotacje celowe otrzymane z budżetu państwa na realizację inwestycji i zakupów inwestycyjnych własnych gmin (związków gmin, związków powiatowo-gminnych)</t>
  </si>
  <si>
    <t>3 200,00</t>
  </si>
  <si>
    <t>6680</t>
  </si>
  <si>
    <t>170 409,35</t>
  </si>
  <si>
    <t>75831</t>
  </si>
  <si>
    <t>Część równoważąca subwencji ogólnej dla gmin</t>
  </si>
  <si>
    <t>279 675,00</t>
  </si>
  <si>
    <t>801</t>
  </si>
  <si>
    <t>Oświata i wychowanie</t>
  </si>
  <si>
    <t>80101</t>
  </si>
  <si>
    <t>Szkoły podstawowe</t>
  </si>
  <si>
    <t>19 872,00</t>
  </si>
  <si>
    <t>1 045,00</t>
  </si>
  <si>
    <t>83 783,83</t>
  </si>
  <si>
    <t>80103</t>
  </si>
  <si>
    <t>Oddziały przedszkolne w szkołach podstawowych</t>
  </si>
  <si>
    <t>8 816,00</t>
  </si>
  <si>
    <t>168 510,00</t>
  </si>
  <si>
    <t>80104</t>
  </si>
  <si>
    <t xml:space="preserve">Przedszkola </t>
  </si>
  <si>
    <t>0660</t>
  </si>
  <si>
    <t>Wpływy z opłat za korzystanie z wychowania przedszkolnego</t>
  </si>
  <si>
    <t>113 000,00</t>
  </si>
  <si>
    <t>0670</t>
  </si>
  <si>
    <t>Wpływy z opłat za korzystanie z wyżywienia w jednostkach realizujących zadania z zakresu wychowania przedszkolnego</t>
  </si>
  <si>
    <t>295 000,00</t>
  </si>
  <si>
    <t>4 275,00</t>
  </si>
  <si>
    <t>4 400,00</t>
  </si>
  <si>
    <t>542 520,00</t>
  </si>
  <si>
    <t>2310</t>
  </si>
  <si>
    <t>Dotacje celowe otrzymane z gminy na zadania bieżące realizowane na podstawie porozumień (umów) między jednostkami samorządu terytorialnego</t>
  </si>
  <si>
    <t>45 000,00</t>
  </si>
  <si>
    <t>80110</t>
  </si>
  <si>
    <t>Gimnazja</t>
  </si>
  <si>
    <t>3 600,00</t>
  </si>
  <si>
    <t>49 523,47</t>
  </si>
  <si>
    <t>80148</t>
  </si>
  <si>
    <t>Stołówki szkolne i przedszkolne</t>
  </si>
  <si>
    <t>268 000,00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</si>
  <si>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</si>
  <si>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</si>
  <si>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</si>
  <si>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</si>
  <si>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</si>
  <si>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174,98</t>
  </si>
  <si>
    <t>852</t>
  </si>
  <si>
    <t>Pomoc społeczna</t>
  </si>
  <si>
    <t>85206</t>
  </si>
  <si>
    <t>Wspieranie rodziny</t>
  </si>
  <si>
    <t>39 356,00</t>
  </si>
  <si>
    <t>85211</t>
  </si>
  <si>
    <t>Świadczenie wychowawcze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</si>
  <si>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</si>
  <si>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</si>
  <si>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9 409 796,00</t>
  </si>
  <si>
    <t>85212</t>
  </si>
  <si>
    <t>Świadczenia rodzinne, świadczenia z funduszu alimentacyjnego oraz składki na ubezpieczenia emerytalne i rentowe z ubezpieczenia społecznego</t>
  </si>
  <si>
    <t>8 100,00</t>
  </si>
  <si>
    <t>7 120 408,00</t>
  </si>
  <si>
    <t>62 000,00</t>
  </si>
  <si>
    <t>14 000,00</t>
  </si>
  <si>
    <t>85213</t>
  </si>
  <si>
    <t>Składki na ubezpieczenie zdrowotne opłacane za osoby pobierające niektóre świadczenia z pomocy społecznej oraz za osoby uczestniczące w zajęciach w centrum integracji społecznej</t>
  </si>
  <si>
    <t>46 800,00</t>
  </si>
  <si>
    <t>26 422,00</t>
  </si>
  <si>
    <t>250,00</t>
  </si>
  <si>
    <t>85214</t>
  </si>
  <si>
    <t>Zasiłki i pomoc w naturze oraz składki na ubezpieczenia emerytalne i rentowe</t>
  </si>
  <si>
    <t>0960</t>
  </si>
  <si>
    <t>Wpływy z otrzymanych spadków, zapisów i darowizn w postaci pieniężnej</t>
  </si>
  <si>
    <t>74 876,00</t>
  </si>
  <si>
    <t>85215</t>
  </si>
  <si>
    <t>Dodatki mieszkaniowe</t>
  </si>
  <si>
    <t>11 500,00</t>
  </si>
  <si>
    <t>85216</t>
  </si>
  <si>
    <t>Zasiłki stałe</t>
  </si>
  <si>
    <t>289 324,00</t>
  </si>
  <si>
    <t>500,00</t>
  </si>
  <si>
    <t>85219</t>
  </si>
  <si>
    <t>Ośrodki pomocy społecznej</t>
  </si>
  <si>
    <t>156 404,00</t>
  </si>
  <si>
    <t>85228</t>
  </si>
  <si>
    <t>Usługi opiekuńcze i specjalistyczne usługi opiekuńcze</t>
  </si>
  <si>
    <t>31 000,00</t>
  </si>
  <si>
    <t>250 000,00</t>
  </si>
  <si>
    <t>125,00</t>
  </si>
  <si>
    <t>85230</t>
  </si>
  <si>
    <t>Pomoc w zakresie dożywiania</t>
  </si>
  <si>
    <t>85295</t>
  </si>
  <si>
    <t>5 412,00</t>
  </si>
  <si>
    <t>195 000,00</t>
  </si>
  <si>
    <t>854</t>
  </si>
  <si>
    <t>Edukacyjna opieka wychowawcza</t>
  </si>
  <si>
    <t>85415</t>
  </si>
  <si>
    <t>Pomoc materialna dla uczniów</t>
  </si>
  <si>
    <t>153 027,00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</si>
  <si>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</si>
  <si>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</si>
  <si>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945,00</t>
  </si>
  <si>
    <t>855</t>
  </si>
  <si>
    <t>Rodzina</t>
  </si>
  <si>
    <t>85501</t>
  </si>
  <si>
    <t>Świadczenia wychowawcze</t>
  </si>
  <si>
    <t>85502</t>
  </si>
  <si>
    <t>85503</t>
  </si>
  <si>
    <t>Karta Dużej Rodziny</t>
  </si>
  <si>
    <t>85504</t>
  </si>
  <si>
    <t>85508</t>
  </si>
  <si>
    <t>Rodziny zastępcze</t>
  </si>
  <si>
    <t>85509</t>
  </si>
  <si>
    <t>Dzialalność ośrodków adopcyjnych</t>
  </si>
  <si>
    <t>85512</t>
  </si>
  <si>
    <t>Składki na ubezpieczenie zdrowotne opłacane za osoby pobierające niektóre świadczenia rodzinne oraz zasiłki dla opiekunów</t>
  </si>
  <si>
    <t>85513</t>
  </si>
  <si>
    <t>Świadczenia z funduszu alimetacyjnego</t>
  </si>
  <si>
    <t>900</t>
  </si>
  <si>
    <t>Gospodarka komunalna i ochrona środowiska</t>
  </si>
  <si>
    <t>90002</t>
  </si>
  <si>
    <t>Gospodarka odpadami</t>
  </si>
  <si>
    <t>1 840 700,00</t>
  </si>
  <si>
    <t>0580</t>
  </si>
  <si>
    <t>Wpływy z grzywien i innych kar pieniężnych od osób prawnych i innych jednostek orgazniazcyjnych</t>
  </si>
  <si>
    <t>90019</t>
  </si>
  <si>
    <t>Wpływy i wydatki związane z gromadzeniem środków z opłat i kar za korzystanie ze środowiska</t>
  </si>
  <si>
    <t>225 000,00</t>
  </si>
  <si>
    <t>90095</t>
  </si>
  <si>
    <t>2710</t>
  </si>
  <si>
    <t>Dotacja celowa otrzymana z tytułu pomocy finansowej udzielanej między jednostkami samorządu terytorialnego na dofinansowanie własnych zadań bieżących</t>
  </si>
  <si>
    <t>9 164,00</t>
  </si>
  <si>
    <t>921</t>
  </si>
  <si>
    <t>Kultura i ochrona dziedzictwa narodowego</t>
  </si>
  <si>
    <t>92105</t>
  </si>
  <si>
    <t>Pozostałe zadania w zakresie kultury</t>
  </si>
  <si>
    <t>16 184,00</t>
  </si>
  <si>
    <t>92109</t>
  </si>
  <si>
    <t>Domy i ośrodki kultury, świetlice i kluby</t>
  </si>
  <si>
    <t>926</t>
  </si>
  <si>
    <t>Kultura fizyczna</t>
  </si>
  <si>
    <t>92695</t>
  </si>
  <si>
    <t>13 562,00</t>
  </si>
  <si>
    <t>Razem:</t>
  </si>
  <si>
    <t>z tego:</t>
  </si>
  <si>
    <t>Dochody bieżące</t>
  </si>
  <si>
    <t xml:space="preserve">w tym :  </t>
  </si>
  <si>
    <t>1)</t>
  </si>
  <si>
    <t>udziały w PIT</t>
  </si>
  <si>
    <t>2)</t>
  </si>
  <si>
    <t>udziały w CIT</t>
  </si>
  <si>
    <t>3)</t>
  </si>
  <si>
    <t>podatki i opłaty</t>
  </si>
  <si>
    <t>w tym:</t>
  </si>
  <si>
    <t>a)</t>
  </si>
  <si>
    <t>podatek od nieruchomości</t>
  </si>
  <si>
    <t>4)</t>
  </si>
  <si>
    <t>subwencja ogólna</t>
  </si>
  <si>
    <t>5)</t>
  </si>
  <si>
    <t>dotacje i środki na cele bieżące</t>
  </si>
  <si>
    <t>6)</t>
  </si>
  <si>
    <t>pozostałe dochody</t>
  </si>
  <si>
    <t>Dochody majątkowe</t>
  </si>
  <si>
    <t>w tym :</t>
  </si>
  <si>
    <t>ze sprzedaży majątku</t>
  </si>
  <si>
    <t>wpływy z przekształcenia prawa użytkowania wieczystego przysługującego osobom fizycznym w prawo własności</t>
  </si>
  <si>
    <t>dotacje i środków na inwestycje</t>
  </si>
  <si>
    <t>Załącznik Nr 2 - materiały informacyjne 
do projektu budżetu 2017r.</t>
  </si>
  <si>
    <t>Plan obowiązujący na dzień:
30-09-2016r.</t>
  </si>
  <si>
    <t>Plan  na 2017 rok</t>
  </si>
  <si>
    <t>Uwagi</t>
  </si>
  <si>
    <t>OBÓŁEM</t>
  </si>
  <si>
    <t>WF</t>
  </si>
  <si>
    <t>FS</t>
  </si>
  <si>
    <t>WN</t>
  </si>
  <si>
    <t>WRG</t>
  </si>
  <si>
    <t>WO</t>
  </si>
  <si>
    <t>BR</t>
  </si>
  <si>
    <t>SM</t>
  </si>
  <si>
    <t>RAZEM UM</t>
  </si>
  <si>
    <t>Oświata</t>
  </si>
  <si>
    <t>GOPS</t>
  </si>
  <si>
    <t>01008</t>
  </si>
  <si>
    <t>Melioracje wodne</t>
  </si>
  <si>
    <t>2820</t>
  </si>
  <si>
    <t>Dotacja celowa z budżetu na finansowanie lub dofinansowanie zadań zleconych do realizacji stowarzyszeniom</t>
  </si>
  <si>
    <t>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</si>
  <si>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</si>
  <si>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</si>
  <si>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</si>
  <si>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</si>
  <si>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2850</t>
  </si>
  <si>
    <t>Wpłaty gmin na rzecz izb rolniczych w wysokości 2% uzyskanych wpływów z podatku rolnego</t>
  </si>
  <si>
    <t>17 000,00</t>
  </si>
  <si>
    <t>4010</t>
  </si>
  <si>
    <t>Wynagrodzenia osobowe pracowników</t>
  </si>
  <si>
    <t>3 948,34</t>
  </si>
  <si>
    <t>4110</t>
  </si>
  <si>
    <t>Składki na ubezpieczenia społeczne</t>
  </si>
  <si>
    <t>678,72</t>
  </si>
  <si>
    <t>4120</t>
  </si>
  <si>
    <t>Składki na Fundusz Pracy</t>
  </si>
  <si>
    <t>93,10</t>
  </si>
  <si>
    <t>4210</t>
  </si>
  <si>
    <t>Zakup materiałów i wyposażenia</t>
  </si>
  <si>
    <t>7 394,06</t>
  </si>
  <si>
    <t>FS 6.541,55</t>
  </si>
  <si>
    <t>4300</t>
  </si>
  <si>
    <t>Zakup usług pozostałych</t>
  </si>
  <si>
    <t>17 985,17</t>
  </si>
  <si>
    <t>WN-1000+ Odnowa wsi 60tys.+FS 15.000</t>
  </si>
  <si>
    <t>4430</t>
  </si>
  <si>
    <t>Różne opłaty i składki</t>
  </si>
  <si>
    <t>526 080,76</t>
  </si>
  <si>
    <t>6050</t>
  </si>
  <si>
    <t>Wydatki inwestycyjne jednostek budżetowych</t>
  </si>
  <si>
    <t>127 500,00</t>
  </si>
  <si>
    <t>FS Parkowo 10tys.</t>
  </si>
  <si>
    <t>720,00</t>
  </si>
  <si>
    <t>4170</t>
  </si>
  <si>
    <t>Wynagrodzenia bezosobowe</t>
  </si>
  <si>
    <t>13 700,00</t>
  </si>
  <si>
    <t>4260</t>
  </si>
  <si>
    <t>Zakup energii</t>
  </si>
  <si>
    <t>1 280,00</t>
  </si>
  <si>
    <t>300,00</t>
  </si>
  <si>
    <t>60004</t>
  </si>
  <si>
    <t>Lokalny transport zbiorowy</t>
  </si>
  <si>
    <t>Dotacje celowe przekazane gminie na zadania bieżące realizowane na podstawie porozumień (umów) między jednostkami samorządu terytorialnego</t>
  </si>
  <si>
    <t>220 000,00</t>
  </si>
  <si>
    <t>58 705,00</t>
  </si>
  <si>
    <t>60014</t>
  </si>
  <si>
    <t>Drogi publiczne powiatowe</t>
  </si>
  <si>
    <t>Dotacja celowa na pomoc finansową udzielaną między jednostkami samorządu terytorialnego na dofinansowanie własnych zadań inwestycyjnych i zakupów inwestycyjnych</t>
  </si>
  <si>
    <t>464 160,00</t>
  </si>
  <si>
    <t>129 989,04</t>
  </si>
  <si>
    <t>WN-10tys. + WRG 12tys. FS. 19027,75</t>
  </si>
  <si>
    <t>4270</t>
  </si>
  <si>
    <t>Zakup usług remontowych</t>
  </si>
  <si>
    <t>128 856,00</t>
  </si>
  <si>
    <t>540 990,61</t>
  </si>
  <si>
    <t>WRG 1142500+FS 10.000</t>
  </si>
  <si>
    <t>8 270,00</t>
  </si>
  <si>
    <t>3 100 309,00</t>
  </si>
  <si>
    <t>630</t>
  </si>
  <si>
    <t>Turystyka</t>
  </si>
  <si>
    <t>63095</t>
  </si>
  <si>
    <t>WRG 4tys.+FS 5tys.</t>
  </si>
  <si>
    <t>2650</t>
  </si>
  <si>
    <t>Dotacja przedmiotowa z budżetu dla samorządowego zakładu budżetowego</t>
  </si>
  <si>
    <t>498 921,01</t>
  </si>
  <si>
    <t>przedmiotowa - 875.409,58; celowa zabytek - 89.899,18</t>
  </si>
  <si>
    <t>40 845,70</t>
  </si>
  <si>
    <t>Agrobiznes 8tys.</t>
  </si>
  <si>
    <t>95 332,00</t>
  </si>
  <si>
    <t>Agrobiznes 85tys.</t>
  </si>
  <si>
    <t>Agrozbiznes 6tys.+ 10 tys. na remont osrodka zdrowia- gabinety specjalistyczne</t>
  </si>
  <si>
    <t>243 727,00</t>
  </si>
  <si>
    <t>WN 120tys. - 10 tys. = 110 tys.+ WO Agrobiznes +13tys.</t>
  </si>
  <si>
    <t>1 830,00</t>
  </si>
  <si>
    <t>4500</t>
  </si>
  <si>
    <t>Pozostałe podatki na rzecz budżetów jednostek samorządu terytorialnego</t>
  </si>
  <si>
    <t>670,00</t>
  </si>
  <si>
    <t>4520</t>
  </si>
  <si>
    <t>Opłaty na rzecz budżetów jednostek samorządu terytorialnego</t>
  </si>
  <si>
    <t>4 650,00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</si>
  <si>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</si>
  <si>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</si>
  <si>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</si>
  <si>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</si>
  <si>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160 000,00</t>
  </si>
  <si>
    <t>4610</t>
  </si>
  <si>
    <t>Koszty postępowania sądowego i prokuratorskiego</t>
  </si>
  <si>
    <t>140 000,00</t>
  </si>
  <si>
    <t>6060</t>
  </si>
  <si>
    <t>Wydatki na zakupy inwestycyjne jednostek budżetowych</t>
  </si>
  <si>
    <t>293 437,00</t>
  </si>
  <si>
    <t>710</t>
  </si>
  <si>
    <t>Działalność usługowa</t>
  </si>
  <si>
    <t>71004</t>
  </si>
  <si>
    <t>Plany zagospodarowania przestrzennego</t>
  </si>
  <si>
    <t>20 700,00</t>
  </si>
  <si>
    <t>72 300,00</t>
  </si>
  <si>
    <t>71035</t>
  </si>
  <si>
    <t>Cmentarze</t>
  </si>
  <si>
    <t>10 000,00</t>
  </si>
  <si>
    <t>100 978,65</t>
  </si>
  <si>
    <t>4040</t>
  </si>
  <si>
    <t>Dodatkowe wynagrodzenie roczne</t>
  </si>
  <si>
    <t>7 775,00</t>
  </si>
  <si>
    <t>18 694,75</t>
  </si>
  <si>
    <t>2 664,46</t>
  </si>
  <si>
    <t>2 692,27</t>
  </si>
  <si>
    <t>3 931,00</t>
  </si>
  <si>
    <t>4410</t>
  </si>
  <si>
    <t>Podróże służbowe krajowe</t>
  </si>
  <si>
    <t>4700</t>
  </si>
  <si>
    <t xml:space="preserve">Szkolenia pracowników niebędących członkami korpusu służby cywilnej </t>
  </si>
  <si>
    <t>493,87</t>
  </si>
  <si>
    <t>75022</t>
  </si>
  <si>
    <t>Rady gmin (miast i miast na prawach powiatu)</t>
  </si>
  <si>
    <t>3030</t>
  </si>
  <si>
    <t xml:space="preserve">Różne wydatki na rzecz osób fizycznych </t>
  </si>
  <si>
    <t>280 000,00</t>
  </si>
  <si>
    <t>4190</t>
  </si>
  <si>
    <t>Nagrody konkursowe</t>
  </si>
  <si>
    <t>13 000,00</t>
  </si>
  <si>
    <t>4420</t>
  </si>
  <si>
    <t>Podróże służbowe zagraniczne</t>
  </si>
  <si>
    <t>3020</t>
  </si>
  <si>
    <t>Wydatki osobowe niezaliczone do wynagrodzeń</t>
  </si>
  <si>
    <t>6 500,00</t>
  </si>
  <si>
    <t>2 344 666,61</t>
  </si>
  <si>
    <t>162 130,22</t>
  </si>
  <si>
    <t>426 017,67</t>
  </si>
  <si>
    <t>47 422,09</t>
  </si>
  <si>
    <t>4140</t>
  </si>
  <si>
    <t>60 300,00</t>
  </si>
  <si>
    <t>125 497,04</t>
  </si>
  <si>
    <t>4240</t>
  </si>
  <si>
    <t>Zakup środków dydaktycznych i książek</t>
  </si>
  <si>
    <t>73 000,00</t>
  </si>
  <si>
    <t>37 000,00</t>
  </si>
  <si>
    <t>4280</t>
  </si>
  <si>
    <t>Zakup usług zdrowotnych</t>
  </si>
  <si>
    <t>2 500,00</t>
  </si>
  <si>
    <t>219 569,00</t>
  </si>
  <si>
    <t>4360</t>
  </si>
  <si>
    <t>Opłaty z tytułu zakupu usług telekomunikacyjnych</t>
  </si>
  <si>
    <t>4380</t>
  </si>
  <si>
    <t>Zakup usług obejmujacych tłumaczenia</t>
  </si>
  <si>
    <t>4390</t>
  </si>
  <si>
    <t>Zakup usług obejmujących wykonanie ekspertyz, analiz i opinii</t>
  </si>
  <si>
    <t>75 000,00</t>
  </si>
  <si>
    <t>38 706,13</t>
  </si>
  <si>
    <t>WO 15tys. Ubezp.</t>
  </si>
  <si>
    <t>4440</t>
  </si>
  <si>
    <t>Odpisy na zakładowy fundusz świadczeń socjalnych</t>
  </si>
  <si>
    <t>66 845,00</t>
  </si>
  <si>
    <t>24 000,00</t>
  </si>
  <si>
    <t>30 599,55</t>
  </si>
  <si>
    <t>75075</t>
  </si>
  <si>
    <t>Promocja jednostek samorządu terytorialnego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</si>
  <si>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</si>
  <si>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2 700,00</t>
  </si>
  <si>
    <t>25 000,00</t>
  </si>
  <si>
    <t>75085</t>
  </si>
  <si>
    <t>Wspólna obsługa jednostek samorządu terytorialnego</t>
  </si>
  <si>
    <t>200 000,00</t>
  </si>
  <si>
    <t>34 200,00</t>
  </si>
  <si>
    <t>4 900,00</t>
  </si>
  <si>
    <t>2 100,00</t>
  </si>
  <si>
    <t>11 099,67</t>
  </si>
  <si>
    <t>12 500,00</t>
  </si>
  <si>
    <t>1 250,00</t>
  </si>
  <si>
    <t>2 280,00</t>
  </si>
  <si>
    <t>2 000,00</t>
  </si>
  <si>
    <t>75095</t>
  </si>
  <si>
    <t>98 124,00</t>
  </si>
  <si>
    <t>4100</t>
  </si>
  <si>
    <t>Wynagrodzenia agencyjno-prowizyjne</t>
  </si>
  <si>
    <t>6 000,00</t>
  </si>
  <si>
    <t>66 020,00</t>
  </si>
  <si>
    <t>BR 1.200,- + skł. do stow. 70 tys.</t>
  </si>
  <si>
    <t>2 909,57</t>
  </si>
  <si>
    <t>500,15</t>
  </si>
  <si>
    <t>71,28</t>
  </si>
  <si>
    <t>12 376,00</t>
  </si>
  <si>
    <t>75405</t>
  </si>
  <si>
    <t>Komendy powiatowe Policji</t>
  </si>
  <si>
    <t>2300</t>
  </si>
  <si>
    <t>Wpłaty jednostek na państwowy fundusz celowy</t>
  </si>
  <si>
    <t>75411</t>
  </si>
  <si>
    <t>Komendy powiatowe Państwowej Straży Pożarnej</t>
  </si>
  <si>
    <t>55 000,00</t>
  </si>
  <si>
    <t>4 984,00</t>
  </si>
  <si>
    <t>606,00</t>
  </si>
  <si>
    <t>28 374,00</t>
  </si>
  <si>
    <t>750,00</t>
  </si>
  <si>
    <t>128 250,00</t>
  </si>
  <si>
    <t>fs 9.648,09</t>
  </si>
  <si>
    <t>42 890,00</t>
  </si>
  <si>
    <t>27 000,00</t>
  </si>
  <si>
    <t>6230</t>
  </si>
  <si>
    <t>Dotacje celowe z budżetu na finansowanie lub dofinansowanie kosztów realizacji inwestycji i zakupów inwestycyjnych jednostek nie zaliczanych do sektora finansów publicznych</t>
  </si>
  <si>
    <t>40 000,00</t>
  </si>
  <si>
    <t>75414</t>
  </si>
  <si>
    <t>Obrona cywilna</t>
  </si>
  <si>
    <t>75415</t>
  </si>
  <si>
    <t>Zadania ratownictwa górskiego i wodnego</t>
  </si>
  <si>
    <t>75416</t>
  </si>
  <si>
    <t>Straż gminna (miejska)</t>
  </si>
  <si>
    <t>2 830,00</t>
  </si>
  <si>
    <t>18 500,00</t>
  </si>
  <si>
    <t>3 500,00</t>
  </si>
  <si>
    <t>757</t>
  </si>
  <si>
    <t>Obsługa długu publicznego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</si>
  <si>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</si>
  <si>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</si>
  <si>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</si>
  <si>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</si>
  <si>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362 475,00</t>
  </si>
  <si>
    <t>75818</t>
  </si>
  <si>
    <t>Rezerwy ogólne i celowe</t>
  </si>
  <si>
    <t>4810</t>
  </si>
  <si>
    <t>Rezerwy</t>
  </si>
  <si>
    <t>135 000,00</t>
  </si>
  <si>
    <t>2 800,00</t>
  </si>
  <si>
    <t>332 540,00</t>
  </si>
  <si>
    <t>3240</t>
  </si>
  <si>
    <t>Stypendia dla uczniów</t>
  </si>
  <si>
    <t>6 824 141,19</t>
  </si>
  <si>
    <t>515 319,05</t>
  </si>
  <si>
    <t>1 320 962,00</t>
  </si>
  <si>
    <t>178 998,76</t>
  </si>
  <si>
    <t>36 282,00</t>
  </si>
  <si>
    <t>283 824,52</t>
  </si>
  <si>
    <t>116 170,31</t>
  </si>
  <si>
    <t>398 400,00</t>
  </si>
  <si>
    <t>22 355,17</t>
  </si>
  <si>
    <t>17 500,00</t>
  </si>
  <si>
    <t>171 632,00</t>
  </si>
  <si>
    <t>23 300,00</t>
  </si>
  <si>
    <t>9 700,00</t>
  </si>
  <si>
    <t>5 910,00</t>
  </si>
  <si>
    <t>402 543,00</t>
  </si>
  <si>
    <t>4480</t>
  </si>
  <si>
    <t>Podatek od nieruchomości</t>
  </si>
  <si>
    <t>5 200,00</t>
  </si>
  <si>
    <t>29 672,00</t>
  </si>
  <si>
    <t>495 976,47</t>
  </si>
  <si>
    <t>33 041,27</t>
  </si>
  <si>
    <t>96 151,26</t>
  </si>
  <si>
    <t>17 200,00</t>
  </si>
  <si>
    <t>1 260,00</t>
  </si>
  <si>
    <t>20 430,00</t>
  </si>
  <si>
    <t>800,00</t>
  </si>
  <si>
    <t>6 250,00</t>
  </si>
  <si>
    <t>700,00</t>
  </si>
  <si>
    <t>25 872,00</t>
  </si>
  <si>
    <t>112 000,00</t>
  </si>
  <si>
    <t>2540</t>
  </si>
  <si>
    <t>Dotacja podmiotowa z budżetu dla niepublicznej jednostki systemu oświaty</t>
  </si>
  <si>
    <t>1 086 810,00</t>
  </si>
  <si>
    <t>74 796,00</t>
  </si>
  <si>
    <t>1 861 937,17</t>
  </si>
  <si>
    <t>127 425,23</t>
  </si>
  <si>
    <t>321 751,60</t>
  </si>
  <si>
    <t>41 605,00</t>
  </si>
  <si>
    <t>5 500,00</t>
  </si>
  <si>
    <t>97 722,00</t>
  </si>
  <si>
    <t>4220</t>
  </si>
  <si>
    <t>Zakup środków żywności</t>
  </si>
  <si>
    <t>292 000,00</t>
  </si>
  <si>
    <t>6 150,00</t>
  </si>
  <si>
    <t>252 932,00</t>
  </si>
  <si>
    <t>4 300,00</t>
  </si>
  <si>
    <t>57 664,00</t>
  </si>
  <si>
    <t>8 200,00</t>
  </si>
  <si>
    <t>1 190,00</t>
  </si>
  <si>
    <t>106 966,00</t>
  </si>
  <si>
    <t>355,00</t>
  </si>
  <si>
    <t>2320</t>
  </si>
  <si>
    <t>Dotacje celowe przekazane dla powiatu na zadania bieżące realizowane na podstawie porozumień (umów) między jednostkami samorządu terytorialnego</t>
  </si>
  <si>
    <t>1 289 704,00</t>
  </si>
  <si>
    <t>630 861,00</t>
  </si>
  <si>
    <t>15 024,31</t>
  </si>
  <si>
    <t>81 282,00</t>
  </si>
  <si>
    <t>1 600,00</t>
  </si>
  <si>
    <t>1 633 280,19</t>
  </si>
  <si>
    <t>131 795,81</t>
  </si>
  <si>
    <t>316 088,00</t>
  </si>
  <si>
    <t>44 269,00</t>
  </si>
  <si>
    <t>7 116,00</t>
  </si>
  <si>
    <t>67 190,32</t>
  </si>
  <si>
    <t>37 878,84</t>
  </si>
  <si>
    <t>166 400,00</t>
  </si>
  <si>
    <t>9 500,00</t>
  </si>
  <si>
    <t>8 300,00</t>
  </si>
  <si>
    <t>48 485,00</t>
  </si>
  <si>
    <t>7 150,00</t>
  </si>
  <si>
    <t>1 300,00</t>
  </si>
  <si>
    <t>92 903,00</t>
  </si>
  <si>
    <t>80113</t>
  </si>
  <si>
    <t>Dowożenie uczniów do szkół</t>
  </si>
  <si>
    <t>3 000,00</t>
  </si>
  <si>
    <t>680 000,00</t>
  </si>
  <si>
    <t>80114</t>
  </si>
  <si>
    <t>Zespoły obsługi ekonomiczno-administracyjnej szkół</t>
  </si>
  <si>
    <t>1 211,35</t>
  </si>
  <si>
    <t>261 908,79</t>
  </si>
  <si>
    <t>29 518,00</t>
  </si>
  <si>
    <t>52 096,85</t>
  </si>
  <si>
    <t>3 260,46</t>
  </si>
  <si>
    <t>1 462,00</t>
  </si>
  <si>
    <t>28 000,47</t>
  </si>
  <si>
    <t>2 162,87</t>
  </si>
  <si>
    <t>14 299,98</t>
  </si>
  <si>
    <t>225,00</t>
  </si>
  <si>
    <t>41 674,75</t>
  </si>
  <si>
    <t>2 435,81</t>
  </si>
  <si>
    <t>1 757,00</t>
  </si>
  <si>
    <t>6 840,00</t>
  </si>
  <si>
    <t>349,00</t>
  </si>
  <si>
    <t>80146</t>
  </si>
  <si>
    <t>Dokształcanie i doskonalenie nauczycieli</t>
  </si>
  <si>
    <t>32 100,00</t>
  </si>
  <si>
    <t>58 676,00</t>
  </si>
  <si>
    <t>273 390,60</t>
  </si>
  <si>
    <t>18 661,40</t>
  </si>
  <si>
    <t>48 473,00</t>
  </si>
  <si>
    <t>4 054,00</t>
  </si>
  <si>
    <t>23 400,00</t>
  </si>
  <si>
    <t>286 000,00</t>
  </si>
  <si>
    <t>1 100,00</t>
  </si>
  <si>
    <t>10 031,00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</si>
  <si>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</si>
  <si>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</si>
  <si>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178 092,00</t>
  </si>
  <si>
    <t>263 000,00</t>
  </si>
  <si>
    <t>16 114,91</t>
  </si>
  <si>
    <t>48 007,00</t>
  </si>
  <si>
    <t>7 472,09</t>
  </si>
  <si>
    <t>23 000,00</t>
  </si>
  <si>
    <t>330,00</t>
  </si>
  <si>
    <t>15 568,00</t>
  </si>
  <si>
    <t>14 600,00</t>
  </si>
  <si>
    <t>24 780,00</t>
  </si>
  <si>
    <t>368 815,00</t>
  </si>
  <si>
    <t>9 878,00</t>
  </si>
  <si>
    <t>70 591,00</t>
  </si>
  <si>
    <t>12 742,00</t>
  </si>
  <si>
    <t>14 601,73</t>
  </si>
  <si>
    <t>7 457,25</t>
  </si>
  <si>
    <t>13 500,00</t>
  </si>
  <si>
    <t>9 800,00</t>
  </si>
  <si>
    <t>10 450,00</t>
  </si>
  <si>
    <t>80195</t>
  </si>
  <si>
    <t>24 500,00</t>
  </si>
  <si>
    <t>1 800,00</t>
  </si>
  <si>
    <t>FS- 5.5tys.</t>
  </si>
  <si>
    <t>168 299,00</t>
  </si>
  <si>
    <t>851</t>
  </si>
  <si>
    <t>Ochrona zdrowia</t>
  </si>
  <si>
    <t>85111</t>
  </si>
  <si>
    <t>Szpitale ogólne</t>
  </si>
  <si>
    <t>500 000,00</t>
  </si>
  <si>
    <t>85153</t>
  </si>
  <si>
    <t>Zwalczanie narkomanii</t>
  </si>
  <si>
    <t>241,00</t>
  </si>
  <si>
    <t>35,00</t>
  </si>
  <si>
    <t>1 400,00</t>
  </si>
  <si>
    <t>4 983,00</t>
  </si>
  <si>
    <t>85154</t>
  </si>
  <si>
    <t>Przeciwdziałanie alkoholizmowi</t>
  </si>
  <si>
    <t>42 300,00</t>
  </si>
  <si>
    <t>Dotacja celowa na pomoc finansową udzielaną między jednostkami samorządu terytorialnego na dofinansowanie własnych zadań bieżących</t>
  </si>
  <si>
    <t>5 166,00</t>
  </si>
  <si>
    <t>1 918,00</t>
  </si>
  <si>
    <t>108 120,00</t>
  </si>
  <si>
    <t>20 014,00</t>
  </si>
  <si>
    <t>85 408,00</t>
  </si>
  <si>
    <t>998,00</t>
  </si>
  <si>
    <t>85195</t>
  </si>
  <si>
    <t>1 050,00</t>
  </si>
  <si>
    <t>950,00</t>
  </si>
  <si>
    <t>85201</t>
  </si>
  <si>
    <t>Placówki opiekuńczo-wychowawcze</t>
  </si>
  <si>
    <t>4330</t>
  </si>
  <si>
    <t>Zakup usług przez jednostki samorządu terytorialnego od innych jednostek samorządu terytorialnego</t>
  </si>
  <si>
    <t>97 000,00</t>
  </si>
  <si>
    <t>85202</t>
  </si>
  <si>
    <t>Domy pomocy społecznej</t>
  </si>
  <si>
    <t>526 683,00</t>
  </si>
  <si>
    <t>85204</t>
  </si>
  <si>
    <t>85205</t>
  </si>
  <si>
    <t>Zadania w zakresie przeciwdziałania przemocy w rodzinie</t>
  </si>
  <si>
    <t>8 000,00</t>
  </si>
  <si>
    <t>1 292,00</t>
  </si>
  <si>
    <t>105 421,00</t>
  </si>
  <si>
    <t>4 656,00</t>
  </si>
  <si>
    <t>13 900,00</t>
  </si>
  <si>
    <t>1 978,00</t>
  </si>
  <si>
    <t>2 302,00</t>
  </si>
  <si>
    <t>3110</t>
  </si>
  <si>
    <t>Świadczenia społeczne</t>
  </si>
  <si>
    <t>9 232 697,00</t>
  </si>
  <si>
    <t>46 000,00</t>
  </si>
  <si>
    <t>10 700,00</t>
  </si>
  <si>
    <t>1 460,00</t>
  </si>
  <si>
    <t>14 750,00</t>
  </si>
  <si>
    <t>76 689,00</t>
  </si>
  <si>
    <t>Zwrot dotacji oraz płatności, w tym  wykorzystanych niezgodnie z przeznaczeniem lub wykorzystanych z naruszeniem procedur, o których mowa w art. 184 ustawy, pobranych nienależnie lub w nadmiernej wysokości</t>
  </si>
  <si>
    <t>6 660 087,00</t>
  </si>
  <si>
    <t>140 358,00</t>
  </si>
  <si>
    <t>7 838,00</t>
  </si>
  <si>
    <t>278 203,00</t>
  </si>
  <si>
    <t>3 584,00</t>
  </si>
  <si>
    <t>7 000,00</t>
  </si>
  <si>
    <t>4400</t>
  </si>
  <si>
    <t>Opłaty za administrowanie i czynsze za budynki, lokale i pomieszczenia garażowe</t>
  </si>
  <si>
    <t>2 109,00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</si>
  <si>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</si>
  <si>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</si>
  <si>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</si>
  <si>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Składki na ubezpieczenie zdrowotne opłacane za osoby pobierające niektóre świadczenia z pomocy społecznej, niektóre świadczenia rodzinne oraz za osoby uczestniczące w zajęciach w centrum integracji społecznej.</t>
  </si>
  <si>
    <t>4130</t>
  </si>
  <si>
    <t>Składki na ubezpieczenie zdrowotne</t>
  </si>
  <si>
    <t>74 722,00</t>
  </si>
  <si>
    <t>489 276,00</t>
  </si>
  <si>
    <t>511 274,51</t>
  </si>
  <si>
    <t>225,49</t>
  </si>
  <si>
    <t>320 324,00</t>
  </si>
  <si>
    <t>6 156,00</t>
  </si>
  <si>
    <t>758 605,00</t>
  </si>
  <si>
    <t>54 446,00</t>
  </si>
  <si>
    <t>139 480,00</t>
  </si>
  <si>
    <t>19 844,00</t>
  </si>
  <si>
    <t>Wpłaty na Państwowy Fundusz Rehabilitacji Osób Niepełnosprawnych</t>
  </si>
  <si>
    <t>33 805,00</t>
  </si>
  <si>
    <t>12 400,00</t>
  </si>
  <si>
    <t>87 482,00</t>
  </si>
  <si>
    <t>8 600,00</t>
  </si>
  <si>
    <t>19 200,00</t>
  </si>
  <si>
    <t>33 000,00</t>
  </si>
  <si>
    <t>29 326,00</t>
  </si>
  <si>
    <t>45 600,00</t>
  </si>
  <si>
    <t>15 493,00</t>
  </si>
  <si>
    <t>118 200,00</t>
  </si>
  <si>
    <t>310 000,00</t>
  </si>
  <si>
    <t>Pomoc w zakresie dożywiania</t>
  </si>
  <si>
    <t>85232</t>
  </si>
  <si>
    <t>Centra integracji społecznej</t>
  </si>
  <si>
    <t>2410</t>
  </si>
  <si>
    <t>Dotacja z budżetu jednostki samorządu terytorialnego dla samorządowego zakładu budżetowego na pierwsze wyposażenie w środki obrotowe</t>
  </si>
  <si>
    <t>58 600,00</t>
  </si>
  <si>
    <t>91 400,00</t>
  </si>
  <si>
    <t>330 000,00</t>
  </si>
  <si>
    <t>344,00</t>
  </si>
  <si>
    <t>59,57</t>
  </si>
  <si>
    <t>8,43</t>
  </si>
  <si>
    <t>5 840,00</t>
  </si>
  <si>
    <t>853</t>
  </si>
  <si>
    <t>Pozostałe zadania w zakresie polityki społecznej</t>
  </si>
  <si>
    <t>85311</t>
  </si>
  <si>
    <t>85395</t>
  </si>
  <si>
    <t>6020</t>
  </si>
  <si>
    <t>Wydatki na wniesienie wkładów do spółdzielni</t>
  </si>
  <si>
    <t>85401</t>
  </si>
  <si>
    <t>Świetlice szkolne</t>
  </si>
  <si>
    <t>1 096,00</t>
  </si>
  <si>
    <t>397 463,80</t>
  </si>
  <si>
    <t>22 374,83</t>
  </si>
  <si>
    <t>70 835,17</t>
  </si>
  <si>
    <t>9 452,20</t>
  </si>
  <si>
    <t>10 200,00</t>
  </si>
  <si>
    <t>3 100,00</t>
  </si>
  <si>
    <t>24 882,00</t>
  </si>
  <si>
    <t>253 972,00</t>
  </si>
  <si>
    <t>253 027,00</t>
  </si>
  <si>
    <t>3260</t>
  </si>
  <si>
    <t>Inne formy pomocy dla uczniów</t>
  </si>
  <si>
    <t>85446</t>
  </si>
  <si>
    <t>3 619,00</t>
  </si>
  <si>
    <t>Wynagrodzenie bezosobowe</t>
  </si>
  <si>
    <t>85510</t>
  </si>
  <si>
    <t>Działalność placówek opiekuńczo-wychowawczych</t>
  </si>
  <si>
    <t>90001</t>
  </si>
  <si>
    <t>Gospodarka ściekowa i ochrona wód</t>
  </si>
  <si>
    <t>OŚ 100tys.(czszcz.jez.</t>
  </si>
  <si>
    <t>OŚ 5.000,-</t>
  </si>
  <si>
    <t>65 000,00</t>
  </si>
  <si>
    <t xml:space="preserve">OŚ 10.000; Separat. WRG- 40 tys. </t>
  </si>
  <si>
    <t>17 700,00</t>
  </si>
  <si>
    <t>OŚ.30 tys.</t>
  </si>
  <si>
    <t>105 245,17</t>
  </si>
  <si>
    <t>8 884,35</t>
  </si>
  <si>
    <t>19 618,86</t>
  </si>
  <si>
    <t>2 796,17</t>
  </si>
  <si>
    <t>OŚ 20tys.+ 11.000 odpady</t>
  </si>
  <si>
    <t>1 691 200,00</t>
  </si>
  <si>
    <t>OŚ 20 tys.+ odp. 1.662.722,28</t>
  </si>
  <si>
    <t xml:space="preserve">odpady 1.000 deleg. </t>
  </si>
  <si>
    <t>ODP.3 500</t>
  </si>
  <si>
    <t>3 555,00</t>
  </si>
  <si>
    <t>3,25 ertatu na odpadach</t>
  </si>
  <si>
    <t>3 400,45</t>
  </si>
  <si>
    <t>szkolenia 3380,04</t>
  </si>
  <si>
    <t>90003</t>
  </si>
  <si>
    <t>Oczyszczanie miast i wsi</t>
  </si>
  <si>
    <t>325 000,00</t>
  </si>
  <si>
    <t>WRG -410 tys.</t>
  </si>
  <si>
    <t>90004</t>
  </si>
  <si>
    <t>Utrzymanie zieleni w miastach i gminach</t>
  </si>
  <si>
    <t>FS 1500</t>
  </si>
  <si>
    <t>30 800,00</t>
  </si>
  <si>
    <t>OŚ -60 tys.; WRG 8 tys.+FS 10500</t>
  </si>
  <si>
    <t>101 898,18</t>
  </si>
  <si>
    <t>ÓŚ. 40tys.+ 240 tys. WRG+FS 1500</t>
  </si>
  <si>
    <t>90013</t>
  </si>
  <si>
    <t>Schroniska dla zwierząt</t>
  </si>
  <si>
    <t>120 000,00</t>
  </si>
  <si>
    <t>99 415,81</t>
  </si>
  <si>
    <t>90015</t>
  </si>
  <si>
    <t>Oświetlenie ulic, placów i dróg</t>
  </si>
  <si>
    <t>540 000,00</t>
  </si>
  <si>
    <t>282 000,00</t>
  </si>
  <si>
    <t>WRG  339.000+FS 2000</t>
  </si>
  <si>
    <t>64 004,00</t>
  </si>
  <si>
    <t>OŚ 10tys.</t>
  </si>
  <si>
    <t>3 312,00</t>
  </si>
  <si>
    <t>472,00</t>
  </si>
  <si>
    <t>20 769,00</t>
  </si>
  <si>
    <t>OŚ 5tys.+ targ. 15tys.;</t>
  </si>
  <si>
    <t>50 000,00</t>
  </si>
  <si>
    <t>zdroje 160tys+ 20tys. Targ.</t>
  </si>
  <si>
    <t>MONITORING TARG.</t>
  </si>
  <si>
    <t>58 100,00</t>
  </si>
  <si>
    <t>TARG.</t>
  </si>
  <si>
    <t>proj.termomodern. RCK +os.zdr.</t>
  </si>
  <si>
    <t>9 734,00</t>
  </si>
  <si>
    <t>13 935,00</t>
  </si>
  <si>
    <t>450,00</t>
  </si>
  <si>
    <t>2480</t>
  </si>
  <si>
    <t>Dotacja podmiotowa z budżetu dla samorządowej instytucji kultury</t>
  </si>
  <si>
    <t>868 000,00</t>
  </si>
  <si>
    <t>704,00</t>
  </si>
  <si>
    <t>FS344</t>
  </si>
  <si>
    <t>109,00</t>
  </si>
  <si>
    <t>FS 49</t>
  </si>
  <si>
    <t>4 080,00</t>
  </si>
  <si>
    <t>FS 5.000</t>
  </si>
  <si>
    <t>54 682,93</t>
  </si>
  <si>
    <t>WF-5000+ FS 37219,46</t>
  </si>
  <si>
    <t>60 600,00</t>
  </si>
  <si>
    <t>WRG- 60tys. +FS 130,84</t>
  </si>
  <si>
    <t>12 897,00</t>
  </si>
  <si>
    <t>WRG -10.000+FS 10.308,53</t>
  </si>
  <si>
    <t>1 325,00</t>
  </si>
  <si>
    <t>137 563,65</t>
  </si>
  <si>
    <t>92116</t>
  </si>
  <si>
    <t>Biblioteki</t>
  </si>
  <si>
    <t>327 400,00</t>
  </si>
  <si>
    <t>303,17</t>
  </si>
  <si>
    <t>92118</t>
  </si>
  <si>
    <t>Muzea</t>
  </si>
  <si>
    <t>427 500,00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</si>
  <si>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</si>
  <si>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</si>
  <si>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</si>
  <si>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</si>
  <si>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</si>
  <si>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4 250,00</t>
  </si>
  <si>
    <t>36 836,41</t>
  </si>
  <si>
    <t>24 150,00</t>
  </si>
  <si>
    <t>92601</t>
  </si>
  <si>
    <t>Obiekty sportowe</t>
  </si>
  <si>
    <t>9 000,00</t>
  </si>
  <si>
    <t>17 100,00</t>
  </si>
  <si>
    <t xml:space="preserve">SP3 15 tys. </t>
  </si>
  <si>
    <t>SP3 9tys.' WRG.5tys.+WF 5 tys.</t>
  </si>
  <si>
    <t>200,00</t>
  </si>
  <si>
    <t>SP3 - 11 tys. +WRG+2tys.+ 1tys. WF</t>
  </si>
  <si>
    <t>WF 3 tys. Ubezpieczenie ORLIKa + inne boiska</t>
  </si>
  <si>
    <t>205 000,00</t>
  </si>
  <si>
    <t>WRG - 37920+FS 2000</t>
  </si>
  <si>
    <t>56 540,85</t>
  </si>
  <si>
    <t>WRG 61100+FS 45.200</t>
  </si>
  <si>
    <t>18 500,05</t>
  </si>
  <si>
    <t>wRG 75.000+FS 2000</t>
  </si>
  <si>
    <t>Wydatki bieżące</t>
  </si>
  <si>
    <t>1. Wydatki jednostek budżetowych</t>
  </si>
  <si>
    <t>a) wynagrodzenia i składki od nich naliczone</t>
  </si>
  <si>
    <t>b) wydatki związane z realizacją statutowych zadań</t>
  </si>
  <si>
    <t>2) dotacje na zadania bieżące</t>
  </si>
  <si>
    <t>3) świadczenia na rzecz osób fizycznych</t>
  </si>
  <si>
    <t xml:space="preserve">4) wydatki na projekty finansowe z udziałem środków, o których mowa  w art.5 ust.1 pkt 2 i 3 </t>
  </si>
  <si>
    <t>Wydatki majątkowe</t>
  </si>
  <si>
    <t>1) wydatki majątkowe w formie dotacji celowych</t>
  </si>
  <si>
    <r>
      <t>2)</t>
    </r>
    <r>
      <rPr>
        <i/>
        <sz val="9"/>
        <rFont val="Times New Roman"/>
        <family val="1"/>
        <charset val="238"/>
      </rPr>
      <t> </t>
    </r>
    <r>
      <rPr>
        <i/>
        <sz val="9"/>
        <rFont val="Arial"/>
        <family val="2"/>
        <charset val="238"/>
      </rPr>
      <t>pozostałe</t>
    </r>
    <r>
      <rPr>
        <i/>
        <sz val="9"/>
        <rFont val="Times New Roman"/>
        <family val="1"/>
        <charset val="238"/>
      </rPr>
      <t xml:space="preserve"> </t>
    </r>
    <r>
      <rPr>
        <i/>
        <sz val="9"/>
        <rFont val="Arial"/>
        <family val="2"/>
        <charset val="238"/>
      </rPr>
      <t>wydatki majątkowe</t>
    </r>
  </si>
  <si>
    <t>3) zakupy inwestycyjne</t>
  </si>
  <si>
    <t>Suma kontrolna</t>
  </si>
  <si>
    <t>Prognoza długu na lata 2017 - 2026
Gminy Rogoźno
Załącznik Nr 3 - materiały informacyjne
do projektu budżetu 2017 roku</t>
  </si>
  <si>
    <t>A.</t>
  </si>
  <si>
    <t>Zobowiązanie
zaciągnięte</t>
  </si>
  <si>
    <t>Stan zadłużenia na dzień 31.12.2014r.</t>
  </si>
  <si>
    <t>Stan zadłużenia na dzień 31.12.2016r.</t>
  </si>
  <si>
    <t>Do spłaty</t>
  </si>
  <si>
    <t>Stan zadłużenia na 31.12.</t>
  </si>
  <si>
    <t>Przychody</t>
  </si>
  <si>
    <t>Bank Pocztowy S.A.  Bydgoszcz</t>
  </si>
  <si>
    <t>K</t>
  </si>
  <si>
    <t>O</t>
  </si>
  <si>
    <t>R</t>
  </si>
  <si>
    <t>BS Czarnków</t>
  </si>
  <si>
    <t xml:space="preserve">ING Bank Śląski w Poznaniu
</t>
  </si>
  <si>
    <t>WFOŚ i GW w Poznaniu</t>
  </si>
  <si>
    <t>RAZEM: A</t>
  </si>
  <si>
    <t>B.1</t>
  </si>
  <si>
    <t>Wnioskowane
zobowiązanie -kredyt</t>
  </si>
  <si>
    <t xml:space="preserve"> RAZEM: Wnioskowane 
zobowiązanie
(B1)</t>
  </si>
  <si>
    <t>OGÓŁEM: A+B</t>
  </si>
  <si>
    <t>C.</t>
  </si>
  <si>
    <t>Poręczenia i gwarancje</t>
  </si>
  <si>
    <t>D.</t>
  </si>
  <si>
    <t>Zobowiązania krótkoterminowe</t>
  </si>
  <si>
    <t>OGÓŁEM: A+B+C+D</t>
  </si>
  <si>
    <t>na dzien 31.08.2015 Plan</t>
  </si>
  <si>
    <t>Dotacje celowe otrzymane z budżetu państwa na zadania bieżące z zakresu administracji rządowej zlecone gminom (związkom gmin, związkom powiatowo-gminnym), związane z realizacją świadczenia wychowawczego
stanowiącego pomoc państwa w wychowywaniu dzieci</t>
  </si>
  <si>
    <t>92127</t>
  </si>
  <si>
    <t>85416</t>
  </si>
  <si>
    <t>Pomoc materialna dla uczniów o charakterze socjalnym</t>
  </si>
  <si>
    <t>Pomoc materialna dla uczniów o charakterze motywacyjnym</t>
  </si>
  <si>
    <t>Działalność dotycząca miejsc pamięci narodowej oraz ochrony pamięci walk i męczeństwa</t>
  </si>
  <si>
    <t>% wskaźnik wzrostu/spadku 
do planu budżetu 2016 r.</t>
  </si>
  <si>
    <t>Przewidywane wykonanie wydatków na koniec 2016 roku</t>
  </si>
  <si>
    <t>Plan i wykonanie wydatków budżetu Gminy Rogoźno za 2016 rok - stan na 30.09.2016r. w porównianiu 
z projektem planu wydatków na 2017 rok (wskaźnik procentowy) oraz przewidywane wykonanie wydatków 
na koniec 2016 roku</t>
  </si>
  <si>
    <t>Zasiłki okresowe, celowe i pomoc w naturze oraz składki na ubezpieczenia emerytalne i rentowe</t>
  </si>
  <si>
    <t>Wpływy ze składników majątkowych</t>
  </si>
  <si>
    <t>Wpłaty na Państwowy Fundusz Rehabilitacji Osób Niepełnosporawnych</t>
  </si>
  <si>
    <t>Rehabilitacja zawodowa i społeczna osób niepełnosprawnych</t>
  </si>
  <si>
    <r>
      <t>4)</t>
    </r>
    <r>
      <rPr>
        <i/>
        <sz val="9"/>
        <rFont val="Times New Roman"/>
        <family val="1"/>
        <charset val="238"/>
      </rPr>
      <t xml:space="preserve"> </t>
    </r>
    <r>
      <rPr>
        <i/>
        <sz val="9"/>
        <rFont val="Arial"/>
        <family val="2"/>
        <charset val="238"/>
      </rPr>
      <t>obsługę długu – odsetki od kredytów i pożyczek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</si>
</sst>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??,???,??0.00"/>
    <numFmt numFmtId="165" formatCode="?,???,??0.00"/>
    <numFmt numFmtId="166" formatCode="???,??0.00"/>
  </numFmts>
  <fonts count="4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.5"/>
      <name val="Arial"/>
      <family val="2"/>
      <charset val="238"/>
    </font>
    <font>
      <sz val="7.5"/>
      <name val="Arial"/>
      <family val="2"/>
      <charset val="238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sz val="8.25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8.5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 CE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9"/>
      <color indexed="8"/>
      <name val="Arial CE"/>
      <charset val="238"/>
    </font>
    <font>
      <i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.5"/>
      <color theme="1"/>
      <name val="Arial"/>
      <family val="2"/>
      <charset val="238"/>
    </font>
    <font>
      <sz val="8"/>
      <name val="Arial"/>
      <family val="2"/>
      <charset val="238"/>
    </font>
    <font>
      <sz val="8.5"/>
      <color rgb="FF222222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indexed="8"/>
      <name val="Arial CE"/>
      <charset val="238"/>
    </font>
    <font>
      <i/>
      <sz val="8"/>
      <color indexed="8"/>
      <name val="Arial CE"/>
      <charset val="238"/>
    </font>
    <font>
      <i/>
      <sz val="8"/>
      <name val="Arial"/>
      <family val="2"/>
      <charset val="238"/>
    </font>
    <font>
      <sz val="9"/>
      <color indexed="8"/>
      <name val="Arial CE"/>
      <charset val="238"/>
    </font>
    <font>
      <i/>
      <sz val="9"/>
      <name val="Times New Roman"/>
      <family val="1"/>
      <charset val="238"/>
    </font>
    <font>
      <i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indexed="13"/>
        <bgColor indexed="34"/>
      </patternFill>
    </fill>
  </fills>
  <borders count="15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</xf>
    <xf numFmtId="0" fontId="20" fillId="0" borderId="0"/>
    <xf numFmtId="0" fontId="20" fillId="9" borderId="0" applyNumberFormat="0" applyBorder="0" applyAlignment="0" applyProtection="0"/>
    <xf numFmtId="0" fontId="27" fillId="0" borderId="0"/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8" fillId="0" borderId="0"/>
    <xf numFmtId="0" fontId="20" fillId="0" borderId="0"/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9" fillId="0" borderId="0"/>
    <xf numFmtId="0" fontId="20" fillId="0" borderId="0"/>
  </cellStyleXfs>
  <cellXfs count="721">
    <xf numFmtId="0" fontId="0" fillId="0" borderId="0" xfId="0"/>
    <xf numFmtId="43" fontId="0" fillId="0" borderId="0" xfId="1" applyFont="1" applyAlignment="1">
      <alignment vertical="top" wrapText="1"/>
    </xf>
    <xf numFmtId="0" fontId="3" fillId="0" borderId="0" xfId="2" applyNumberFormat="1" applyFont="1" applyFill="1" applyBorder="1" applyAlignment="1" applyProtection="1">
      <alignment horizontal="left"/>
      <protection locked="0"/>
    </xf>
    <xf numFmtId="43" fontId="4" fillId="0" borderId="0" xfId="1" applyFont="1" applyBorder="1" applyAlignment="1">
      <alignment vertical="top" wrapText="1"/>
    </xf>
    <xf numFmtId="49" fontId="6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7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" fontId="9" fillId="0" borderId="3" xfId="1" applyNumberFormat="1" applyFont="1" applyBorder="1" applyAlignment="1">
      <alignment horizontal="center" vertical="center" wrapText="1"/>
    </xf>
    <xf numFmtId="4" fontId="10" fillId="0" borderId="4" xfId="1" applyNumberFormat="1" applyFont="1" applyBorder="1" applyAlignment="1">
      <alignment horizontal="center" vertical="center" wrapText="1"/>
    </xf>
    <xf numFmtId="43" fontId="11" fillId="0" borderId="6" xfId="1" applyFont="1" applyBorder="1" applyAlignment="1">
      <alignment horizontal="center" vertical="center" wrapText="1"/>
    </xf>
    <xf numFmtId="49" fontId="12" fillId="3" borderId="1" xfId="2" applyNumberFormat="1" applyFont="1" applyFill="1" applyBorder="1" applyAlignment="1" applyProtection="1">
      <alignment horizontal="center" vertical="center" wrapText="1"/>
      <protection locked="0"/>
    </xf>
    <xf numFmtId="49" fontId="12" fillId="3" borderId="1" xfId="2" applyNumberFormat="1" applyFont="1" applyFill="1" applyBorder="1" applyAlignment="1" applyProtection="1">
      <alignment horizontal="left" vertical="center" wrapText="1"/>
      <protection locked="0"/>
    </xf>
    <xf numFmtId="4" fontId="12" fillId="3" borderId="7" xfId="2" applyNumberFormat="1" applyFont="1" applyFill="1" applyBorder="1" applyAlignment="1" applyProtection="1">
      <alignment horizontal="right" vertical="center" wrapText="1"/>
      <protection locked="0"/>
    </xf>
    <xf numFmtId="10" fontId="12" fillId="3" borderId="7" xfId="2" applyNumberFormat="1" applyFont="1" applyFill="1" applyBorder="1" applyAlignment="1" applyProtection="1">
      <alignment horizontal="right" vertical="center" wrapText="1"/>
      <protection locked="0"/>
    </xf>
    <xf numFmtId="4" fontId="12" fillId="3" borderId="8" xfId="2" applyNumberFormat="1" applyFont="1" applyFill="1" applyBorder="1" applyAlignment="1" applyProtection="1">
      <alignment horizontal="right" vertical="center" wrapText="1"/>
      <protection locked="0"/>
    </xf>
    <xf numFmtId="49" fontId="14" fillId="4" borderId="1" xfId="2" applyNumberFormat="1" applyFont="1" applyFill="1" applyBorder="1" applyAlignment="1" applyProtection="1">
      <alignment horizontal="center" vertical="center" wrapText="1"/>
      <protection locked="0"/>
    </xf>
    <xf numFmtId="49" fontId="13" fillId="4" borderId="1" xfId="2" applyNumberFormat="1" applyFont="1" applyFill="1" applyBorder="1" applyAlignment="1" applyProtection="1">
      <alignment horizontal="center" vertical="center" wrapText="1"/>
      <protection locked="0"/>
    </xf>
    <xf numFmtId="49" fontId="14" fillId="4" borderId="1" xfId="2" applyNumberFormat="1" applyFont="1" applyFill="1" applyBorder="1" applyAlignment="1" applyProtection="1">
      <alignment horizontal="left" vertical="center" wrapText="1"/>
      <protection locked="0"/>
    </xf>
    <xf numFmtId="4" fontId="14" fillId="4" borderId="7" xfId="2" applyNumberFormat="1" applyFont="1" applyFill="1" applyBorder="1" applyAlignment="1" applyProtection="1">
      <alignment horizontal="right" vertical="center" wrapText="1"/>
      <protection locked="0"/>
    </xf>
    <xf numFmtId="10" fontId="14" fillId="4" borderId="7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8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9" xfId="2" applyNumberFormat="1" applyFont="1" applyFill="1" applyBorder="1" applyAlignment="1" applyProtection="1">
      <alignment horizontal="right" vertical="center" wrapText="1"/>
      <protection locked="0"/>
    </xf>
    <xf numFmtId="49" fontId="14" fillId="2" borderId="10" xfId="2" applyNumberFormat="1" applyFont="1" applyFill="1" applyBorder="1" applyAlignment="1" applyProtection="1">
      <alignment horizontal="center" vertical="center" wrapText="1"/>
      <protection locked="0"/>
    </xf>
    <xf numFmtId="49" fontId="14" fillId="2" borderId="1" xfId="2" applyNumberFormat="1" applyFont="1" applyFill="1" applyBorder="1" applyAlignment="1" applyProtection="1">
      <alignment horizontal="center" vertical="center" wrapText="1"/>
      <protection locked="0"/>
    </xf>
    <xf numFmtId="49" fontId="14" fillId="2" borderId="1" xfId="2" applyNumberFormat="1" applyFont="1" applyFill="1" applyBorder="1" applyAlignment="1" applyProtection="1">
      <alignment horizontal="left" vertical="center" wrapText="1"/>
      <protection locked="0"/>
    </xf>
    <xf numFmtId="4" fontId="14" fillId="2" borderId="7" xfId="2" applyNumberFormat="1" applyFont="1" applyFill="1" applyBorder="1" applyAlignment="1" applyProtection="1">
      <alignment horizontal="right" vertical="center" wrapText="1"/>
      <protection locked="0"/>
    </xf>
    <xf numFmtId="4" fontId="15" fillId="0" borderId="2" xfId="2" applyNumberFormat="1" applyFont="1" applyFill="1" applyBorder="1" applyAlignment="1" applyProtection="1">
      <alignment horizontal="right" vertical="center"/>
      <protection locked="0"/>
    </xf>
    <xf numFmtId="10" fontId="15" fillId="0" borderId="2" xfId="2" applyNumberFormat="1" applyFont="1" applyFill="1" applyBorder="1" applyAlignment="1" applyProtection="1">
      <alignment horizontal="right" vertical="center"/>
      <protection locked="0"/>
    </xf>
    <xf numFmtId="4" fontId="15" fillId="0" borderId="3" xfId="2" applyNumberFormat="1" applyFont="1" applyFill="1" applyBorder="1" applyAlignment="1" applyProtection="1">
      <alignment horizontal="right" vertical="center"/>
      <protection locked="0"/>
    </xf>
    <xf numFmtId="4" fontId="15" fillId="0" borderId="11" xfId="2" applyNumberFormat="1" applyFont="1" applyFill="1" applyBorder="1" applyAlignment="1" applyProtection="1">
      <alignment horizontal="right" vertical="center"/>
      <protection locked="0"/>
    </xf>
    <xf numFmtId="4" fontId="15" fillId="0" borderId="12" xfId="2" applyNumberFormat="1" applyFont="1" applyFill="1" applyBorder="1" applyAlignment="1" applyProtection="1">
      <alignment horizontal="right" vertical="center"/>
      <protection locked="0"/>
    </xf>
    <xf numFmtId="10" fontId="15" fillId="0" borderId="6" xfId="2" applyNumberFormat="1" applyFont="1" applyFill="1" applyBorder="1" applyAlignment="1" applyProtection="1">
      <alignment horizontal="right" vertical="center"/>
      <protection locked="0"/>
    </xf>
    <xf numFmtId="4" fontId="14" fillId="4" borderId="4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13" xfId="2" applyNumberFormat="1" applyFont="1" applyFill="1" applyBorder="1" applyAlignment="1" applyProtection="1">
      <alignment horizontal="right" vertical="center" wrapText="1"/>
      <protection locked="0"/>
    </xf>
    <xf numFmtId="10" fontId="15" fillId="5" borderId="6" xfId="2" applyNumberFormat="1" applyFont="1" applyFill="1" applyBorder="1" applyAlignment="1" applyProtection="1">
      <alignment horizontal="right" vertical="center"/>
      <protection locked="0"/>
    </xf>
    <xf numFmtId="49" fontId="14" fillId="2" borderId="1" xfId="2" quotePrefix="1" applyNumberFormat="1" applyFont="1" applyFill="1" applyBorder="1" applyAlignment="1" applyProtection="1">
      <alignment horizontal="center" vertical="center" wrapText="1"/>
      <protection locked="0"/>
    </xf>
    <xf numFmtId="10" fontId="15" fillId="6" borderId="6" xfId="2" applyNumberFormat="1" applyFont="1" applyFill="1" applyBorder="1" applyAlignment="1" applyProtection="1">
      <alignment horizontal="right" vertical="center"/>
      <protection locked="0"/>
    </xf>
    <xf numFmtId="10" fontId="16" fillId="7" borderId="6" xfId="2" applyNumberFormat="1" applyFont="1" applyFill="1" applyBorder="1" applyAlignment="1" applyProtection="1">
      <alignment horizontal="right" vertical="center"/>
      <protection locked="0"/>
    </xf>
    <xf numFmtId="49" fontId="14" fillId="4" borderId="1" xfId="2" quotePrefix="1" applyNumberFormat="1" applyFont="1" applyFill="1" applyBorder="1" applyAlignment="1" applyProtection="1">
      <alignment horizontal="center" vertical="center" wrapText="1"/>
      <protection locked="0"/>
    </xf>
    <xf numFmtId="49" fontId="17" fillId="3" borderId="1" xfId="2" applyNumberFormat="1" applyFont="1" applyFill="1" applyBorder="1" applyAlignment="1" applyProtection="1">
      <alignment horizontal="center" vertical="center" wrapText="1"/>
      <protection locked="0"/>
    </xf>
    <xf numFmtId="49" fontId="17" fillId="3" borderId="1" xfId="2" applyNumberFormat="1" applyFont="1" applyFill="1" applyBorder="1" applyAlignment="1" applyProtection="1">
      <alignment horizontal="left" vertical="center" wrapText="1"/>
      <protection locked="0"/>
    </xf>
    <xf numFmtId="4" fontId="17" fillId="3" borderId="7" xfId="2" applyNumberFormat="1" applyFont="1" applyFill="1" applyBorder="1" applyAlignment="1" applyProtection="1">
      <alignment horizontal="right" vertical="center" wrapText="1"/>
      <protection locked="0"/>
    </xf>
    <xf numFmtId="10" fontId="17" fillId="3" borderId="7" xfId="2" applyNumberFormat="1" applyFont="1" applyFill="1" applyBorder="1" applyAlignment="1" applyProtection="1">
      <alignment horizontal="right" vertical="center" wrapText="1"/>
      <protection locked="0"/>
    </xf>
    <xf numFmtId="4" fontId="17" fillId="3" borderId="8" xfId="2" applyNumberFormat="1" applyFont="1" applyFill="1" applyBorder="1" applyAlignment="1" applyProtection="1">
      <alignment horizontal="right" vertical="center" wrapText="1"/>
      <protection locked="0"/>
    </xf>
    <xf numFmtId="4" fontId="14" fillId="2" borderId="14" xfId="2" applyNumberFormat="1" applyFont="1" applyFill="1" applyBorder="1" applyAlignment="1" applyProtection="1">
      <alignment horizontal="right" vertical="center" wrapText="1"/>
      <protection locked="0"/>
    </xf>
    <xf numFmtId="4" fontId="15" fillId="0" borderId="15" xfId="2" applyNumberFormat="1" applyFont="1" applyFill="1" applyBorder="1" applyAlignment="1" applyProtection="1">
      <alignment horizontal="right" vertical="center"/>
      <protection locked="0"/>
    </xf>
    <xf numFmtId="10" fontId="15" fillId="0" borderId="15" xfId="2" applyNumberFormat="1" applyFont="1" applyFill="1" applyBorder="1" applyAlignment="1" applyProtection="1">
      <alignment horizontal="right" vertical="center"/>
      <protection locked="0"/>
    </xf>
    <xf numFmtId="4" fontId="15" fillId="0" borderId="16" xfId="2" applyNumberFormat="1" applyFont="1" applyFill="1" applyBorder="1" applyAlignment="1" applyProtection="1">
      <alignment horizontal="right" vertical="center"/>
      <protection locked="0"/>
    </xf>
    <xf numFmtId="4" fontId="15" fillId="0" borderId="17" xfId="2" applyNumberFormat="1" applyFont="1" applyFill="1" applyBorder="1" applyAlignment="1" applyProtection="1">
      <alignment horizontal="right" vertical="center"/>
      <protection locked="0"/>
    </xf>
    <xf numFmtId="49" fontId="14" fillId="2" borderId="7" xfId="2" applyNumberFormat="1" applyFont="1" applyFill="1" applyBorder="1" applyAlignment="1" applyProtection="1">
      <alignment horizontal="left" vertical="center" wrapText="1"/>
      <protection locked="0"/>
    </xf>
    <xf numFmtId="4" fontId="14" fillId="2" borderId="2" xfId="2" applyNumberFormat="1" applyFont="1" applyFill="1" applyBorder="1" applyAlignment="1" applyProtection="1">
      <alignment horizontal="right" vertical="center" wrapText="1"/>
      <protection locked="0"/>
    </xf>
    <xf numFmtId="4" fontId="17" fillId="3" borderId="19" xfId="2" applyNumberFormat="1" applyFont="1" applyFill="1" applyBorder="1" applyAlignment="1" applyProtection="1">
      <alignment horizontal="right" vertical="center" wrapText="1"/>
      <protection locked="0"/>
    </xf>
    <xf numFmtId="10" fontId="17" fillId="3" borderId="19" xfId="2" applyNumberFormat="1" applyFont="1" applyFill="1" applyBorder="1" applyAlignment="1" applyProtection="1">
      <alignment horizontal="right" vertical="center" wrapText="1"/>
      <protection locked="0"/>
    </xf>
    <xf numFmtId="4" fontId="17" fillId="3" borderId="20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19" xfId="2" applyNumberFormat="1" applyFont="1" applyFill="1" applyBorder="1" applyAlignment="1" applyProtection="1">
      <alignment horizontal="right" vertical="center" wrapText="1"/>
      <protection locked="0"/>
    </xf>
    <xf numFmtId="10" fontId="14" fillId="4" borderId="19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20" xfId="2" applyNumberFormat="1" applyFont="1" applyFill="1" applyBorder="1" applyAlignment="1" applyProtection="1">
      <alignment horizontal="right" vertical="center" wrapText="1"/>
      <protection locked="0"/>
    </xf>
    <xf numFmtId="4" fontId="15" fillId="4" borderId="7" xfId="2" applyNumberFormat="1" applyFont="1" applyFill="1" applyBorder="1" applyAlignment="1" applyProtection="1">
      <alignment horizontal="right" vertical="center" wrapText="1"/>
      <protection locked="0"/>
    </xf>
    <xf numFmtId="10" fontId="15" fillId="4" borderId="7" xfId="2" applyNumberFormat="1" applyFont="1" applyFill="1" applyBorder="1" applyAlignment="1" applyProtection="1">
      <alignment horizontal="right" vertical="center" wrapText="1"/>
      <protection locked="0"/>
    </xf>
    <xf numFmtId="4" fontId="15" fillId="4" borderId="8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14" xfId="2" applyNumberFormat="1" applyFont="1" applyFill="1" applyBorder="1" applyAlignment="1" applyProtection="1">
      <alignment horizontal="right" vertical="center" wrapText="1"/>
      <protection locked="0"/>
    </xf>
    <xf numFmtId="10" fontId="15" fillId="4" borderId="14" xfId="2" applyNumberFormat="1" applyFont="1" applyFill="1" applyBorder="1" applyAlignment="1" applyProtection="1">
      <alignment horizontal="right" vertical="center" wrapText="1"/>
      <protection locked="0"/>
    </xf>
    <xf numFmtId="4" fontId="15" fillId="4" borderId="14" xfId="2" applyNumberFormat="1" applyFont="1" applyFill="1" applyBorder="1" applyAlignment="1" applyProtection="1">
      <alignment horizontal="right" vertical="center" wrapText="1"/>
      <protection locked="0"/>
    </xf>
    <xf numFmtId="4" fontId="15" fillId="4" borderId="21" xfId="2" applyNumberFormat="1" applyFont="1" applyFill="1" applyBorder="1" applyAlignment="1" applyProtection="1">
      <alignment horizontal="right" vertical="center" wrapText="1"/>
      <protection locked="0"/>
    </xf>
    <xf numFmtId="49" fontId="14" fillId="8" borderId="10" xfId="2" applyNumberFormat="1" applyFont="1" applyFill="1" applyBorder="1" applyAlignment="1" applyProtection="1">
      <alignment horizontal="center" vertical="center" wrapText="1"/>
      <protection locked="0"/>
    </xf>
    <xf numFmtId="49" fontId="15" fillId="8" borderId="1" xfId="2" quotePrefix="1" applyNumberFormat="1" applyFont="1" applyFill="1" applyBorder="1" applyAlignment="1" applyProtection="1">
      <alignment horizontal="center" vertical="center" wrapText="1"/>
      <protection locked="0"/>
    </xf>
    <xf numFmtId="4" fontId="14" fillId="8" borderId="2" xfId="2" applyNumberFormat="1" applyFont="1" applyFill="1" applyBorder="1" applyAlignment="1" applyProtection="1">
      <alignment horizontal="right" vertical="center" wrapText="1"/>
      <protection locked="0"/>
    </xf>
    <xf numFmtId="4" fontId="15" fillId="8" borderId="2" xfId="2" applyNumberFormat="1" applyFont="1" applyFill="1" applyBorder="1" applyAlignment="1" applyProtection="1">
      <alignment horizontal="right" vertical="center" wrapText="1"/>
      <protection locked="0"/>
    </xf>
    <xf numFmtId="10" fontId="15" fillId="8" borderId="2" xfId="2" applyNumberFormat="1" applyFont="1" applyFill="1" applyBorder="1" applyAlignment="1" applyProtection="1">
      <alignment horizontal="right" vertical="center" wrapText="1"/>
      <protection locked="0"/>
    </xf>
    <xf numFmtId="4" fontId="15" fillId="8" borderId="3" xfId="2" applyNumberFormat="1" applyFont="1" applyFill="1" applyBorder="1" applyAlignment="1" applyProtection="1">
      <alignment horizontal="right" vertical="center" wrapText="1"/>
      <protection locked="0"/>
    </xf>
    <xf numFmtId="4" fontId="15" fillId="8" borderId="11" xfId="2" applyNumberFormat="1" applyFont="1" applyFill="1" applyBorder="1" applyAlignment="1" applyProtection="1">
      <alignment horizontal="right" vertical="center" wrapText="1"/>
      <protection locked="0"/>
    </xf>
    <xf numFmtId="0" fontId="3" fillId="6" borderId="0" xfId="2" applyNumberFormat="1" applyFont="1" applyFill="1" applyBorder="1" applyAlignment="1" applyProtection="1">
      <alignment horizontal="left"/>
      <protection locked="0"/>
    </xf>
    <xf numFmtId="4" fontId="14" fillId="2" borderId="19" xfId="2" applyNumberFormat="1" applyFont="1" applyFill="1" applyBorder="1" applyAlignment="1" applyProtection="1">
      <alignment horizontal="right" vertical="center" wrapText="1"/>
      <protection locked="0"/>
    </xf>
    <xf numFmtId="4" fontId="15" fillId="0" borderId="22" xfId="2" applyNumberFormat="1" applyFont="1" applyFill="1" applyBorder="1" applyAlignment="1" applyProtection="1">
      <alignment horizontal="right" vertical="center"/>
      <protection locked="0"/>
    </xf>
    <xf numFmtId="10" fontId="15" fillId="0" borderId="22" xfId="2" applyNumberFormat="1" applyFont="1" applyFill="1" applyBorder="1" applyAlignment="1" applyProtection="1">
      <alignment horizontal="right" vertical="center"/>
      <protection locked="0"/>
    </xf>
    <xf numFmtId="4" fontId="15" fillId="0" borderId="23" xfId="2" applyNumberFormat="1" applyFont="1" applyFill="1" applyBorder="1" applyAlignment="1" applyProtection="1">
      <alignment horizontal="right" vertical="center"/>
      <protection locked="0"/>
    </xf>
    <xf numFmtId="4" fontId="15" fillId="0" borderId="24" xfId="2" applyNumberFormat="1" applyFont="1" applyFill="1" applyBorder="1" applyAlignment="1" applyProtection="1">
      <alignment horizontal="right" vertical="center"/>
      <protection locked="0"/>
    </xf>
    <xf numFmtId="4" fontId="16" fillId="3" borderId="7" xfId="2" applyNumberFormat="1" applyFont="1" applyFill="1" applyBorder="1" applyAlignment="1" applyProtection="1">
      <alignment horizontal="right" vertical="center" wrapText="1"/>
      <protection locked="0"/>
    </xf>
    <xf numFmtId="10" fontId="16" fillId="3" borderId="7" xfId="2" applyNumberFormat="1" applyFont="1" applyFill="1" applyBorder="1" applyAlignment="1" applyProtection="1">
      <alignment horizontal="right" vertical="center" wrapText="1"/>
      <protection locked="0"/>
    </xf>
    <xf numFmtId="4" fontId="16" fillId="3" borderId="8" xfId="2" applyNumberFormat="1" applyFont="1" applyFill="1" applyBorder="1" applyAlignment="1" applyProtection="1">
      <alignment horizontal="right" vertical="center" wrapText="1"/>
      <protection locked="0"/>
    </xf>
    <xf numFmtId="10" fontId="14" fillId="4" borderId="14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21" xfId="2" applyNumberFormat="1" applyFont="1" applyFill="1" applyBorder="1" applyAlignment="1" applyProtection="1">
      <alignment horizontal="right" vertical="center" wrapText="1"/>
      <protection locked="0"/>
    </xf>
    <xf numFmtId="10" fontId="14" fillId="8" borderId="2" xfId="2" applyNumberFormat="1" applyFont="1" applyFill="1" applyBorder="1" applyAlignment="1" applyProtection="1">
      <alignment horizontal="right" vertical="center" wrapText="1"/>
      <protection locked="0"/>
    </xf>
    <xf numFmtId="4" fontId="14" fillId="8" borderId="3" xfId="2" applyNumberFormat="1" applyFont="1" applyFill="1" applyBorder="1" applyAlignment="1" applyProtection="1">
      <alignment horizontal="right" vertical="center" wrapText="1"/>
      <protection locked="0"/>
    </xf>
    <xf numFmtId="4" fontId="14" fillId="8" borderId="11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24" xfId="2" applyNumberFormat="1" applyFont="1" applyFill="1" applyBorder="1" applyAlignment="1" applyProtection="1">
      <alignment horizontal="right" vertical="center"/>
      <protection locked="0"/>
    </xf>
    <xf numFmtId="4" fontId="2" fillId="0" borderId="22" xfId="2" applyNumberFormat="1" applyFont="1" applyFill="1" applyBorder="1" applyAlignment="1" applyProtection="1">
      <alignment horizontal="right" vertical="center"/>
      <protection locked="0"/>
    </xf>
    <xf numFmtId="4" fontId="3" fillId="0" borderId="11" xfId="2" applyNumberFormat="1" applyFont="1" applyFill="1" applyBorder="1" applyAlignment="1" applyProtection="1">
      <alignment horizontal="left"/>
      <protection locked="0"/>
    </xf>
    <xf numFmtId="4" fontId="14" fillId="4" borderId="7" xfId="2" applyNumberFormat="1" applyFont="1" applyFill="1" applyBorder="1" applyAlignment="1" applyProtection="1">
      <alignment vertical="center" wrapText="1"/>
      <protection locked="0"/>
    </xf>
    <xf numFmtId="10" fontId="14" fillId="4" borderId="7" xfId="2" applyNumberFormat="1" applyFont="1" applyFill="1" applyBorder="1" applyAlignment="1" applyProtection="1">
      <alignment vertical="center" wrapText="1"/>
      <protection locked="0"/>
    </xf>
    <xf numFmtId="4" fontId="14" fillId="4" borderId="8" xfId="2" applyNumberFormat="1" applyFont="1" applyFill="1" applyBorder="1" applyAlignment="1" applyProtection="1">
      <alignment vertical="center" wrapText="1"/>
      <protection locked="0"/>
    </xf>
    <xf numFmtId="49" fontId="14" fillId="2" borderId="25" xfId="2" applyNumberFormat="1" applyFont="1" applyFill="1" applyBorder="1" applyAlignment="1" applyProtection="1">
      <alignment horizontal="center" vertical="center" wrapText="1"/>
      <protection locked="0"/>
    </xf>
    <xf numFmtId="49" fontId="14" fillId="2" borderId="25" xfId="2" applyNumberFormat="1" applyFont="1" applyFill="1" applyBorder="1" applyAlignment="1" applyProtection="1">
      <alignment horizontal="left" vertical="center" wrapText="1"/>
      <protection locked="0"/>
    </xf>
    <xf numFmtId="49" fontId="14" fillId="4" borderId="2" xfId="2" applyNumberFormat="1" applyFont="1" applyFill="1" applyBorder="1" applyAlignment="1" applyProtection="1">
      <alignment horizontal="center" vertical="center" wrapText="1"/>
      <protection locked="0"/>
    </xf>
    <xf numFmtId="49" fontId="14" fillId="4" borderId="2" xfId="2" applyNumberFormat="1" applyFont="1" applyFill="1" applyBorder="1" applyAlignment="1" applyProtection="1">
      <alignment horizontal="left" vertical="center" wrapText="1"/>
      <protection locked="0"/>
    </xf>
    <xf numFmtId="4" fontId="14" fillId="4" borderId="2" xfId="2" applyNumberFormat="1" applyFont="1" applyFill="1" applyBorder="1" applyAlignment="1" applyProtection="1">
      <alignment horizontal="right" vertical="center" wrapText="1"/>
      <protection locked="0"/>
    </xf>
    <xf numFmtId="10" fontId="15" fillId="5" borderId="2" xfId="2" applyNumberFormat="1" applyFont="1" applyFill="1" applyBorder="1" applyAlignment="1" applyProtection="1">
      <alignment horizontal="right" vertical="center"/>
      <protection locked="0"/>
    </xf>
    <xf numFmtId="4" fontId="15" fillId="5" borderId="3" xfId="2" applyNumberFormat="1" applyFont="1" applyFill="1" applyBorder="1" applyAlignment="1" applyProtection="1">
      <alignment horizontal="right" vertical="center"/>
      <protection locked="0"/>
    </xf>
    <xf numFmtId="4" fontId="15" fillId="5" borderId="4" xfId="2" applyNumberFormat="1" applyFont="1" applyFill="1" applyBorder="1" applyAlignment="1" applyProtection="1">
      <alignment horizontal="right" vertical="center"/>
      <protection locked="0"/>
    </xf>
    <xf numFmtId="49" fontId="14" fillId="2" borderId="27" xfId="2" applyNumberFormat="1" applyFont="1" applyFill="1" applyBorder="1" applyAlignment="1" applyProtection="1">
      <alignment horizontal="center" vertical="center" wrapText="1"/>
      <protection locked="0"/>
    </xf>
    <xf numFmtId="10" fontId="15" fillId="4" borderId="19" xfId="2" applyNumberFormat="1" applyFont="1" applyFill="1" applyBorder="1" applyAlignment="1" applyProtection="1">
      <alignment horizontal="right" vertical="center" wrapText="1"/>
      <protection locked="0"/>
    </xf>
    <xf numFmtId="4" fontId="15" fillId="4" borderId="19" xfId="2" applyNumberFormat="1" applyFont="1" applyFill="1" applyBorder="1" applyAlignment="1" applyProtection="1">
      <alignment horizontal="right" vertical="center" wrapText="1"/>
      <protection locked="0"/>
    </xf>
    <xf numFmtId="4" fontId="15" fillId="4" borderId="20" xfId="2" applyNumberFormat="1" applyFont="1" applyFill="1" applyBorder="1" applyAlignment="1" applyProtection="1">
      <alignment horizontal="right" vertical="center" wrapText="1"/>
      <protection locked="0"/>
    </xf>
    <xf numFmtId="49" fontId="14" fillId="2" borderId="14" xfId="2" applyNumberFormat="1" applyFont="1" applyFill="1" applyBorder="1" applyAlignment="1" applyProtection="1">
      <alignment horizontal="left" vertical="center" wrapText="1"/>
      <protection locked="0"/>
    </xf>
    <xf numFmtId="4" fontId="17" fillId="3" borderId="19" xfId="2" applyNumberFormat="1" applyFont="1" applyFill="1" applyBorder="1" applyAlignment="1" applyProtection="1">
      <alignment vertical="center" wrapText="1"/>
      <protection locked="0"/>
    </xf>
    <xf numFmtId="10" fontId="17" fillId="3" borderId="19" xfId="2" applyNumberFormat="1" applyFont="1" applyFill="1" applyBorder="1" applyAlignment="1" applyProtection="1">
      <alignment vertical="center" wrapText="1"/>
      <protection locked="0"/>
    </xf>
    <xf numFmtId="4" fontId="17" fillId="3" borderId="20" xfId="2" applyNumberFormat="1" applyFont="1" applyFill="1" applyBorder="1" applyAlignment="1" applyProtection="1">
      <alignment vertical="center" wrapText="1"/>
      <protection locked="0"/>
    </xf>
    <xf numFmtId="49" fontId="17" fillId="3" borderId="2" xfId="2" applyNumberFormat="1" applyFont="1" applyFill="1" applyBorder="1" applyAlignment="1" applyProtection="1">
      <alignment horizontal="center" vertical="center" wrapText="1"/>
      <protection locked="0"/>
    </xf>
    <xf numFmtId="49" fontId="17" fillId="3" borderId="2" xfId="2" applyNumberFormat="1" applyFont="1" applyFill="1" applyBorder="1" applyAlignment="1" applyProtection="1">
      <alignment horizontal="left" vertical="center" wrapText="1"/>
      <protection locked="0"/>
    </xf>
    <xf numFmtId="4" fontId="17" fillId="3" borderId="2" xfId="2" applyNumberFormat="1" applyFont="1" applyFill="1" applyBorder="1" applyAlignment="1" applyProtection="1">
      <alignment horizontal="right" vertical="center" wrapText="1"/>
      <protection locked="0"/>
    </xf>
    <xf numFmtId="10" fontId="17" fillId="3" borderId="2" xfId="2" applyNumberFormat="1" applyFont="1" applyFill="1" applyBorder="1" applyAlignment="1" applyProtection="1">
      <alignment horizontal="right" vertical="center" wrapText="1"/>
      <protection locked="0"/>
    </xf>
    <xf numFmtId="4" fontId="17" fillId="3" borderId="3" xfId="2" applyNumberFormat="1" applyFont="1" applyFill="1" applyBorder="1" applyAlignment="1" applyProtection="1">
      <alignment horizontal="right" vertical="center" wrapText="1"/>
      <protection locked="0"/>
    </xf>
    <xf numFmtId="4" fontId="17" fillId="3" borderId="11" xfId="2" applyNumberFormat="1" applyFont="1" applyFill="1" applyBorder="1" applyAlignment="1" applyProtection="1">
      <alignment horizontal="right" vertical="center" wrapText="1"/>
      <protection locked="0"/>
    </xf>
    <xf numFmtId="10" fontId="14" fillId="4" borderId="2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3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11" xfId="2" applyNumberFormat="1" applyFont="1" applyFill="1" applyBorder="1" applyAlignment="1" applyProtection="1">
      <alignment horizontal="right" vertical="center" wrapText="1"/>
      <protection locked="0"/>
    </xf>
    <xf numFmtId="49" fontId="14" fillId="2" borderId="2" xfId="2" applyNumberFormat="1" applyFont="1" applyFill="1" applyBorder="1" applyAlignment="1" applyProtection="1">
      <alignment horizontal="center" vertical="center" wrapText="1"/>
      <protection locked="0"/>
    </xf>
    <xf numFmtId="4" fontId="15" fillId="2" borderId="2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30" xfId="2" applyNumberFormat="1" applyFont="1" applyFill="1" applyBorder="1" applyAlignment="1" applyProtection="1">
      <alignment horizontal="right" vertical="center" wrapText="1"/>
      <protection locked="0"/>
    </xf>
    <xf numFmtId="49" fontId="14" fillId="2" borderId="32" xfId="2" applyNumberFormat="1" applyFont="1" applyFill="1" applyBorder="1" applyAlignment="1" applyProtection="1">
      <alignment horizontal="center" vertical="center" wrapText="1"/>
      <protection locked="0"/>
    </xf>
    <xf numFmtId="4" fontId="14" fillId="2" borderId="0" xfId="2" applyNumberFormat="1" applyFont="1" applyFill="1" applyBorder="1" applyAlignment="1" applyProtection="1">
      <alignment horizontal="right" vertical="center" wrapText="1"/>
      <protection locked="0"/>
    </xf>
    <xf numFmtId="49" fontId="14" fillId="2" borderId="2" xfId="2" applyNumberFormat="1" applyFont="1" applyFill="1" applyBorder="1" applyAlignment="1" applyProtection="1">
      <alignment horizontal="left" vertical="center" wrapText="1"/>
      <protection locked="0"/>
    </xf>
    <xf numFmtId="49" fontId="14" fillId="8" borderId="2" xfId="2" applyNumberFormat="1" applyFont="1" applyFill="1" applyBorder="1" applyAlignment="1" applyProtection="1">
      <alignment horizontal="center" vertical="center" wrapText="1"/>
      <protection locked="0"/>
    </xf>
    <xf numFmtId="49" fontId="14" fillId="8" borderId="2" xfId="2" applyNumberFormat="1" applyFont="1" applyFill="1" applyBorder="1" applyAlignment="1" applyProtection="1">
      <alignment horizontal="left" vertical="center" wrapText="1"/>
      <protection locked="0"/>
    </xf>
    <xf numFmtId="4" fontId="15" fillId="6" borderId="2" xfId="2" applyNumberFormat="1" applyFont="1" applyFill="1" applyBorder="1" applyAlignment="1" applyProtection="1">
      <alignment horizontal="right" vertical="center"/>
      <protection locked="0"/>
    </xf>
    <xf numFmtId="10" fontId="15" fillId="6" borderId="2" xfId="2" applyNumberFormat="1" applyFont="1" applyFill="1" applyBorder="1" applyAlignment="1" applyProtection="1">
      <alignment horizontal="right" vertical="center"/>
      <protection locked="0"/>
    </xf>
    <xf numFmtId="4" fontId="15" fillId="6" borderId="3" xfId="2" applyNumberFormat="1" applyFont="1" applyFill="1" applyBorder="1" applyAlignment="1" applyProtection="1">
      <alignment horizontal="right" vertical="center"/>
      <protection locked="0"/>
    </xf>
    <xf numFmtId="4" fontId="15" fillId="6" borderId="11" xfId="2" applyNumberFormat="1" applyFont="1" applyFill="1" applyBorder="1" applyAlignment="1" applyProtection="1">
      <alignment horizontal="right" vertical="center"/>
      <protection locked="0"/>
    </xf>
    <xf numFmtId="49" fontId="17" fillId="3" borderId="27" xfId="2" applyNumberFormat="1" applyFont="1" applyFill="1" applyBorder="1" applyAlignment="1" applyProtection="1">
      <alignment horizontal="center" vertical="center" wrapText="1"/>
      <protection locked="0"/>
    </xf>
    <xf numFmtId="49" fontId="17" fillId="3" borderId="27" xfId="2" applyNumberFormat="1" applyFont="1" applyFill="1" applyBorder="1" applyAlignment="1" applyProtection="1">
      <alignment horizontal="left" vertical="center" wrapText="1"/>
      <protection locked="0"/>
    </xf>
    <xf numFmtId="4" fontId="14" fillId="4" borderId="19" xfId="2" applyNumberFormat="1" applyFont="1" applyFill="1" applyBorder="1" applyAlignment="1" applyProtection="1">
      <alignment vertical="center" wrapText="1"/>
      <protection locked="0"/>
    </xf>
    <xf numFmtId="10" fontId="14" fillId="4" borderId="19" xfId="2" applyNumberFormat="1" applyFont="1" applyFill="1" applyBorder="1" applyAlignment="1" applyProtection="1">
      <alignment vertical="center" wrapText="1"/>
      <protection locked="0"/>
    </xf>
    <xf numFmtId="4" fontId="14" fillId="4" borderId="20" xfId="2" applyNumberFormat="1" applyFont="1" applyFill="1" applyBorder="1" applyAlignment="1" applyProtection="1">
      <alignment vertical="center" wrapText="1"/>
      <protection locked="0"/>
    </xf>
    <xf numFmtId="4" fontId="17" fillId="3" borderId="7" xfId="2" applyNumberFormat="1" applyFont="1" applyFill="1" applyBorder="1" applyAlignment="1" applyProtection="1">
      <alignment vertical="center" wrapText="1"/>
      <protection locked="0"/>
    </xf>
    <xf numFmtId="10" fontId="17" fillId="3" borderId="7" xfId="2" applyNumberFormat="1" applyFont="1" applyFill="1" applyBorder="1" applyAlignment="1" applyProtection="1">
      <alignment vertical="center" wrapText="1"/>
      <protection locked="0"/>
    </xf>
    <xf numFmtId="4" fontId="17" fillId="3" borderId="8" xfId="2" applyNumberFormat="1" applyFont="1" applyFill="1" applyBorder="1" applyAlignment="1" applyProtection="1">
      <alignment vertical="center" wrapText="1"/>
      <protection locked="0"/>
    </xf>
    <xf numFmtId="4" fontId="14" fillId="4" borderId="33" xfId="2" applyNumberFormat="1" applyFont="1" applyFill="1" applyBorder="1" applyAlignment="1" applyProtection="1">
      <alignment vertical="center" wrapText="1"/>
      <protection locked="0"/>
    </xf>
    <xf numFmtId="4" fontId="17" fillId="3" borderId="2" xfId="2" applyNumberFormat="1" applyFont="1" applyFill="1" applyBorder="1" applyAlignment="1" applyProtection="1">
      <alignment vertical="center" wrapText="1"/>
      <protection locked="0"/>
    </xf>
    <xf numFmtId="10" fontId="17" fillId="3" borderId="2" xfId="2" applyNumberFormat="1" applyFont="1" applyFill="1" applyBorder="1" applyAlignment="1" applyProtection="1">
      <alignment vertical="center" wrapText="1"/>
      <protection locked="0"/>
    </xf>
    <xf numFmtId="4" fontId="17" fillId="3" borderId="3" xfId="2" applyNumberFormat="1" applyFont="1" applyFill="1" applyBorder="1" applyAlignment="1" applyProtection="1">
      <alignment vertical="center" wrapText="1"/>
      <protection locked="0"/>
    </xf>
    <xf numFmtId="4" fontId="17" fillId="3" borderId="11" xfId="2" applyNumberFormat="1" applyFont="1" applyFill="1" applyBorder="1" applyAlignment="1" applyProtection="1">
      <alignment vertical="center" wrapText="1"/>
      <protection locked="0"/>
    </xf>
    <xf numFmtId="4" fontId="14" fillId="4" borderId="14" xfId="2" applyNumberFormat="1" applyFont="1" applyFill="1" applyBorder="1" applyAlignment="1" applyProtection="1">
      <alignment vertical="center" wrapText="1"/>
      <protection locked="0"/>
    </xf>
    <xf numFmtId="10" fontId="14" fillId="4" borderId="14" xfId="2" applyNumberFormat="1" applyFont="1" applyFill="1" applyBorder="1" applyAlignment="1" applyProtection="1">
      <alignment vertical="center" wrapText="1"/>
      <protection locked="0"/>
    </xf>
    <xf numFmtId="4" fontId="14" fillId="4" borderId="21" xfId="2" applyNumberFormat="1" applyFont="1" applyFill="1" applyBorder="1" applyAlignment="1" applyProtection="1">
      <alignment vertical="center" wrapText="1"/>
      <protection locked="0"/>
    </xf>
    <xf numFmtId="4" fontId="15" fillId="8" borderId="2" xfId="2" applyNumberFormat="1" applyFont="1" applyFill="1" applyBorder="1" applyAlignment="1" applyProtection="1">
      <alignment vertical="center" wrapText="1"/>
      <protection locked="0"/>
    </xf>
    <xf numFmtId="10" fontId="15" fillId="8" borderId="2" xfId="2" applyNumberFormat="1" applyFont="1" applyFill="1" applyBorder="1" applyAlignment="1" applyProtection="1">
      <alignment vertical="center" wrapText="1"/>
      <protection locked="0"/>
    </xf>
    <xf numFmtId="4" fontId="15" fillId="8" borderId="3" xfId="2" applyNumberFormat="1" applyFont="1" applyFill="1" applyBorder="1" applyAlignment="1" applyProtection="1">
      <alignment vertical="center" wrapText="1"/>
      <protection locked="0"/>
    </xf>
    <xf numFmtId="4" fontId="15" fillId="8" borderId="11" xfId="2" applyNumberFormat="1" applyFont="1" applyFill="1" applyBorder="1" applyAlignment="1" applyProtection="1">
      <alignment vertical="center" wrapText="1"/>
      <protection locked="0"/>
    </xf>
    <xf numFmtId="4" fontId="14" fillId="2" borderId="26" xfId="2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3" applyFont="1" applyBorder="1" applyAlignment="1">
      <alignment horizontal="right" vertical="center" wrapText="1"/>
    </xf>
    <xf numFmtId="164" fontId="21" fillId="0" borderId="0" xfId="3" applyNumberFormat="1" applyFont="1" applyBorder="1" applyAlignment="1">
      <alignment horizontal="right" vertical="center"/>
    </xf>
    <xf numFmtId="0" fontId="0" fillId="0" borderId="0" xfId="3" applyFont="1" applyBorder="1"/>
    <xf numFmtId="0" fontId="0" fillId="0" borderId="37" xfId="3" applyFont="1" applyBorder="1"/>
    <xf numFmtId="0" fontId="4" fillId="0" borderId="38" xfId="3" applyFont="1" applyBorder="1" applyAlignment="1">
      <alignment vertical="center" wrapText="1"/>
    </xf>
    <xf numFmtId="4" fontId="4" fillId="0" borderId="39" xfId="3" applyNumberFormat="1" applyFont="1" applyBorder="1" applyAlignment="1">
      <alignment vertical="center"/>
    </xf>
    <xf numFmtId="10" fontId="4" fillId="0" borderId="39" xfId="3" applyNumberFormat="1" applyFont="1" applyBorder="1" applyAlignment="1">
      <alignment vertical="center"/>
    </xf>
    <xf numFmtId="0" fontId="22" fillId="0" borderId="38" xfId="3" applyFont="1" applyBorder="1" applyAlignment="1">
      <alignment vertical="top" wrapText="1"/>
    </xf>
    <xf numFmtId="4" fontId="22" fillId="0" borderId="39" xfId="3" applyNumberFormat="1" applyFont="1" applyBorder="1"/>
    <xf numFmtId="10" fontId="22" fillId="0" borderId="39" xfId="3" applyNumberFormat="1" applyFont="1" applyBorder="1"/>
    <xf numFmtId="0" fontId="0" fillId="0" borderId="0" xfId="0" applyBorder="1"/>
    <xf numFmtId="10" fontId="22" fillId="0" borderId="39" xfId="0" applyNumberFormat="1" applyFont="1" applyBorder="1"/>
    <xf numFmtId="4" fontId="22" fillId="0" borderId="39" xfId="0" applyNumberFormat="1" applyFont="1" applyBorder="1"/>
    <xf numFmtId="0" fontId="23" fillId="0" borderId="37" xfId="0" applyFont="1" applyBorder="1" applyAlignment="1">
      <alignment horizontal="center" vertical="center"/>
    </xf>
    <xf numFmtId="0" fontId="22" fillId="0" borderId="38" xfId="3" applyFont="1" applyBorder="1" applyAlignment="1">
      <alignment vertical="center" wrapText="1"/>
    </xf>
    <xf numFmtId="165" fontId="22" fillId="0" borderId="39" xfId="0" applyNumberFormat="1" applyFont="1" applyBorder="1" applyAlignment="1">
      <alignment horizontal="right"/>
    </xf>
    <xf numFmtId="10" fontId="22" fillId="0" borderId="39" xfId="0" applyNumberFormat="1" applyFont="1" applyBorder="1" applyAlignment="1">
      <alignment horizontal="right"/>
    </xf>
    <xf numFmtId="166" fontId="22" fillId="0" borderId="39" xfId="0" applyNumberFormat="1" applyFont="1" applyBorder="1" applyAlignment="1">
      <alignment horizontal="right"/>
    </xf>
    <xf numFmtId="4" fontId="22" fillId="0" borderId="39" xfId="0" applyNumberFormat="1" applyFont="1" applyBorder="1" applyAlignment="1">
      <alignment horizontal="right"/>
    </xf>
    <xf numFmtId="0" fontId="23" fillId="0" borderId="37" xfId="0" applyFont="1" applyBorder="1" applyAlignment="1">
      <alignment horizontal="right" vertical="center"/>
    </xf>
    <xf numFmtId="0" fontId="0" fillId="0" borderId="37" xfId="3" applyFont="1" applyBorder="1" applyAlignment="1">
      <alignment vertical="center"/>
    </xf>
    <xf numFmtId="4" fontId="4" fillId="0" borderId="39" xfId="3" applyNumberFormat="1" applyFont="1" applyBorder="1" applyAlignment="1">
      <alignment horizontal="right" vertical="center"/>
    </xf>
    <xf numFmtId="10" fontId="4" fillId="0" borderId="39" xfId="3" applyNumberFormat="1" applyFont="1" applyBorder="1" applyAlignment="1">
      <alignment horizontal="right" vertical="center"/>
    </xf>
    <xf numFmtId="0" fontId="23" fillId="0" borderId="38" xfId="3" applyFont="1" applyBorder="1" applyAlignment="1">
      <alignment vertical="center" wrapText="1"/>
    </xf>
    <xf numFmtId="166" fontId="23" fillId="0" borderId="39" xfId="3" applyNumberFormat="1" applyFont="1" applyBorder="1" applyAlignment="1">
      <alignment horizontal="right"/>
    </xf>
    <xf numFmtId="166" fontId="23" fillId="0" borderId="39" xfId="3" applyNumberFormat="1" applyFont="1" applyBorder="1"/>
    <xf numFmtId="10" fontId="0" fillId="0" borderId="39" xfId="3" applyNumberFormat="1" applyFont="1" applyBorder="1"/>
    <xf numFmtId="0" fontId="23" fillId="0" borderId="37" xfId="0" applyFont="1" applyFill="1" applyBorder="1" applyAlignment="1">
      <alignment horizontal="center" vertical="center"/>
    </xf>
    <xf numFmtId="4" fontId="22" fillId="0" borderId="39" xfId="0" applyNumberFormat="1" applyFont="1" applyBorder="1" applyAlignment="1">
      <alignment horizontal="right" vertical="center"/>
    </xf>
    <xf numFmtId="10" fontId="22" fillId="0" borderId="39" xfId="0" applyNumberFormat="1" applyFont="1" applyBorder="1" applyAlignment="1">
      <alignment horizontal="right" vertical="center"/>
    </xf>
    <xf numFmtId="0" fontId="25" fillId="0" borderId="38" xfId="3" applyFont="1" applyBorder="1" applyAlignment="1">
      <alignment horizontal="left" vertical="center" wrapText="1"/>
    </xf>
    <xf numFmtId="0" fontId="23" fillId="0" borderId="40" xfId="0" applyFont="1" applyBorder="1" applyAlignment="1">
      <alignment horizontal="center" vertical="center"/>
    </xf>
    <xf numFmtId="0" fontId="22" fillId="0" borderId="41" xfId="3" applyFont="1" applyBorder="1" applyAlignment="1">
      <alignment vertical="center" wrapText="1"/>
    </xf>
    <xf numFmtId="4" fontId="22" fillId="0" borderId="42" xfId="0" applyNumberFormat="1" applyFont="1" applyBorder="1" applyAlignment="1">
      <alignment horizontal="right" vertical="center"/>
    </xf>
    <xf numFmtId="10" fontId="22" fillId="0" borderId="42" xfId="0" applyNumberFormat="1" applyFont="1" applyBorder="1" applyAlignment="1">
      <alignment horizontal="right" vertical="center"/>
    </xf>
    <xf numFmtId="0" fontId="26" fillId="0" borderId="37" xfId="2" applyNumberFormat="1" applyFont="1" applyFill="1" applyBorder="1" applyAlignment="1" applyProtection="1">
      <alignment horizontal="center" vertical="center" wrapText="1"/>
      <protection locked="0"/>
    </xf>
    <xf numFmtId="49" fontId="24" fillId="2" borderId="38" xfId="2" applyNumberFormat="1" applyFont="1" applyFill="1" applyBorder="1" applyAlignment="1" applyProtection="1">
      <alignment horizontal="left" vertical="center" wrapText="1"/>
      <protection locked="0"/>
    </xf>
    <xf numFmtId="4" fontId="24" fillId="0" borderId="39" xfId="2" applyNumberFormat="1" applyFont="1" applyFill="1" applyBorder="1" applyAlignment="1" applyProtection="1">
      <alignment horizontal="right" vertical="center"/>
      <protection locked="0"/>
    </xf>
    <xf numFmtId="10" fontId="24" fillId="0" borderId="39" xfId="2" applyNumberFormat="1" applyFont="1" applyFill="1" applyBorder="1" applyAlignment="1" applyProtection="1">
      <alignment horizontal="right" vertical="center"/>
      <protection locked="0"/>
    </xf>
    <xf numFmtId="10" fontId="3" fillId="0" borderId="0" xfId="2" applyNumberFormat="1" applyFont="1" applyFill="1" applyBorder="1" applyAlignment="1" applyProtection="1">
      <alignment horizontal="left"/>
      <protection locked="0"/>
    </xf>
    <xf numFmtId="10" fontId="11" fillId="6" borderId="0" xfId="0" applyNumberFormat="1" applyFont="1" applyFill="1" applyAlignment="1">
      <alignment vertical="center" wrapText="1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vertical="center" wrapText="1"/>
    </xf>
    <xf numFmtId="10" fontId="3" fillId="0" borderId="0" xfId="2" applyNumberFormat="1" applyFont="1" applyFill="1" applyBorder="1" applyAlignment="1" applyProtection="1">
      <alignment horizontal="left" vertical="center"/>
      <protection locked="0"/>
    </xf>
    <xf numFmtId="0" fontId="2" fillId="0" borderId="0" xfId="2" applyNumberFormat="1" applyFont="1" applyFill="1" applyBorder="1" applyAlignment="1" applyProtection="1">
      <alignment horizontal="left" vertical="top" wrapText="1"/>
      <protection locked="0"/>
    </xf>
    <xf numFmtId="0" fontId="2" fillId="0" borderId="0" xfId="2" applyNumberFormat="1" applyFont="1" applyFill="1" applyBorder="1" applyAlignment="1" applyProtection="1">
      <alignment horizontal="left" vertical="center" wrapText="1"/>
      <protection locked="0"/>
    </xf>
    <xf numFmtId="0" fontId="3" fillId="0" borderId="43" xfId="2" applyNumberFormat="1" applyFont="1" applyFill="1" applyBorder="1" applyAlignment="1" applyProtection="1">
      <alignment horizontal="left"/>
      <protection locked="0"/>
    </xf>
    <xf numFmtId="43" fontId="7" fillId="0" borderId="2" xfId="1" applyFont="1" applyBorder="1" applyAlignment="1">
      <alignment horizontal="center" vertical="center" wrapText="1"/>
    </xf>
    <xf numFmtId="43" fontId="9" fillId="0" borderId="3" xfId="1" applyFont="1" applyBorder="1" applyAlignment="1">
      <alignment horizontal="center" vertical="center" wrapText="1"/>
    </xf>
    <xf numFmtId="43" fontId="10" fillId="0" borderId="4" xfId="1" applyFont="1" applyBorder="1" applyAlignment="1">
      <alignment horizontal="center" vertical="center" wrapText="1"/>
    </xf>
    <xf numFmtId="43" fontId="10" fillId="0" borderId="3" xfId="1" applyFont="1" applyBorder="1" applyAlignment="1">
      <alignment horizontal="center" vertical="center" wrapText="1"/>
    </xf>
    <xf numFmtId="43" fontId="10" fillId="0" borderId="30" xfId="1" applyFont="1" applyBorder="1" applyAlignment="1">
      <alignment horizontal="center" vertical="center" wrapText="1"/>
    </xf>
    <xf numFmtId="10" fontId="11" fillId="0" borderId="6" xfId="1" applyNumberFormat="1" applyFont="1" applyBorder="1" applyAlignment="1">
      <alignment horizontal="center" vertical="center" wrapText="1"/>
    </xf>
    <xf numFmtId="0" fontId="2" fillId="0" borderId="6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2" applyNumberFormat="1" applyFont="1" applyFill="1" applyBorder="1" applyAlignment="1" applyProtection="1">
      <alignment horizontal="center" vertical="center"/>
      <protection locked="0"/>
    </xf>
    <xf numFmtId="4" fontId="3" fillId="0" borderId="2" xfId="2" applyNumberFormat="1" applyFont="1" applyFill="1" applyBorder="1" applyAlignment="1" applyProtection="1">
      <alignment horizontal="center" vertical="center"/>
      <protection locked="0"/>
    </xf>
    <xf numFmtId="4" fontId="19" fillId="0" borderId="2" xfId="2" applyNumberFormat="1" applyFont="1" applyFill="1" applyBorder="1" applyAlignment="1" applyProtection="1">
      <alignment horizontal="center" vertical="center"/>
      <protection locked="0"/>
    </xf>
    <xf numFmtId="4" fontId="17" fillId="3" borderId="33" xfId="2" applyNumberFormat="1" applyFont="1" applyFill="1" applyBorder="1" applyAlignment="1" applyProtection="1">
      <alignment horizontal="right" vertical="center" wrapText="1"/>
      <protection locked="0"/>
    </xf>
    <xf numFmtId="4" fontId="17" fillId="3" borderId="9" xfId="2" applyNumberFormat="1" applyFont="1" applyFill="1" applyBorder="1" applyAlignment="1" applyProtection="1">
      <alignment horizontal="right" vertical="center" wrapText="1"/>
      <protection locked="0"/>
    </xf>
    <xf numFmtId="4" fontId="17" fillId="3" borderId="6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33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6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2" xfId="2" applyNumberFormat="1" applyFont="1" applyFill="1" applyBorder="1" applyAlignment="1" applyProtection="1">
      <alignment horizontal="right" vertical="center"/>
      <protection locked="0"/>
    </xf>
    <xf numFmtId="10" fontId="2" fillId="0" borderId="2" xfId="2" applyNumberFormat="1" applyFont="1" applyFill="1" applyBorder="1" applyAlignment="1" applyProtection="1">
      <alignment horizontal="right" vertical="center"/>
      <protection locked="0"/>
    </xf>
    <xf numFmtId="4" fontId="2" fillId="0" borderId="3" xfId="2" applyNumberFormat="1" applyFont="1" applyFill="1" applyBorder="1" applyAlignment="1" applyProtection="1">
      <alignment horizontal="right" vertical="center"/>
      <protection locked="0"/>
    </xf>
    <xf numFmtId="4" fontId="2" fillId="0" borderId="4" xfId="2" applyNumberFormat="1" applyFont="1" applyFill="1" applyBorder="1" applyAlignment="1" applyProtection="1">
      <alignment horizontal="right" vertical="center"/>
      <protection locked="0"/>
    </xf>
    <xf numFmtId="4" fontId="2" fillId="0" borderId="30" xfId="2" applyNumberFormat="1" applyFont="1" applyFill="1" applyBorder="1" applyAlignment="1" applyProtection="1">
      <alignment horizontal="right" vertical="center"/>
      <protection locked="0"/>
    </xf>
    <xf numFmtId="10" fontId="2" fillId="0" borderId="6" xfId="2" applyNumberFormat="1" applyFont="1" applyFill="1" applyBorder="1" applyAlignment="1" applyProtection="1">
      <alignment horizontal="right" vertical="center"/>
      <protection locked="0"/>
    </xf>
    <xf numFmtId="4" fontId="2" fillId="0" borderId="6" xfId="2" applyNumberFormat="1" applyFont="1" applyFill="1" applyBorder="1" applyAlignment="1" applyProtection="1">
      <alignment horizontal="right" vertical="center" wrapText="1"/>
      <protection locked="0"/>
    </xf>
    <xf numFmtId="10" fontId="2" fillId="5" borderId="2" xfId="2" applyNumberFormat="1" applyFont="1" applyFill="1" applyBorder="1" applyAlignment="1" applyProtection="1">
      <alignment horizontal="right" vertical="center"/>
      <protection locked="0"/>
    </xf>
    <xf numFmtId="10" fontId="2" fillId="5" borderId="6" xfId="2" applyNumberFormat="1" applyFont="1" applyFill="1" applyBorder="1" applyAlignment="1" applyProtection="1">
      <alignment horizontal="right" vertical="center"/>
      <protection locked="0"/>
    </xf>
    <xf numFmtId="10" fontId="6" fillId="7" borderId="2" xfId="2" applyNumberFormat="1" applyFont="1" applyFill="1" applyBorder="1" applyAlignment="1" applyProtection="1">
      <alignment horizontal="right" vertical="center"/>
      <protection locked="0"/>
    </xf>
    <xf numFmtId="10" fontId="6" fillId="7" borderId="6" xfId="2" applyNumberFormat="1" applyFont="1" applyFill="1" applyBorder="1" applyAlignment="1" applyProtection="1">
      <alignment horizontal="right" vertical="center"/>
      <protection locked="0"/>
    </xf>
    <xf numFmtId="10" fontId="2" fillId="7" borderId="6" xfId="2" applyNumberFormat="1" applyFont="1" applyFill="1" applyBorder="1" applyAlignment="1" applyProtection="1">
      <alignment horizontal="right" vertical="center"/>
      <protection locked="0"/>
    </xf>
    <xf numFmtId="4" fontId="2" fillId="0" borderId="15" xfId="2" applyNumberFormat="1" applyFont="1" applyFill="1" applyBorder="1" applyAlignment="1" applyProtection="1">
      <alignment horizontal="right" vertical="center"/>
      <protection locked="0"/>
    </xf>
    <xf numFmtId="10" fontId="2" fillId="0" borderId="15" xfId="2" applyNumberFormat="1" applyFont="1" applyFill="1" applyBorder="1" applyAlignment="1" applyProtection="1">
      <alignment horizontal="right" vertical="center"/>
      <protection locked="0"/>
    </xf>
    <xf numFmtId="4" fontId="2" fillId="0" borderId="16" xfId="2" applyNumberFormat="1" applyFont="1" applyFill="1" applyBorder="1" applyAlignment="1" applyProtection="1">
      <alignment horizontal="right" vertical="center"/>
      <protection locked="0"/>
    </xf>
    <xf numFmtId="4" fontId="2" fillId="0" borderId="44" xfId="2" applyNumberFormat="1" applyFont="1" applyFill="1" applyBorder="1" applyAlignment="1" applyProtection="1">
      <alignment horizontal="right" vertical="center"/>
      <protection locked="0"/>
    </xf>
    <xf numFmtId="10" fontId="6" fillId="7" borderId="22" xfId="2" applyNumberFormat="1" applyFont="1" applyFill="1" applyBorder="1" applyAlignment="1" applyProtection="1">
      <alignment horizontal="right" vertical="center"/>
      <protection locked="0"/>
    </xf>
    <xf numFmtId="4" fontId="17" fillId="3" borderId="45" xfId="2" applyNumberFormat="1" applyFont="1" applyFill="1" applyBorder="1" applyAlignment="1" applyProtection="1">
      <alignment horizontal="right" vertical="center" wrapText="1"/>
      <protection locked="0"/>
    </xf>
    <xf numFmtId="4" fontId="17" fillId="3" borderId="46" xfId="2" applyNumberFormat="1" applyFont="1" applyFill="1" applyBorder="1" applyAlignment="1" applyProtection="1">
      <alignment horizontal="right" vertical="center" wrapText="1"/>
      <protection locked="0"/>
    </xf>
    <xf numFmtId="4" fontId="16" fillId="7" borderId="2" xfId="2" applyNumberFormat="1" applyFont="1" applyFill="1" applyBorder="1" applyAlignment="1" applyProtection="1">
      <alignment horizontal="right" vertical="center"/>
      <protection locked="0"/>
    </xf>
    <xf numFmtId="4" fontId="31" fillId="0" borderId="3" xfId="2" applyNumberFormat="1" applyFont="1" applyFill="1" applyBorder="1" applyAlignment="1" applyProtection="1">
      <alignment horizontal="right" vertical="center"/>
      <protection locked="0"/>
    </xf>
    <xf numFmtId="10" fontId="2" fillId="6" borderId="6" xfId="2" applyNumberFormat="1" applyFont="1" applyFill="1" applyBorder="1" applyAlignment="1" applyProtection="1">
      <alignment horizontal="right" vertical="center"/>
      <protection locked="0"/>
    </xf>
    <xf numFmtId="4" fontId="2" fillId="0" borderId="0" xfId="2" applyNumberFormat="1" applyFont="1" applyFill="1" applyBorder="1" applyAlignment="1" applyProtection="1">
      <alignment horizontal="right" vertical="center"/>
      <protection locked="0"/>
    </xf>
    <xf numFmtId="4" fontId="2" fillId="0" borderId="47" xfId="2" applyNumberFormat="1" applyFont="1" applyFill="1" applyBorder="1" applyAlignment="1" applyProtection="1">
      <alignment horizontal="right" vertical="center"/>
      <protection locked="0"/>
    </xf>
    <xf numFmtId="0" fontId="2" fillId="0" borderId="29" xfId="2" applyNumberFormat="1" applyFont="1" applyFill="1" applyBorder="1" applyAlignment="1" applyProtection="1">
      <alignment horizontal="left" vertical="top" wrapText="1"/>
      <protection locked="0"/>
    </xf>
    <xf numFmtId="4" fontId="15" fillId="7" borderId="2" xfId="2" applyNumberFormat="1" applyFont="1" applyFill="1" applyBorder="1" applyAlignment="1" applyProtection="1">
      <alignment horizontal="right" vertical="center"/>
      <protection locked="0"/>
    </xf>
    <xf numFmtId="10" fontId="2" fillId="0" borderId="22" xfId="2" applyNumberFormat="1" applyFont="1" applyFill="1" applyBorder="1" applyAlignment="1" applyProtection="1">
      <alignment horizontal="right" vertical="center"/>
      <protection locked="0"/>
    </xf>
    <xf numFmtId="4" fontId="14" fillId="4" borderId="45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46" xfId="2" applyNumberFormat="1" applyFont="1" applyFill="1" applyBorder="1" applyAlignment="1" applyProtection="1">
      <alignment horizontal="right" vertical="center" wrapText="1"/>
      <protection locked="0"/>
    </xf>
    <xf numFmtId="10" fontId="2" fillId="5" borderId="22" xfId="2" applyNumberFormat="1" applyFont="1" applyFill="1" applyBorder="1" applyAlignment="1" applyProtection="1">
      <alignment horizontal="right" vertical="center"/>
      <protection locked="0"/>
    </xf>
    <xf numFmtId="4" fontId="6" fillId="7" borderId="3" xfId="2" applyNumberFormat="1" applyFont="1" applyFill="1" applyBorder="1" applyAlignment="1" applyProtection="1">
      <alignment horizontal="right" vertical="center"/>
      <protection locked="0"/>
    </xf>
    <xf numFmtId="4" fontId="6" fillId="7" borderId="4" xfId="2" applyNumberFormat="1" applyFont="1" applyFill="1" applyBorder="1" applyAlignment="1" applyProtection="1">
      <alignment horizontal="right" vertical="center"/>
      <protection locked="0"/>
    </xf>
    <xf numFmtId="4" fontId="6" fillId="7" borderId="30" xfId="2" applyNumberFormat="1" applyFont="1" applyFill="1" applyBorder="1" applyAlignment="1" applyProtection="1">
      <alignment horizontal="right" vertical="center"/>
      <protection locked="0"/>
    </xf>
    <xf numFmtId="4" fontId="6" fillId="7" borderId="6" xfId="2" applyNumberFormat="1" applyFont="1" applyFill="1" applyBorder="1" applyAlignment="1" applyProtection="1">
      <alignment horizontal="right" vertical="center"/>
      <protection locked="0"/>
    </xf>
    <xf numFmtId="4" fontId="6" fillId="7" borderId="2" xfId="2" applyNumberFormat="1" applyFont="1" applyFill="1" applyBorder="1" applyAlignment="1" applyProtection="1">
      <alignment horizontal="right" vertical="center"/>
      <protection locked="0"/>
    </xf>
    <xf numFmtId="4" fontId="2" fillId="5" borderId="3" xfId="2" applyNumberFormat="1" applyFont="1" applyFill="1" applyBorder="1" applyAlignment="1" applyProtection="1">
      <alignment horizontal="right" vertical="center"/>
      <protection locked="0"/>
    </xf>
    <xf numFmtId="4" fontId="2" fillId="5" borderId="4" xfId="2" applyNumberFormat="1" applyFont="1" applyFill="1" applyBorder="1" applyAlignment="1" applyProtection="1">
      <alignment horizontal="right" vertical="center"/>
      <protection locked="0"/>
    </xf>
    <xf numFmtId="4" fontId="2" fillId="5" borderId="30" xfId="2" applyNumberFormat="1" applyFont="1" applyFill="1" applyBorder="1" applyAlignment="1" applyProtection="1">
      <alignment horizontal="right" vertical="center"/>
      <protection locked="0"/>
    </xf>
    <xf numFmtId="4" fontId="2" fillId="5" borderId="6" xfId="2" applyNumberFormat="1" applyFont="1" applyFill="1" applyBorder="1" applyAlignment="1" applyProtection="1">
      <alignment horizontal="right" vertical="center"/>
      <protection locked="0"/>
    </xf>
    <xf numFmtId="4" fontId="2" fillId="5" borderId="2" xfId="2" applyNumberFormat="1" applyFont="1" applyFill="1" applyBorder="1" applyAlignment="1" applyProtection="1">
      <alignment horizontal="right" vertical="center"/>
      <protection locked="0"/>
    </xf>
    <xf numFmtId="49" fontId="32" fillId="2" borderId="10" xfId="2" applyNumberFormat="1" applyFont="1" applyFill="1" applyBorder="1" applyAlignment="1" applyProtection="1">
      <alignment horizontal="center" vertical="center" wrapText="1"/>
      <protection locked="0"/>
    </xf>
    <xf numFmtId="49" fontId="33" fillId="2" borderId="1" xfId="2" applyNumberFormat="1" applyFont="1" applyFill="1" applyBorder="1" applyAlignment="1" applyProtection="1">
      <alignment horizontal="center" vertical="center" wrapText="1"/>
      <protection locked="0"/>
    </xf>
    <xf numFmtId="49" fontId="33" fillId="4" borderId="1" xfId="2" applyNumberFormat="1" applyFont="1" applyFill="1" applyBorder="1" applyAlignment="1" applyProtection="1">
      <alignment horizontal="center" vertical="center" wrapText="1"/>
      <protection locked="0"/>
    </xf>
    <xf numFmtId="49" fontId="33" fillId="4" borderId="1" xfId="2" applyNumberFormat="1" applyFont="1" applyFill="1" applyBorder="1" applyAlignment="1" applyProtection="1">
      <alignment horizontal="left" vertical="center" wrapText="1"/>
      <protection locked="0"/>
    </xf>
    <xf numFmtId="4" fontId="33" fillId="4" borderId="7" xfId="2" applyNumberFormat="1" applyFont="1" applyFill="1" applyBorder="1" applyAlignment="1" applyProtection="1">
      <alignment horizontal="right" vertical="center" wrapText="1"/>
      <protection locked="0"/>
    </xf>
    <xf numFmtId="10" fontId="33" fillId="4" borderId="7" xfId="2" applyNumberFormat="1" applyFont="1" applyFill="1" applyBorder="1" applyAlignment="1" applyProtection="1">
      <alignment horizontal="right" vertical="center" wrapText="1"/>
      <protection locked="0"/>
    </xf>
    <xf numFmtId="4" fontId="33" fillId="4" borderId="8" xfId="2" applyNumberFormat="1" applyFont="1" applyFill="1" applyBorder="1" applyAlignment="1" applyProtection="1">
      <alignment horizontal="right" vertical="center" wrapText="1"/>
      <protection locked="0"/>
    </xf>
    <xf numFmtId="4" fontId="33" fillId="4" borderId="3" xfId="2" applyNumberFormat="1" applyFont="1" applyFill="1" applyBorder="1" applyAlignment="1" applyProtection="1">
      <alignment horizontal="right" vertical="center" wrapText="1"/>
      <protection locked="0"/>
    </xf>
    <xf numFmtId="4" fontId="33" fillId="4" borderId="33" xfId="2" applyNumberFormat="1" applyFont="1" applyFill="1" applyBorder="1" applyAlignment="1" applyProtection="1">
      <alignment horizontal="right" vertical="center" wrapText="1"/>
      <protection locked="0"/>
    </xf>
    <xf numFmtId="4" fontId="33" fillId="4" borderId="9" xfId="2" applyNumberFormat="1" applyFont="1" applyFill="1" applyBorder="1" applyAlignment="1" applyProtection="1">
      <alignment horizontal="right" vertical="center" wrapText="1"/>
      <protection locked="0"/>
    </xf>
    <xf numFmtId="4" fontId="33" fillId="4" borderId="6" xfId="2" applyNumberFormat="1" applyFont="1" applyFill="1" applyBorder="1" applyAlignment="1" applyProtection="1">
      <alignment horizontal="right" vertical="center" wrapText="1"/>
      <protection locked="0"/>
    </xf>
    <xf numFmtId="4" fontId="33" fillId="4" borderId="2" xfId="2" applyNumberFormat="1" applyFont="1" applyFill="1" applyBorder="1" applyAlignment="1" applyProtection="1">
      <alignment horizontal="right" vertical="center" wrapText="1"/>
      <protection locked="0"/>
    </xf>
    <xf numFmtId="49" fontId="12" fillId="8" borderId="1" xfId="2" applyNumberFormat="1" applyFont="1" applyFill="1" applyBorder="1" applyAlignment="1" applyProtection="1">
      <alignment horizontal="center" vertical="center" wrapText="1"/>
      <protection locked="0"/>
    </xf>
    <xf numFmtId="4" fontId="33" fillId="8" borderId="7" xfId="2" applyNumberFormat="1" applyFont="1" applyFill="1" applyBorder="1" applyAlignment="1" applyProtection="1">
      <alignment horizontal="right" vertical="center" wrapText="1"/>
      <protection locked="0"/>
    </xf>
    <xf numFmtId="10" fontId="35" fillId="6" borderId="2" xfId="2" applyNumberFormat="1" applyFont="1" applyFill="1" applyBorder="1" applyAlignment="1" applyProtection="1">
      <alignment horizontal="right" vertical="center"/>
      <protection locked="0"/>
    </xf>
    <xf numFmtId="4" fontId="35" fillId="6" borderId="3" xfId="2" applyNumberFormat="1" applyFont="1" applyFill="1" applyBorder="1" applyAlignment="1" applyProtection="1">
      <alignment horizontal="right" vertical="center"/>
      <protection locked="0"/>
    </xf>
    <xf numFmtId="4" fontId="35" fillId="6" borderId="4" xfId="2" applyNumberFormat="1" applyFont="1" applyFill="1" applyBorder="1" applyAlignment="1" applyProtection="1">
      <alignment horizontal="right" vertical="center"/>
      <protection locked="0"/>
    </xf>
    <xf numFmtId="4" fontId="35" fillId="6" borderId="30" xfId="2" applyNumberFormat="1" applyFont="1" applyFill="1" applyBorder="1" applyAlignment="1" applyProtection="1">
      <alignment horizontal="right" vertical="center"/>
      <protection locked="0"/>
    </xf>
    <xf numFmtId="10" fontId="35" fillId="5" borderId="6" xfId="2" applyNumberFormat="1" applyFont="1" applyFill="1" applyBorder="1" applyAlignment="1" applyProtection="1">
      <alignment horizontal="right" vertical="center"/>
      <protection locked="0"/>
    </xf>
    <xf numFmtId="4" fontId="17" fillId="3" borderId="4" xfId="2" applyNumberFormat="1" applyFont="1" applyFill="1" applyBorder="1" applyAlignment="1" applyProtection="1">
      <alignment horizontal="right" vertical="center" wrapText="1"/>
      <protection locked="0"/>
    </xf>
    <xf numFmtId="4" fontId="17" fillId="3" borderId="30" xfId="2" applyNumberFormat="1" applyFont="1" applyFill="1" applyBorder="1" applyAlignment="1" applyProtection="1">
      <alignment horizontal="right" vertical="center" wrapText="1"/>
      <protection locked="0"/>
    </xf>
    <xf numFmtId="4" fontId="2" fillId="8" borderId="2" xfId="2" applyNumberFormat="1" applyFont="1" applyFill="1" applyBorder="1" applyAlignment="1" applyProtection="1">
      <alignment horizontal="right" vertical="center" wrapText="1"/>
      <protection locked="0"/>
    </xf>
    <xf numFmtId="4" fontId="2" fillId="8" borderId="3" xfId="2" applyNumberFormat="1" applyFont="1" applyFill="1" applyBorder="1" applyAlignment="1" applyProtection="1">
      <alignment horizontal="right" vertical="center" wrapText="1"/>
      <protection locked="0"/>
    </xf>
    <xf numFmtId="4" fontId="2" fillId="8" borderId="4" xfId="2" applyNumberFormat="1" applyFont="1" applyFill="1" applyBorder="1" applyAlignment="1" applyProtection="1">
      <alignment horizontal="right" vertical="center" wrapText="1"/>
      <protection locked="0"/>
    </xf>
    <xf numFmtId="4" fontId="2" fillId="8" borderId="30" xfId="2" applyNumberFormat="1" applyFont="1" applyFill="1" applyBorder="1" applyAlignment="1" applyProtection="1">
      <alignment horizontal="right" vertical="center" wrapText="1"/>
      <protection locked="0"/>
    </xf>
    <xf numFmtId="4" fontId="2" fillId="4" borderId="2" xfId="2" applyNumberFormat="1" applyFont="1" applyFill="1" applyBorder="1" applyAlignment="1" applyProtection="1">
      <alignment horizontal="right" vertical="center" wrapText="1"/>
      <protection locked="0"/>
    </xf>
    <xf numFmtId="4" fontId="2" fillId="4" borderId="3" xfId="2" applyNumberFormat="1" applyFont="1" applyFill="1" applyBorder="1" applyAlignment="1" applyProtection="1">
      <alignment horizontal="right" vertical="center" wrapText="1"/>
      <protection locked="0"/>
    </xf>
    <xf numFmtId="4" fontId="2" fillId="4" borderId="4" xfId="2" applyNumberFormat="1" applyFont="1" applyFill="1" applyBorder="1" applyAlignment="1" applyProtection="1">
      <alignment horizontal="right" vertical="center" wrapText="1"/>
      <protection locked="0"/>
    </xf>
    <xf numFmtId="4" fontId="2" fillId="4" borderId="30" xfId="2" applyNumberFormat="1" applyFont="1" applyFill="1" applyBorder="1" applyAlignment="1" applyProtection="1">
      <alignment horizontal="right" vertical="center" wrapText="1"/>
      <protection locked="0"/>
    </xf>
    <xf numFmtId="4" fontId="2" fillId="4" borderId="6" xfId="2" applyNumberFormat="1" applyFont="1" applyFill="1" applyBorder="1" applyAlignment="1" applyProtection="1">
      <alignment horizontal="right" vertical="center" wrapText="1"/>
      <protection locked="0"/>
    </xf>
    <xf numFmtId="0" fontId="36" fillId="5" borderId="43" xfId="0" applyFont="1" applyFill="1" applyBorder="1" applyAlignment="1">
      <alignment vertical="center" wrapText="1"/>
    </xf>
    <xf numFmtId="49" fontId="14" fillId="2" borderId="27" xfId="2" applyNumberFormat="1" applyFont="1" applyFill="1" applyBorder="1" applyAlignment="1" applyProtection="1">
      <alignment horizontal="left" vertical="center" wrapText="1"/>
      <protection locked="0"/>
    </xf>
    <xf numFmtId="4" fontId="14" fillId="8" borderId="22" xfId="2" applyNumberFormat="1" applyFont="1" applyFill="1" applyBorder="1" applyAlignment="1" applyProtection="1">
      <alignment horizontal="right" vertical="center" wrapText="1"/>
      <protection locked="0"/>
    </xf>
    <xf numFmtId="4" fontId="2" fillId="6" borderId="22" xfId="2" applyNumberFormat="1" applyFont="1" applyFill="1" applyBorder="1" applyAlignment="1" applyProtection="1">
      <alignment horizontal="right" vertical="center"/>
      <protection locked="0"/>
    </xf>
    <xf numFmtId="4" fontId="2" fillId="6" borderId="23" xfId="2" applyNumberFormat="1" applyFont="1" applyFill="1" applyBorder="1" applyAlignment="1" applyProtection="1">
      <alignment horizontal="right" vertical="center"/>
      <protection locked="0"/>
    </xf>
    <xf numFmtId="4" fontId="2" fillId="6" borderId="49" xfId="2" applyNumberFormat="1" applyFont="1" applyFill="1" applyBorder="1" applyAlignment="1" applyProtection="1">
      <alignment horizontal="right" vertical="center"/>
      <protection locked="0"/>
    </xf>
    <xf numFmtId="4" fontId="2" fillId="6" borderId="3" xfId="2" applyNumberFormat="1" applyFont="1" applyFill="1" applyBorder="1" applyAlignment="1" applyProtection="1">
      <alignment horizontal="right" vertical="center"/>
      <protection locked="0"/>
    </xf>
    <xf numFmtId="4" fontId="2" fillId="6" borderId="50" xfId="2" applyNumberFormat="1" applyFont="1" applyFill="1" applyBorder="1" applyAlignment="1" applyProtection="1">
      <alignment horizontal="right" vertical="center"/>
      <protection locked="0"/>
    </xf>
    <xf numFmtId="10" fontId="2" fillId="0" borderId="51" xfId="2" applyNumberFormat="1" applyFont="1" applyFill="1" applyBorder="1" applyAlignment="1" applyProtection="1">
      <alignment horizontal="right" vertical="center"/>
      <protection locked="0"/>
    </xf>
    <xf numFmtId="10" fontId="6" fillId="7" borderId="51" xfId="2" applyNumberFormat="1" applyFont="1" applyFill="1" applyBorder="1" applyAlignment="1" applyProtection="1">
      <alignment horizontal="right" vertical="center"/>
      <protection locked="0"/>
    </xf>
    <xf numFmtId="10" fontId="2" fillId="5" borderId="15" xfId="2" applyNumberFormat="1" applyFont="1" applyFill="1" applyBorder="1" applyAlignment="1" applyProtection="1">
      <alignment horizontal="right" vertical="center"/>
      <protection locked="0"/>
    </xf>
    <xf numFmtId="4" fontId="14" fillId="4" borderId="52" xfId="2" applyNumberFormat="1" applyFont="1" applyFill="1" applyBorder="1" applyAlignment="1" applyProtection="1">
      <alignment horizontal="right" vertical="center" wrapText="1"/>
      <protection locked="0"/>
    </xf>
    <xf numFmtId="10" fontId="2" fillId="5" borderId="51" xfId="2" applyNumberFormat="1" applyFont="1" applyFill="1" applyBorder="1" applyAlignment="1" applyProtection="1">
      <alignment horizontal="right" vertical="center"/>
      <protection locked="0"/>
    </xf>
    <xf numFmtId="4" fontId="14" fillId="4" borderId="53" xfId="2" applyNumberFormat="1" applyFont="1" applyFill="1" applyBorder="1" applyAlignment="1" applyProtection="1">
      <alignment horizontal="right" vertical="center" wrapText="1"/>
      <protection locked="0"/>
    </xf>
    <xf numFmtId="49" fontId="15" fillId="8" borderId="1" xfId="2" applyNumberFormat="1" applyFont="1" applyFill="1" applyBorder="1" applyAlignment="1" applyProtection="1">
      <alignment horizontal="center" vertical="center" wrapText="1"/>
      <protection locked="0"/>
    </xf>
    <xf numFmtId="10" fontId="2" fillId="6" borderId="2" xfId="2" applyNumberFormat="1" applyFont="1" applyFill="1" applyBorder="1" applyAlignment="1" applyProtection="1">
      <alignment horizontal="right" vertical="center"/>
      <protection locked="0"/>
    </xf>
    <xf numFmtId="4" fontId="14" fillId="8" borderId="4" xfId="2" applyNumberFormat="1" applyFont="1" applyFill="1" applyBorder="1" applyAlignment="1" applyProtection="1">
      <alignment horizontal="right" vertical="center" wrapText="1"/>
      <protection locked="0"/>
    </xf>
    <xf numFmtId="4" fontId="14" fillId="8" borderId="30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23" xfId="2" applyNumberFormat="1" applyFont="1" applyFill="1" applyBorder="1" applyAlignment="1" applyProtection="1">
      <alignment horizontal="right" vertical="center"/>
      <protection locked="0"/>
    </xf>
    <xf numFmtId="4" fontId="2" fillId="0" borderId="49" xfId="2" applyNumberFormat="1" applyFont="1" applyFill="1" applyBorder="1" applyAlignment="1" applyProtection="1">
      <alignment horizontal="right" vertical="center"/>
      <protection locked="0"/>
    </xf>
    <xf numFmtId="4" fontId="2" fillId="0" borderId="4" xfId="2" quotePrefix="1" applyNumberFormat="1" applyFont="1" applyFill="1" applyBorder="1" applyAlignment="1" applyProtection="1">
      <alignment horizontal="right" vertical="center"/>
      <protection locked="0"/>
    </xf>
    <xf numFmtId="49" fontId="14" fillId="8" borderId="7" xfId="2" applyNumberFormat="1" applyFont="1" applyFill="1" applyBorder="1" applyAlignment="1" applyProtection="1">
      <alignment horizontal="left" vertical="center" wrapText="1"/>
      <protection locked="0"/>
    </xf>
    <xf numFmtId="10" fontId="2" fillId="0" borderId="28" xfId="2" applyNumberFormat="1" applyFont="1" applyFill="1" applyBorder="1" applyAlignment="1" applyProtection="1">
      <alignment horizontal="right" vertical="center"/>
      <protection locked="0"/>
    </xf>
    <xf numFmtId="4" fontId="37" fillId="2" borderId="2" xfId="2" applyNumberFormat="1" applyFont="1" applyFill="1" applyBorder="1" applyAlignment="1" applyProtection="1">
      <alignment horizontal="right" vertical="center" wrapText="1"/>
      <protection locked="0"/>
    </xf>
    <xf numFmtId="10" fontId="37" fillId="0" borderId="2" xfId="2" applyNumberFormat="1" applyFont="1" applyFill="1" applyBorder="1" applyAlignment="1" applyProtection="1">
      <alignment horizontal="right" vertical="center"/>
      <protection locked="0"/>
    </xf>
    <xf numFmtId="4" fontId="37" fillId="2" borderId="3" xfId="2" applyNumberFormat="1" applyFont="1" applyFill="1" applyBorder="1" applyAlignment="1" applyProtection="1">
      <alignment horizontal="right" vertical="center" wrapText="1"/>
      <protection locked="0"/>
    </xf>
    <xf numFmtId="4" fontId="37" fillId="2" borderId="4" xfId="2" applyNumberFormat="1" applyFont="1" applyFill="1" applyBorder="1" applyAlignment="1" applyProtection="1">
      <alignment horizontal="right" vertical="center" wrapText="1"/>
      <protection locked="0"/>
    </xf>
    <xf numFmtId="4" fontId="37" fillId="2" borderId="30" xfId="2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2" applyNumberFormat="1" applyFont="1" applyFill="1" applyBorder="1" applyAlignment="1" applyProtection="1">
      <alignment horizontal="center"/>
      <protection locked="0"/>
    </xf>
    <xf numFmtId="4" fontId="19" fillId="0" borderId="0" xfId="2" applyNumberFormat="1" applyFont="1" applyFill="1" applyBorder="1" applyAlignment="1" applyProtection="1">
      <alignment horizontal="center"/>
      <protection locked="0"/>
    </xf>
    <xf numFmtId="0" fontId="19" fillId="0" borderId="56" xfId="2" applyNumberFormat="1" applyFont="1" applyFill="1" applyBorder="1" applyAlignment="1" applyProtection="1">
      <alignment horizontal="center"/>
      <protection locked="0"/>
    </xf>
    <xf numFmtId="4" fontId="15" fillId="0" borderId="57" xfId="2" applyNumberFormat="1" applyFont="1" applyFill="1" applyBorder="1" applyAlignment="1" applyProtection="1">
      <alignment horizontal="right" vertical="center"/>
      <protection locked="0"/>
    </xf>
    <xf numFmtId="0" fontId="3" fillId="0" borderId="56" xfId="2" applyNumberFormat="1" applyFont="1" applyFill="1" applyBorder="1" applyAlignment="1" applyProtection="1">
      <alignment horizontal="left"/>
      <protection locked="0"/>
    </xf>
    <xf numFmtId="43" fontId="38" fillId="0" borderId="39" xfId="1" applyFont="1" applyBorder="1" applyAlignment="1">
      <alignment vertical="center" wrapText="1"/>
    </xf>
    <xf numFmtId="4" fontId="19" fillId="0" borderId="39" xfId="2" applyNumberFormat="1" applyFont="1" applyFill="1" applyBorder="1" applyAlignment="1" applyProtection="1">
      <alignment horizontal="right"/>
      <protection locked="0"/>
    </xf>
    <xf numFmtId="10" fontId="19" fillId="0" borderId="39" xfId="2" applyNumberFormat="1" applyFont="1" applyFill="1" applyBorder="1" applyAlignment="1" applyProtection="1">
      <alignment horizontal="right"/>
      <protection locked="0"/>
    </xf>
    <xf numFmtId="4" fontId="19" fillId="0" borderId="58" xfId="2" applyNumberFormat="1" applyFont="1" applyFill="1" applyBorder="1" applyAlignment="1" applyProtection="1">
      <alignment horizontal="right"/>
      <protection locked="0"/>
    </xf>
    <xf numFmtId="4" fontId="19" fillId="0" borderId="38" xfId="2" applyNumberFormat="1" applyFont="1" applyFill="1" applyBorder="1" applyAlignment="1" applyProtection="1">
      <alignment horizontal="right"/>
      <protection locked="0"/>
    </xf>
    <xf numFmtId="0" fontId="23" fillId="0" borderId="39" xfId="0" applyFont="1" applyBorder="1"/>
    <xf numFmtId="4" fontId="26" fillId="0" borderId="39" xfId="2" applyNumberFormat="1" applyFont="1" applyFill="1" applyBorder="1" applyAlignment="1" applyProtection="1">
      <alignment horizontal="right"/>
      <protection locked="0"/>
    </xf>
    <xf numFmtId="10" fontId="26" fillId="0" borderId="39" xfId="2" applyNumberFormat="1" applyFont="1" applyFill="1" applyBorder="1" applyAlignment="1" applyProtection="1">
      <alignment horizontal="right"/>
      <protection locked="0"/>
    </xf>
    <xf numFmtId="4" fontId="26" fillId="0" borderId="58" xfId="2" applyNumberFormat="1" applyFont="1" applyFill="1" applyBorder="1" applyAlignment="1" applyProtection="1">
      <alignment horizontal="right"/>
      <protection locked="0"/>
    </xf>
    <xf numFmtId="4" fontId="26" fillId="0" borderId="38" xfId="2" applyNumberFormat="1" applyFont="1" applyFill="1" applyBorder="1" applyAlignment="1" applyProtection="1">
      <alignment horizontal="right" vertical="center"/>
      <protection locked="0"/>
    </xf>
    <xf numFmtId="43" fontId="39" fillId="0" borderId="39" xfId="1" applyFont="1" applyBorder="1" applyAlignment="1">
      <alignment horizontal="left" vertical="center" wrapText="1"/>
    </xf>
    <xf numFmtId="4" fontId="24" fillId="0" borderId="39" xfId="2" applyNumberFormat="1" applyFont="1" applyFill="1" applyBorder="1" applyAlignment="1" applyProtection="1">
      <alignment horizontal="right"/>
      <protection locked="0"/>
    </xf>
    <xf numFmtId="4" fontId="24" fillId="0" borderId="58" xfId="2" applyNumberFormat="1" applyFont="1" applyFill="1" applyBorder="1" applyAlignment="1" applyProtection="1">
      <alignment horizontal="right"/>
      <protection locked="0"/>
    </xf>
    <xf numFmtId="4" fontId="24" fillId="0" borderId="38" xfId="2" applyNumberFormat="1" applyFont="1" applyFill="1" applyBorder="1" applyAlignment="1" applyProtection="1">
      <alignment horizontal="right"/>
      <protection locked="0"/>
    </xf>
    <xf numFmtId="0" fontId="40" fillId="0" borderId="39" xfId="0" applyFont="1" applyBorder="1" applyAlignment="1">
      <alignment horizontal="left" vertical="center" wrapText="1"/>
    </xf>
    <xf numFmtId="0" fontId="22" fillId="0" borderId="39" xfId="0" applyFont="1" applyBorder="1" applyAlignment="1">
      <alignment horizontal="left" vertical="center" wrapText="1"/>
    </xf>
    <xf numFmtId="4" fontId="26" fillId="0" borderId="38" xfId="2" applyNumberFormat="1" applyFont="1" applyFill="1" applyBorder="1" applyAlignment="1" applyProtection="1">
      <alignment horizontal="right"/>
      <protection locked="0"/>
    </xf>
    <xf numFmtId="43" fontId="41" fillId="0" borderId="39" xfId="1" applyFont="1" applyBorder="1" applyAlignment="1">
      <alignment horizontal="left" vertical="center" wrapText="1"/>
    </xf>
    <xf numFmtId="43" fontId="25" fillId="0" borderId="39" xfId="1" applyFont="1" applyBorder="1" applyAlignment="1">
      <alignment horizontal="left" vertical="center" wrapText="1"/>
    </xf>
    <xf numFmtId="0" fontId="3" fillId="0" borderId="39" xfId="2" applyNumberFormat="1" applyFont="1" applyFill="1" applyBorder="1" applyAlignment="1" applyProtection="1">
      <alignment horizontal="left"/>
      <protection locked="0"/>
    </xf>
    <xf numFmtId="4" fontId="43" fillId="0" borderId="39" xfId="2" applyNumberFormat="1" applyFont="1" applyFill="1" applyBorder="1" applyAlignment="1" applyProtection="1">
      <alignment horizontal="right"/>
      <protection locked="0"/>
    </xf>
    <xf numFmtId="4" fontId="43" fillId="0" borderId="38" xfId="2" applyNumberFormat="1" applyFont="1" applyFill="1" applyBorder="1" applyAlignment="1" applyProtection="1">
      <alignment horizontal="right"/>
      <protection locked="0"/>
    </xf>
    <xf numFmtId="43" fontId="44" fillId="0" borderId="39" xfId="1" applyFont="1" applyBorder="1" applyAlignment="1">
      <alignment horizontal="left" vertical="center" wrapText="1"/>
    </xf>
    <xf numFmtId="4" fontId="19" fillId="0" borderId="42" xfId="2" applyNumberFormat="1" applyFont="1" applyFill="1" applyBorder="1" applyAlignment="1" applyProtection="1">
      <alignment horizontal="right"/>
      <protection locked="0"/>
    </xf>
    <xf numFmtId="43" fontId="4" fillId="0" borderId="39" xfId="1" applyFont="1" applyBorder="1" applyAlignment="1">
      <alignment horizontal="left" vertical="center" wrapText="1"/>
    </xf>
    <xf numFmtId="10" fontId="3" fillId="0" borderId="39" xfId="2" applyNumberFormat="1" applyFont="1" applyFill="1" applyBorder="1" applyAlignment="1" applyProtection="1">
      <alignment horizontal="left" vertical="center"/>
      <protection locked="0"/>
    </xf>
    <xf numFmtId="4" fontId="2" fillId="0" borderId="0" xfId="2" applyNumberFormat="1" applyFont="1" applyFill="1" applyBorder="1" applyAlignment="1" applyProtection="1">
      <alignment horizontal="left" vertical="center" wrapText="1"/>
      <protection locked="0"/>
    </xf>
    <xf numFmtId="4" fontId="15" fillId="0" borderId="39" xfId="2" applyNumberFormat="1" applyFont="1" applyFill="1" applyBorder="1" applyAlignment="1" applyProtection="1">
      <alignment horizontal="right" vertical="center"/>
      <protection locked="0"/>
    </xf>
    <xf numFmtId="10" fontId="24" fillId="0" borderId="39" xfId="2" applyNumberFormat="1" applyFont="1" applyFill="1" applyBorder="1" applyAlignment="1" applyProtection="1">
      <alignment horizontal="right"/>
      <protection locked="0"/>
    </xf>
    <xf numFmtId="4" fontId="24" fillId="0" borderId="59" xfId="2" applyNumberFormat="1" applyFont="1" applyFill="1" applyBorder="1" applyAlignment="1" applyProtection="1">
      <alignment horizontal="right"/>
      <protection locked="0"/>
    </xf>
    <xf numFmtId="0" fontId="26" fillId="0" borderId="39" xfId="2" applyNumberFormat="1" applyFont="1" applyFill="1" applyBorder="1" applyAlignment="1" applyProtection="1">
      <alignment horizontal="left"/>
      <protection locked="0"/>
    </xf>
    <xf numFmtId="0" fontId="3" fillId="0" borderId="39" xfId="2" applyNumberFormat="1" applyFont="1" applyFill="1" applyBorder="1" applyAlignment="1" applyProtection="1">
      <alignment horizontal="right"/>
      <protection locked="0"/>
    </xf>
    <xf numFmtId="4" fontId="3" fillId="0" borderId="39" xfId="2" applyNumberFormat="1" applyFont="1" applyFill="1" applyBorder="1" applyAlignment="1" applyProtection="1">
      <alignment horizontal="right"/>
      <protection locked="0"/>
    </xf>
    <xf numFmtId="4" fontId="3" fillId="0" borderId="58" xfId="2" applyNumberFormat="1" applyFont="1" applyFill="1" applyBorder="1" applyAlignment="1" applyProtection="1">
      <alignment horizontal="right"/>
      <protection locked="0"/>
    </xf>
    <xf numFmtId="4" fontId="3" fillId="0" borderId="38" xfId="2" applyNumberFormat="1" applyFont="1" applyFill="1" applyBorder="1" applyAlignment="1" applyProtection="1">
      <alignment horizontal="right"/>
      <protection locked="0"/>
    </xf>
    <xf numFmtId="4" fontId="3" fillId="0" borderId="0" xfId="2" applyNumberFormat="1" applyFont="1" applyFill="1" applyBorder="1" applyAlignment="1" applyProtection="1">
      <alignment horizontal="left"/>
      <protection locked="0"/>
    </xf>
    <xf numFmtId="4" fontId="15" fillId="0" borderId="0" xfId="2" applyNumberFormat="1" applyFont="1" applyFill="1" applyBorder="1" applyAlignment="1" applyProtection="1">
      <alignment horizontal="right" vertical="center"/>
      <protection locked="0"/>
    </xf>
    <xf numFmtId="0" fontId="3" fillId="0" borderId="2" xfId="2" applyNumberFormat="1" applyFont="1" applyFill="1" applyBorder="1" applyAlignment="1" applyProtection="1">
      <alignment horizontal="left"/>
      <protection locked="0"/>
    </xf>
    <xf numFmtId="0" fontId="20" fillId="0" borderId="0" xfId="19"/>
    <xf numFmtId="0" fontId="45" fillId="0" borderId="0" xfId="18" applyNumberFormat="1" applyFont="1" applyFill="1" applyBorder="1" applyAlignment="1" applyProtection="1">
      <alignment vertical="center" wrapText="1"/>
      <protection locked="0"/>
    </xf>
    <xf numFmtId="0" fontId="5" fillId="0" borderId="60" xfId="19" applyFont="1" applyBorder="1" applyAlignment="1">
      <alignment horizontal="left" vertical="center"/>
    </xf>
    <xf numFmtId="0" fontId="45" fillId="0" borderId="60" xfId="18" applyNumberFormat="1" applyFont="1" applyFill="1" applyBorder="1" applyAlignment="1" applyProtection="1">
      <alignment vertical="center" wrapText="1"/>
      <protection locked="0"/>
    </xf>
    <xf numFmtId="0" fontId="20" fillId="0" borderId="60" xfId="19" applyBorder="1" applyAlignment="1"/>
    <xf numFmtId="0" fontId="20" fillId="0" borderId="0" xfId="19" applyBorder="1"/>
    <xf numFmtId="0" fontId="20" fillId="0" borderId="72" xfId="19" applyFont="1" applyBorder="1" applyAlignment="1">
      <alignment vertical="top"/>
    </xf>
    <xf numFmtId="4" fontId="35" fillId="0" borderId="62" xfId="19" applyNumberFormat="1" applyFont="1" applyBorder="1" applyAlignment="1">
      <alignment vertical="top" wrapText="1"/>
    </xf>
    <xf numFmtId="0" fontId="20" fillId="0" borderId="73" xfId="19" applyFont="1" applyBorder="1" applyAlignment="1">
      <alignment vertical="top"/>
    </xf>
    <xf numFmtId="2" fontId="35" fillId="0" borderId="62" xfId="19" applyNumberFormat="1" applyFont="1" applyBorder="1" applyAlignment="1">
      <alignment vertical="top" wrapText="1"/>
    </xf>
    <xf numFmtId="4" fontId="35" fillId="0" borderId="74" xfId="19" applyNumberFormat="1" applyFont="1" applyBorder="1" applyAlignment="1">
      <alignment vertical="top" wrapText="1"/>
    </xf>
    <xf numFmtId="0" fontId="20" fillId="0" borderId="75" xfId="19" applyFont="1" applyBorder="1" applyAlignment="1">
      <alignment vertical="top"/>
    </xf>
    <xf numFmtId="0" fontId="20" fillId="0" borderId="76" xfId="19" applyFont="1" applyBorder="1" applyAlignment="1">
      <alignment vertical="top"/>
    </xf>
    <xf numFmtId="4" fontId="35" fillId="0" borderId="77" xfId="19" applyNumberFormat="1" applyFont="1" applyBorder="1" applyAlignment="1">
      <alignment vertical="top" wrapText="1"/>
    </xf>
    <xf numFmtId="0" fontId="20" fillId="0" borderId="78" xfId="19" applyFont="1" applyBorder="1"/>
    <xf numFmtId="4" fontId="46" fillId="0" borderId="80" xfId="19" applyNumberFormat="1" applyFont="1" applyBorder="1"/>
    <xf numFmtId="3" fontId="46" fillId="0" borderId="81" xfId="19" applyNumberFormat="1" applyFont="1" applyBorder="1"/>
    <xf numFmtId="4" fontId="46" fillId="0" borderId="82" xfId="19" applyNumberFormat="1" applyFont="1" applyBorder="1"/>
    <xf numFmtId="3" fontId="22" fillId="0" borderId="83" xfId="19" applyNumberFormat="1" applyFont="1" applyBorder="1"/>
    <xf numFmtId="4" fontId="22" fillId="0" borderId="79" xfId="19" applyNumberFormat="1" applyFont="1" applyBorder="1"/>
    <xf numFmtId="4" fontId="22" fillId="0" borderId="84" xfId="19" applyNumberFormat="1" applyFont="1" applyBorder="1"/>
    <xf numFmtId="3" fontId="22" fillId="0" borderId="85" xfId="19" applyNumberFormat="1" applyFont="1" applyBorder="1"/>
    <xf numFmtId="4" fontId="22" fillId="0" borderId="87" xfId="19" applyNumberFormat="1" applyFont="1" applyBorder="1"/>
    <xf numFmtId="4" fontId="46" fillId="0" borderId="90" xfId="19" applyNumberFormat="1" applyFont="1" applyBorder="1"/>
    <xf numFmtId="4" fontId="46" fillId="0" borderId="91" xfId="19" applyNumberFormat="1" applyFont="1" applyBorder="1"/>
    <xf numFmtId="0" fontId="20" fillId="0" borderId="35" xfId="19" applyBorder="1"/>
    <xf numFmtId="0" fontId="20" fillId="0" borderId="31" xfId="19" applyBorder="1"/>
    <xf numFmtId="4" fontId="20" fillId="0" borderId="15" xfId="19" applyNumberFormat="1" applyBorder="1"/>
    <xf numFmtId="4" fontId="20" fillId="0" borderId="18" xfId="19" applyNumberFormat="1" applyBorder="1"/>
    <xf numFmtId="0" fontId="20" fillId="0" borderId="92" xfId="19" applyBorder="1" applyAlignment="1">
      <alignment horizontal="right"/>
    </xf>
    <xf numFmtId="0" fontId="20" fillId="0" borderId="92" xfId="19" applyFont="1" applyBorder="1"/>
    <xf numFmtId="10" fontId="46" fillId="0" borderId="93" xfId="19" applyNumberFormat="1" applyFont="1" applyBorder="1"/>
    <xf numFmtId="3" fontId="46" fillId="0" borderId="94" xfId="19" applyNumberFormat="1" applyFont="1" applyBorder="1"/>
    <xf numFmtId="4" fontId="46" fillId="0" borderId="95" xfId="19" applyNumberFormat="1" applyFont="1" applyBorder="1"/>
    <xf numFmtId="4" fontId="46" fillId="0" borderId="93" xfId="19" applyNumberFormat="1" applyFont="1" applyBorder="1"/>
    <xf numFmtId="10" fontId="46" fillId="0" borderId="0" xfId="19" applyNumberFormat="1" applyFont="1" applyBorder="1"/>
    <xf numFmtId="3" fontId="46" fillId="0" borderId="96" xfId="19" applyNumberFormat="1" applyFont="1" applyBorder="1"/>
    <xf numFmtId="2" fontId="46" fillId="0" borderId="93" xfId="19" applyNumberFormat="1" applyFont="1" applyBorder="1"/>
    <xf numFmtId="3" fontId="46" fillId="0" borderId="91" xfId="19" applyNumberFormat="1" applyFont="1" applyBorder="1"/>
    <xf numFmtId="3" fontId="46" fillId="0" borderId="97" xfId="19" applyNumberFormat="1" applyFont="1" applyBorder="1"/>
    <xf numFmtId="3" fontId="46" fillId="0" borderId="90" xfId="19" applyNumberFormat="1" applyFont="1" applyBorder="1"/>
    <xf numFmtId="4" fontId="20" fillId="0" borderId="34" xfId="19" applyNumberFormat="1" applyBorder="1"/>
    <xf numFmtId="4" fontId="20" fillId="0" borderId="36" xfId="19" applyNumberFormat="1" applyBorder="1"/>
    <xf numFmtId="4" fontId="46" fillId="0" borderId="0" xfId="19" applyNumberFormat="1" applyFont="1" applyBorder="1"/>
    <xf numFmtId="4" fontId="46" fillId="0" borderId="100" xfId="19" applyNumberFormat="1" applyFont="1" applyBorder="1"/>
    <xf numFmtId="4" fontId="46" fillId="0" borderId="102" xfId="19" applyNumberFormat="1" applyFont="1" applyBorder="1"/>
    <xf numFmtId="0" fontId="20" fillId="0" borderId="24" xfId="19" applyBorder="1"/>
    <xf numFmtId="0" fontId="20" fillId="0" borderId="23" xfId="19" applyBorder="1"/>
    <xf numFmtId="4" fontId="20" fillId="0" borderId="22" xfId="19" applyNumberFormat="1" applyBorder="1"/>
    <xf numFmtId="4" fontId="20" fillId="0" borderId="103" xfId="19" applyNumberFormat="1" applyBorder="1"/>
    <xf numFmtId="4" fontId="46" fillId="0" borderId="104" xfId="19" applyNumberFormat="1" applyFont="1" applyBorder="1"/>
    <xf numFmtId="3" fontId="46" fillId="0" borderId="105" xfId="19" applyNumberFormat="1" applyFont="1" applyBorder="1"/>
    <xf numFmtId="3" fontId="46" fillId="0" borderId="86" xfId="19" applyNumberFormat="1" applyFont="1" applyBorder="1"/>
    <xf numFmtId="2" fontId="46" fillId="0" borderId="87" xfId="19" applyNumberFormat="1" applyFont="1" applyBorder="1"/>
    <xf numFmtId="2" fontId="46" fillId="0" borderId="89" xfId="19" applyNumberFormat="1" applyFont="1" applyBorder="1"/>
    <xf numFmtId="0" fontId="20" fillId="0" borderId="17" xfId="19" applyBorder="1"/>
    <xf numFmtId="0" fontId="20" fillId="0" borderId="16" xfId="19" applyBorder="1"/>
    <xf numFmtId="3" fontId="46" fillId="0" borderId="99" xfId="19" applyNumberFormat="1" applyFont="1" applyBorder="1"/>
    <xf numFmtId="2" fontId="46" fillId="0" borderId="100" xfId="19" applyNumberFormat="1" applyFont="1" applyBorder="1"/>
    <xf numFmtId="3" fontId="46" fillId="0" borderId="101" xfId="19" applyNumberFormat="1" applyFont="1" applyBorder="1"/>
    <xf numFmtId="3" fontId="46" fillId="0" borderId="102" xfId="19" applyNumberFormat="1" applyFont="1" applyBorder="1"/>
    <xf numFmtId="4" fontId="46" fillId="0" borderId="81" xfId="19" applyNumberFormat="1" applyFont="1" applyBorder="1"/>
    <xf numFmtId="2" fontId="46" fillId="0" borderId="91" xfId="19" applyNumberFormat="1" applyFont="1" applyBorder="1"/>
    <xf numFmtId="2" fontId="46" fillId="0" borderId="90" xfId="19" applyNumberFormat="1" applyFont="1" applyBorder="1"/>
    <xf numFmtId="2" fontId="46" fillId="0" borderId="102" xfId="19" applyNumberFormat="1" applyFont="1" applyBorder="1"/>
    <xf numFmtId="4" fontId="46" fillId="0" borderId="87" xfId="19" applyNumberFormat="1" applyFont="1" applyBorder="1"/>
    <xf numFmtId="3" fontId="46" fillId="0" borderId="88" xfId="19" applyNumberFormat="1" applyFont="1" applyBorder="1"/>
    <xf numFmtId="3" fontId="46" fillId="0" borderId="89" xfId="19" applyNumberFormat="1" applyFont="1" applyBorder="1"/>
    <xf numFmtId="4" fontId="46" fillId="0" borderId="89" xfId="19" applyNumberFormat="1" applyFont="1" applyBorder="1"/>
    <xf numFmtId="0" fontId="4" fillId="0" borderId="63" xfId="19" applyFont="1" applyBorder="1"/>
    <xf numFmtId="4" fontId="47" fillId="0" borderId="79" xfId="19" applyNumberFormat="1" applyFont="1" applyBorder="1"/>
    <xf numFmtId="3" fontId="47" fillId="0" borderId="83" xfId="19" applyNumberFormat="1" applyFont="1" applyBorder="1"/>
    <xf numFmtId="4" fontId="47" fillId="0" borderId="106" xfId="19" applyNumberFormat="1" applyFont="1" applyBorder="1"/>
    <xf numFmtId="4" fontId="47" fillId="0" borderId="84" xfId="19" applyNumberFormat="1" applyFont="1" applyBorder="1"/>
    <xf numFmtId="3" fontId="47" fillId="0" borderId="85" xfId="19" applyNumberFormat="1" applyFont="1" applyBorder="1"/>
    <xf numFmtId="4" fontId="47" fillId="0" borderId="83" xfId="19" applyNumberFormat="1" applyFont="1" applyBorder="1"/>
    <xf numFmtId="4" fontId="47" fillId="0" borderId="107" xfId="19" applyNumberFormat="1" applyFont="1" applyBorder="1"/>
    <xf numFmtId="4" fontId="47" fillId="0" borderId="109" xfId="19" applyNumberFormat="1" applyFont="1" applyBorder="1"/>
    <xf numFmtId="4" fontId="47" fillId="0" borderId="110" xfId="19" applyNumberFormat="1" applyFont="1" applyBorder="1"/>
    <xf numFmtId="4" fontId="4" fillId="0" borderId="107" xfId="19" applyNumberFormat="1" applyFont="1" applyBorder="1"/>
    <xf numFmtId="0" fontId="4" fillId="0" borderId="92" xfId="19" applyFont="1" applyBorder="1"/>
    <xf numFmtId="4" fontId="47" fillId="0" borderId="93" xfId="19" applyNumberFormat="1" applyFont="1" applyBorder="1"/>
    <xf numFmtId="3" fontId="47" fillId="0" borderId="94" xfId="19" applyNumberFormat="1" applyFont="1" applyBorder="1"/>
    <xf numFmtId="4" fontId="47" fillId="0" borderId="95" xfId="19" applyNumberFormat="1" applyFont="1" applyBorder="1"/>
    <xf numFmtId="4" fontId="47" fillId="0" borderId="0" xfId="19" applyNumberFormat="1" applyFont="1" applyBorder="1"/>
    <xf numFmtId="3" fontId="47" fillId="0" borderId="96" xfId="19" applyNumberFormat="1" applyFont="1" applyBorder="1"/>
    <xf numFmtId="0" fontId="47" fillId="0" borderId="91" xfId="19" applyFont="1" applyBorder="1"/>
    <xf numFmtId="4" fontId="4" fillId="0" borderId="91" xfId="19" applyNumberFormat="1" applyFont="1" applyBorder="1"/>
    <xf numFmtId="0" fontId="4" fillId="0" borderId="71" xfId="19" applyFont="1" applyBorder="1"/>
    <xf numFmtId="4" fontId="47" fillId="0" borderId="111" xfId="19" applyNumberFormat="1" applyFont="1" applyBorder="1"/>
    <xf numFmtId="3" fontId="47" fillId="0" borderId="112" xfId="19" applyNumberFormat="1" applyFont="1" applyBorder="1"/>
    <xf numFmtId="4" fontId="47" fillId="0" borderId="113" xfId="19" applyNumberFormat="1" applyFont="1" applyBorder="1"/>
    <xf numFmtId="4" fontId="47" fillId="0" borderId="60" xfId="19" applyNumberFormat="1" applyFont="1" applyBorder="1"/>
    <xf numFmtId="3" fontId="47" fillId="0" borderId="114" xfId="19" applyNumberFormat="1" applyFont="1" applyBorder="1"/>
    <xf numFmtId="4" fontId="47" fillId="0" borderId="115" xfId="19" applyNumberFormat="1" applyFont="1" applyBorder="1"/>
    <xf numFmtId="4" fontId="47" fillId="0" borderId="117" xfId="19" applyNumberFormat="1" applyFont="1" applyBorder="1"/>
    <xf numFmtId="4" fontId="47" fillId="0" borderId="118" xfId="19" applyNumberFormat="1" applyFont="1" applyBorder="1"/>
    <xf numFmtId="4" fontId="4" fillId="0" borderId="115" xfId="19" applyNumberFormat="1" applyFont="1" applyBorder="1"/>
    <xf numFmtId="0" fontId="23" fillId="0" borderId="92" xfId="19" applyFont="1" applyBorder="1"/>
    <xf numFmtId="4" fontId="22" fillId="0" borderId="93" xfId="19" applyNumberFormat="1" applyFont="1" applyBorder="1"/>
    <xf numFmtId="3" fontId="22" fillId="0" borderId="94" xfId="19" applyNumberFormat="1" applyFont="1" applyBorder="1"/>
    <xf numFmtId="4" fontId="22" fillId="0" borderId="95" xfId="19" applyNumberFormat="1" applyFont="1" applyBorder="1"/>
    <xf numFmtId="4" fontId="22" fillId="0" borderId="0" xfId="19" applyNumberFormat="1" applyFont="1" applyBorder="1"/>
    <xf numFmtId="3" fontId="22" fillId="0" borderId="96" xfId="19" applyNumberFormat="1" applyFont="1" applyBorder="1"/>
    <xf numFmtId="4" fontId="22" fillId="0" borderId="91" xfId="19" applyNumberFormat="1" applyFont="1" applyBorder="1"/>
    <xf numFmtId="4" fontId="22" fillId="0" borderId="35" xfId="19" applyNumberFormat="1" applyFont="1" applyBorder="1"/>
    <xf numFmtId="4" fontId="46" fillId="0" borderId="31" xfId="19" applyNumberFormat="1" applyFont="1" applyBorder="1"/>
    <xf numFmtId="4" fontId="22" fillId="0" borderId="36" xfId="19" applyNumberFormat="1" applyFont="1" applyBorder="1"/>
    <xf numFmtId="10" fontId="22" fillId="0" borderId="93" xfId="19" applyNumberFormat="1" applyFont="1" applyBorder="1"/>
    <xf numFmtId="10" fontId="22" fillId="0" borderId="0" xfId="19" applyNumberFormat="1" applyFont="1" applyBorder="1"/>
    <xf numFmtId="2" fontId="22" fillId="0" borderId="93" xfId="19" applyNumberFormat="1" applyFont="1" applyBorder="1"/>
    <xf numFmtId="4" fontId="23" fillId="0" borderId="35" xfId="19" applyNumberFormat="1" applyFont="1" applyBorder="1"/>
    <xf numFmtId="4" fontId="20" fillId="0" borderId="31" xfId="19" applyNumberFormat="1" applyBorder="1"/>
    <xf numFmtId="0" fontId="20" fillId="0" borderId="63" xfId="19" applyFont="1" applyBorder="1"/>
    <xf numFmtId="4" fontId="46" fillId="0" borderId="79" xfId="19" applyNumberFormat="1" applyFont="1" applyBorder="1"/>
    <xf numFmtId="3" fontId="46" fillId="0" borderId="83" xfId="19" applyNumberFormat="1" applyFont="1" applyBorder="1"/>
    <xf numFmtId="4" fontId="46" fillId="0" borderId="106" xfId="19" applyNumberFormat="1" applyFont="1" applyBorder="1"/>
    <xf numFmtId="4" fontId="47" fillId="0" borderId="63" xfId="19" applyNumberFormat="1" applyFont="1" applyBorder="1"/>
    <xf numFmtId="3" fontId="47" fillId="0" borderId="119" xfId="19" applyNumberFormat="1" applyFont="1" applyBorder="1"/>
    <xf numFmtId="4" fontId="4" fillId="0" borderId="121" xfId="19" applyNumberFormat="1" applyFont="1" applyBorder="1"/>
    <xf numFmtId="4" fontId="20" fillId="0" borderId="122" xfId="19" applyNumberFormat="1" applyBorder="1"/>
    <xf numFmtId="4" fontId="4" fillId="0" borderId="123" xfId="19" applyNumberFormat="1" applyFont="1" applyBorder="1"/>
    <xf numFmtId="3" fontId="47" fillId="0" borderId="92" xfId="19" applyNumberFormat="1" applyFont="1" applyBorder="1"/>
    <xf numFmtId="3" fontId="47" fillId="0" borderId="34" xfId="19" applyNumberFormat="1" applyFont="1" applyBorder="1"/>
    <xf numFmtId="2" fontId="47" fillId="0" borderId="93" xfId="19" applyNumberFormat="1" applyFont="1" applyBorder="1"/>
    <xf numFmtId="4" fontId="47" fillId="0" borderId="91" xfId="19" applyNumberFormat="1" applyFont="1" applyBorder="1"/>
    <xf numFmtId="4" fontId="4" fillId="0" borderId="35" xfId="19" applyNumberFormat="1" applyFont="1" applyBorder="1"/>
    <xf numFmtId="0" fontId="20" fillId="0" borderId="71" xfId="19" applyFont="1" applyBorder="1"/>
    <xf numFmtId="3" fontId="47" fillId="0" borderId="71" xfId="19" applyNumberFormat="1" applyFont="1" applyBorder="1"/>
    <xf numFmtId="3" fontId="47" fillId="0" borderId="124" xfId="19" applyNumberFormat="1" applyFont="1" applyBorder="1"/>
    <xf numFmtId="4" fontId="4" fillId="0" borderId="125" xfId="19" applyNumberFormat="1" applyFont="1" applyBorder="1"/>
    <xf numFmtId="4" fontId="20" fillId="0" borderId="126" xfId="19" applyNumberFormat="1" applyBorder="1"/>
    <xf numFmtId="4" fontId="4" fillId="0" borderId="127" xfId="19" applyNumberFormat="1" applyFont="1" applyBorder="1"/>
    <xf numFmtId="0" fontId="20" fillId="0" borderId="92" xfId="19" applyFont="1" applyBorder="1" applyAlignment="1">
      <alignment horizontal="right"/>
    </xf>
    <xf numFmtId="3" fontId="46" fillId="0" borderId="92" xfId="19" applyNumberFormat="1" applyFont="1" applyBorder="1"/>
    <xf numFmtId="3" fontId="46" fillId="0" borderId="34" xfId="19" applyNumberFormat="1" applyFont="1" applyBorder="1"/>
    <xf numFmtId="4" fontId="20" fillId="0" borderId="35" xfId="19" applyNumberFormat="1" applyBorder="1"/>
    <xf numFmtId="0" fontId="46" fillId="0" borderId="91" xfId="19" applyFont="1" applyBorder="1"/>
    <xf numFmtId="3" fontId="46" fillId="0" borderId="124" xfId="19" applyNumberFormat="1" applyFont="1" applyBorder="1"/>
    <xf numFmtId="0" fontId="4" fillId="0" borderId="61" xfId="19" applyFont="1" applyBorder="1" applyAlignment="1">
      <alignment horizontal="right"/>
    </xf>
    <xf numFmtId="0" fontId="47" fillId="0" borderId="62" xfId="19" applyFont="1" applyBorder="1"/>
    <xf numFmtId="0" fontId="20" fillId="0" borderId="61" xfId="19" applyBorder="1"/>
    <xf numFmtId="4" fontId="46" fillId="0" borderId="62" xfId="19" applyNumberFormat="1" applyFont="1" applyBorder="1"/>
    <xf numFmtId="3" fontId="46" fillId="0" borderId="72" xfId="19" applyNumberFormat="1" applyFont="1" applyBorder="1"/>
    <xf numFmtId="4" fontId="46" fillId="0" borderId="128" xfId="19" applyNumberFormat="1" applyFont="1" applyBorder="1"/>
    <xf numFmtId="4" fontId="46" fillId="0" borderId="77" xfId="19" applyNumberFormat="1" applyFont="1" applyBorder="1"/>
    <xf numFmtId="3" fontId="46" fillId="0" borderId="73" xfId="19" applyNumberFormat="1" applyFont="1" applyBorder="1"/>
    <xf numFmtId="2" fontId="46" fillId="0" borderId="62" xfId="19" applyNumberFormat="1" applyFont="1" applyBorder="1"/>
    <xf numFmtId="0" fontId="46" fillId="0" borderId="74" xfId="19" applyFont="1" applyBorder="1"/>
    <xf numFmtId="0" fontId="46" fillId="0" borderId="76" xfId="19" applyFont="1" applyBorder="1"/>
    <xf numFmtId="0" fontId="20" fillId="0" borderId="129" xfId="19" applyBorder="1"/>
    <xf numFmtId="0" fontId="20" fillId="0" borderId="130" xfId="19" applyBorder="1"/>
    <xf numFmtId="4" fontId="20" fillId="0" borderId="132" xfId="19" applyNumberFormat="1" applyBorder="1"/>
    <xf numFmtId="0" fontId="47" fillId="0" borderId="92" xfId="19" applyFont="1" applyBorder="1" applyAlignment="1">
      <alignment horizontal="right" vertical="center"/>
    </xf>
    <xf numFmtId="0" fontId="47" fillId="0" borderId="93" xfId="19" applyFont="1" applyBorder="1" applyAlignment="1">
      <alignment wrapText="1"/>
    </xf>
    <xf numFmtId="0" fontId="46" fillId="0" borderId="92" xfId="19" applyFont="1" applyBorder="1"/>
    <xf numFmtId="0" fontId="46" fillId="0" borderId="90" xfId="19" applyFont="1" applyBorder="1"/>
    <xf numFmtId="0" fontId="4" fillId="0" borderId="92" xfId="19" applyFont="1" applyBorder="1" applyAlignment="1">
      <alignment horizontal="right"/>
    </xf>
    <xf numFmtId="4" fontId="4" fillId="0" borderId="122" xfId="19" applyNumberFormat="1" applyFont="1" applyBorder="1"/>
    <xf numFmtId="0" fontId="4" fillId="0" borderId="31" xfId="19" applyFont="1" applyBorder="1"/>
    <xf numFmtId="4" fontId="4" fillId="0" borderId="36" xfId="19" applyNumberFormat="1" applyFont="1" applyBorder="1"/>
    <xf numFmtId="4" fontId="4" fillId="0" borderId="126" xfId="19" applyNumberFormat="1" applyFont="1" applyBorder="1"/>
    <xf numFmtId="0" fontId="35" fillId="0" borderId="0" xfId="19" applyFont="1"/>
    <xf numFmtId="4" fontId="46" fillId="0" borderId="0" xfId="19" applyNumberFormat="1" applyFont="1"/>
    <xf numFmtId="4" fontId="10" fillId="0" borderId="133" xfId="1" applyNumberFormat="1" applyFont="1" applyBorder="1" applyAlignment="1">
      <alignment horizontal="center" vertical="center" wrapText="1"/>
    </xf>
    <xf numFmtId="4" fontId="15" fillId="0" borderId="3" xfId="2" applyNumberFormat="1" applyFont="1" applyFill="1" applyBorder="1" applyAlignment="1" applyProtection="1">
      <alignment horizontal="left" vertical="center"/>
      <protection locked="0"/>
    </xf>
    <xf numFmtId="4" fontId="18" fillId="0" borderId="3" xfId="2" applyNumberFormat="1" applyFont="1" applyFill="1" applyBorder="1" applyAlignment="1" applyProtection="1">
      <alignment horizontal="right" vertical="center"/>
      <protection locked="0"/>
    </xf>
    <xf numFmtId="4" fontId="3" fillId="0" borderId="3" xfId="2" applyNumberFormat="1" applyFont="1" applyFill="1" applyBorder="1" applyAlignment="1" applyProtection="1">
      <alignment horizontal="left"/>
      <protection locked="0"/>
    </xf>
    <xf numFmtId="4" fontId="4" fillId="0" borderId="37" xfId="3" applyNumberFormat="1" applyFont="1" applyBorder="1" applyAlignment="1">
      <alignment vertical="center"/>
    </xf>
    <xf numFmtId="4" fontId="22" fillId="0" borderId="37" xfId="3" applyNumberFormat="1" applyFont="1" applyBorder="1"/>
    <xf numFmtId="4" fontId="22" fillId="0" borderId="37" xfId="0" applyNumberFormat="1" applyFont="1" applyBorder="1"/>
    <xf numFmtId="165" fontId="22" fillId="0" borderId="37" xfId="0" applyNumberFormat="1" applyFont="1" applyBorder="1" applyAlignment="1">
      <alignment horizontal="right"/>
    </xf>
    <xf numFmtId="166" fontId="22" fillId="0" borderId="37" xfId="0" applyNumberFormat="1" applyFont="1" applyBorder="1" applyAlignment="1">
      <alignment horizontal="right"/>
    </xf>
    <xf numFmtId="4" fontId="22" fillId="0" borderId="37" xfId="0" applyNumberFormat="1" applyFont="1" applyBorder="1" applyAlignment="1">
      <alignment horizontal="right"/>
    </xf>
    <xf numFmtId="4" fontId="4" fillId="0" borderId="37" xfId="3" applyNumberFormat="1" applyFont="1" applyBorder="1" applyAlignment="1">
      <alignment horizontal="right" vertical="center"/>
    </xf>
    <xf numFmtId="166" fontId="23" fillId="0" borderId="37" xfId="3" applyNumberFormat="1" applyFont="1" applyBorder="1"/>
    <xf numFmtId="4" fontId="22" fillId="0" borderId="37" xfId="0" applyNumberFormat="1" applyFont="1" applyBorder="1" applyAlignment="1">
      <alignment horizontal="right" vertical="center"/>
    </xf>
    <xf numFmtId="4" fontId="22" fillId="0" borderId="40" xfId="0" applyNumberFormat="1" applyFont="1" applyBorder="1" applyAlignment="1">
      <alignment horizontal="right" vertical="center"/>
    </xf>
    <xf numFmtId="4" fontId="24" fillId="0" borderId="37" xfId="2" applyNumberFormat="1" applyFont="1" applyFill="1" applyBorder="1" applyAlignment="1" applyProtection="1">
      <alignment horizontal="right" vertical="center"/>
      <protection locked="0"/>
    </xf>
    <xf numFmtId="4" fontId="10" fillId="0" borderId="30" xfId="1" applyNumberFormat="1" applyFont="1" applyBorder="1" applyAlignment="1">
      <alignment horizontal="center" vertical="center" wrapText="1"/>
    </xf>
    <xf numFmtId="4" fontId="12" fillId="3" borderId="33" xfId="2" applyNumberFormat="1" applyFont="1" applyFill="1" applyBorder="1" applyAlignment="1" applyProtection="1">
      <alignment horizontal="right" vertical="center" wrapText="1"/>
      <protection locked="0"/>
    </xf>
    <xf numFmtId="4" fontId="15" fillId="0" borderId="30" xfId="2" applyNumberFormat="1" applyFont="1" applyFill="1" applyBorder="1" applyAlignment="1" applyProtection="1">
      <alignment horizontal="right" vertical="center"/>
      <protection locked="0"/>
    </xf>
    <xf numFmtId="4" fontId="15" fillId="0" borderId="134" xfId="2" applyNumberFormat="1" applyFont="1" applyFill="1" applyBorder="1" applyAlignment="1" applyProtection="1">
      <alignment horizontal="right" vertical="center"/>
      <protection locked="0"/>
    </xf>
    <xf numFmtId="4" fontId="15" fillId="4" borderId="33" xfId="2" applyNumberFormat="1" applyFont="1" applyFill="1" applyBorder="1" applyAlignment="1" applyProtection="1">
      <alignment horizontal="right" vertical="center" wrapText="1"/>
      <protection locked="0"/>
    </xf>
    <xf numFmtId="4" fontId="15" fillId="4" borderId="52" xfId="2" applyNumberFormat="1" applyFont="1" applyFill="1" applyBorder="1" applyAlignment="1" applyProtection="1">
      <alignment horizontal="right" vertical="center" wrapText="1"/>
      <protection locked="0"/>
    </xf>
    <xf numFmtId="4" fontId="15" fillId="8" borderId="30" xfId="2" applyNumberFormat="1" applyFont="1" applyFill="1" applyBorder="1" applyAlignment="1" applyProtection="1">
      <alignment horizontal="right" vertical="center" wrapText="1"/>
      <protection locked="0"/>
    </xf>
    <xf numFmtId="4" fontId="16" fillId="3" borderId="33" xfId="2" applyNumberFormat="1" applyFont="1" applyFill="1" applyBorder="1" applyAlignment="1" applyProtection="1">
      <alignment horizontal="right" vertical="center" wrapText="1"/>
      <protection locked="0"/>
    </xf>
    <xf numFmtId="4" fontId="15" fillId="5" borderId="30" xfId="2" applyNumberFormat="1" applyFont="1" applyFill="1" applyBorder="1" applyAlignment="1" applyProtection="1">
      <alignment horizontal="right" vertical="center"/>
      <protection locked="0"/>
    </xf>
    <xf numFmtId="4" fontId="15" fillId="4" borderId="45" xfId="2" applyNumberFormat="1" applyFont="1" applyFill="1" applyBorder="1" applyAlignment="1" applyProtection="1">
      <alignment horizontal="right" vertical="center" wrapText="1"/>
      <protection locked="0"/>
    </xf>
    <xf numFmtId="4" fontId="17" fillId="3" borderId="45" xfId="2" applyNumberFormat="1" applyFont="1" applyFill="1" applyBorder="1" applyAlignment="1" applyProtection="1">
      <alignment vertical="center" wrapText="1"/>
      <protection locked="0"/>
    </xf>
    <xf numFmtId="4" fontId="14" fillId="4" borderId="45" xfId="2" applyNumberFormat="1" applyFont="1" applyFill="1" applyBorder="1" applyAlignment="1" applyProtection="1">
      <alignment vertical="center" wrapText="1"/>
      <protection locked="0"/>
    </xf>
    <xf numFmtId="4" fontId="17" fillId="3" borderId="33" xfId="2" applyNumberFormat="1" applyFont="1" applyFill="1" applyBorder="1" applyAlignment="1" applyProtection="1">
      <alignment vertical="center" wrapText="1"/>
      <protection locked="0"/>
    </xf>
    <xf numFmtId="4" fontId="17" fillId="3" borderId="30" xfId="2" applyNumberFormat="1" applyFont="1" applyFill="1" applyBorder="1" applyAlignment="1" applyProtection="1">
      <alignment vertical="center" wrapText="1"/>
      <protection locked="0"/>
    </xf>
    <xf numFmtId="4" fontId="14" fillId="4" borderId="52" xfId="2" applyNumberFormat="1" applyFont="1" applyFill="1" applyBorder="1" applyAlignment="1" applyProtection="1">
      <alignment vertical="center" wrapText="1"/>
      <protection locked="0"/>
    </xf>
    <xf numFmtId="4" fontId="14" fillId="8" borderId="30" xfId="2" applyNumberFormat="1" applyFont="1" applyFill="1" applyBorder="1" applyAlignment="1" applyProtection="1">
      <alignment vertical="center" wrapText="1"/>
      <protection locked="0"/>
    </xf>
    <xf numFmtId="164" fontId="21" fillId="0" borderId="48" xfId="3" applyNumberFormat="1" applyFont="1" applyBorder="1" applyAlignment="1">
      <alignment horizontal="right" vertical="center"/>
    </xf>
    <xf numFmtId="4" fontId="4" fillId="0" borderId="135" xfId="3" applyNumberFormat="1" applyFont="1" applyBorder="1" applyAlignment="1">
      <alignment vertical="center"/>
    </xf>
    <xf numFmtId="4" fontId="22" fillId="0" borderId="135" xfId="3" applyNumberFormat="1" applyFont="1" applyBorder="1"/>
    <xf numFmtId="4" fontId="22" fillId="0" borderId="135" xfId="0" applyNumberFormat="1" applyFont="1" applyBorder="1"/>
    <xf numFmtId="165" fontId="22" fillId="0" borderId="135" xfId="0" applyNumberFormat="1" applyFont="1" applyBorder="1" applyAlignment="1">
      <alignment horizontal="right"/>
    </xf>
    <xf numFmtId="166" fontId="22" fillId="0" borderId="135" xfId="0" applyNumberFormat="1" applyFont="1" applyBorder="1" applyAlignment="1">
      <alignment horizontal="right"/>
    </xf>
    <xf numFmtId="4" fontId="22" fillId="0" borderId="135" xfId="0" applyNumberFormat="1" applyFont="1" applyBorder="1" applyAlignment="1">
      <alignment horizontal="right"/>
    </xf>
    <xf numFmtId="4" fontId="4" fillId="0" borderId="135" xfId="3" applyNumberFormat="1" applyFont="1" applyBorder="1" applyAlignment="1">
      <alignment horizontal="right" vertical="center"/>
    </xf>
    <xf numFmtId="166" fontId="23" fillId="0" borderId="135" xfId="3" applyNumberFormat="1" applyFont="1" applyBorder="1"/>
    <xf numFmtId="4" fontId="22" fillId="0" borderId="135" xfId="0" applyNumberFormat="1" applyFont="1" applyBorder="1" applyAlignment="1">
      <alignment horizontal="right" vertical="center"/>
    </xf>
    <xf numFmtId="4" fontId="22" fillId="0" borderId="136" xfId="0" applyNumberFormat="1" applyFont="1" applyBorder="1" applyAlignment="1">
      <alignment horizontal="right" vertical="center"/>
    </xf>
    <xf numFmtId="4" fontId="24" fillId="0" borderId="135" xfId="2" applyNumberFormat="1" applyFont="1" applyFill="1" applyBorder="1" applyAlignment="1" applyProtection="1">
      <alignment horizontal="right" vertical="center"/>
      <protection locked="0"/>
    </xf>
    <xf numFmtId="4" fontId="15" fillId="0" borderId="34" xfId="2" applyNumberFormat="1" applyFont="1" applyFill="1" applyBorder="1" applyAlignment="1" applyProtection="1">
      <alignment vertical="center"/>
      <protection locked="0"/>
    </xf>
    <xf numFmtId="10" fontId="15" fillId="0" borderId="34" xfId="2" applyNumberFormat="1" applyFont="1" applyFill="1" applyBorder="1" applyAlignment="1" applyProtection="1">
      <alignment vertical="center"/>
      <protection locked="0"/>
    </xf>
    <xf numFmtId="4" fontId="15" fillId="0" borderId="31" xfId="2" applyNumberFormat="1" applyFont="1" applyFill="1" applyBorder="1" applyAlignment="1" applyProtection="1">
      <alignment vertical="center"/>
      <protection locked="0"/>
    </xf>
    <xf numFmtId="4" fontId="15" fillId="0" borderId="35" xfId="2" applyNumberFormat="1" applyFont="1" applyFill="1" applyBorder="1" applyAlignment="1" applyProtection="1">
      <alignment vertical="center"/>
      <protection locked="0"/>
    </xf>
    <xf numFmtId="4" fontId="15" fillId="0" borderId="48" xfId="2" applyNumberFormat="1" applyFont="1" applyFill="1" applyBorder="1" applyAlignment="1" applyProtection="1">
      <alignment vertical="center"/>
      <protection locked="0"/>
    </xf>
    <xf numFmtId="10" fontId="12" fillId="3" borderId="9" xfId="2" applyNumberFormat="1" applyFont="1" applyFill="1" applyBorder="1" applyAlignment="1" applyProtection="1">
      <alignment horizontal="right" vertical="center" wrapText="1"/>
      <protection locked="0"/>
    </xf>
    <xf numFmtId="10" fontId="0" fillId="0" borderId="0" xfId="0" applyNumberFormat="1"/>
    <xf numFmtId="10" fontId="37" fillId="2" borderId="2" xfId="2" applyNumberFormat="1" applyFont="1" applyFill="1" applyBorder="1" applyAlignment="1" applyProtection="1">
      <alignment horizontal="right" vertical="center" wrapText="1"/>
      <protection locked="0"/>
    </xf>
    <xf numFmtId="4" fontId="37" fillId="2" borderId="11" xfId="2" applyNumberFormat="1" applyFont="1" applyFill="1" applyBorder="1" applyAlignment="1" applyProtection="1">
      <alignment horizontal="right" vertical="center" wrapText="1"/>
      <protection locked="0"/>
    </xf>
    <xf numFmtId="10" fontId="37" fillId="0" borderId="6" xfId="2" applyNumberFormat="1" applyFont="1" applyFill="1" applyBorder="1" applyAlignment="1" applyProtection="1">
      <alignment horizontal="right" vertical="center"/>
      <protection locked="0"/>
    </xf>
    <xf numFmtId="49" fontId="6" fillId="2" borderId="137" xfId="2" applyNumberFormat="1" applyFont="1" applyFill="1" applyBorder="1" applyAlignment="1" applyProtection="1">
      <alignment horizontal="center" vertical="center" wrapText="1"/>
      <protection locked="0"/>
    </xf>
    <xf numFmtId="49" fontId="12" fillId="3" borderId="137" xfId="2" applyNumberFormat="1" applyFont="1" applyFill="1" applyBorder="1" applyAlignment="1" applyProtection="1">
      <alignment horizontal="center" vertical="center" wrapText="1"/>
      <protection locked="0"/>
    </xf>
    <xf numFmtId="49" fontId="13" fillId="2" borderId="138" xfId="2" applyNumberFormat="1" applyFont="1" applyFill="1" applyBorder="1" applyAlignment="1" applyProtection="1">
      <alignment horizontal="center" vertical="center" wrapText="1"/>
      <protection locked="0"/>
    </xf>
    <xf numFmtId="49" fontId="14" fillId="2" borderId="138" xfId="2" applyNumberFormat="1" applyFont="1" applyFill="1" applyBorder="1" applyAlignment="1" applyProtection="1">
      <alignment horizontal="center" vertical="center" wrapText="1"/>
      <protection locked="0"/>
    </xf>
    <xf numFmtId="49" fontId="12" fillId="3" borderId="137" xfId="2" quotePrefix="1" applyNumberFormat="1" applyFont="1" applyFill="1" applyBorder="1" applyAlignment="1" applyProtection="1">
      <alignment horizontal="center" vertical="center" wrapText="1"/>
      <protection locked="0"/>
    </xf>
    <xf numFmtId="49" fontId="17" fillId="3" borderId="137" xfId="2" applyNumberFormat="1" applyFont="1" applyFill="1" applyBorder="1" applyAlignment="1" applyProtection="1">
      <alignment horizontal="center" vertical="center" wrapText="1"/>
      <protection locked="0"/>
    </xf>
    <xf numFmtId="49" fontId="13" fillId="8" borderId="138" xfId="2" applyNumberFormat="1" applyFont="1" applyFill="1" applyBorder="1" applyAlignment="1" applyProtection="1">
      <alignment horizontal="center" vertical="center" wrapText="1"/>
      <protection locked="0"/>
    </xf>
    <xf numFmtId="49" fontId="14" fillId="2" borderId="31" xfId="2" applyNumberFormat="1" applyFont="1" applyFill="1" applyBorder="1" applyAlignment="1" applyProtection="1">
      <alignment horizontal="center" vertical="center" wrapText="1"/>
      <protection locked="0"/>
    </xf>
    <xf numFmtId="10" fontId="15" fillId="0" borderId="28" xfId="2" applyNumberFormat="1" applyFont="1" applyFill="1" applyBorder="1" applyAlignment="1" applyProtection="1">
      <alignment horizontal="right" vertical="center"/>
      <protection locked="0"/>
    </xf>
    <xf numFmtId="10" fontId="19" fillId="0" borderId="139" xfId="2" applyNumberFormat="1" applyFont="1" applyFill="1" applyBorder="1" applyAlignment="1" applyProtection="1">
      <alignment horizontal="right" vertical="center"/>
      <protection locked="0"/>
    </xf>
    <xf numFmtId="10" fontId="15" fillId="0" borderId="139" xfId="2" applyNumberFormat="1" applyFont="1" applyFill="1" applyBorder="1" applyAlignment="1" applyProtection="1">
      <alignment horizontal="right" vertical="center"/>
      <protection locked="0"/>
    </xf>
    <xf numFmtId="10" fontId="24" fillId="0" borderId="139" xfId="2" applyNumberFormat="1" applyFont="1" applyFill="1" applyBorder="1" applyAlignment="1" applyProtection="1">
      <alignment horizontal="right" vertical="center"/>
      <protection locked="0"/>
    </xf>
    <xf numFmtId="10" fontId="15" fillId="0" borderId="29" xfId="2" applyNumberFormat="1" applyFont="1" applyFill="1" applyBorder="1" applyAlignment="1" applyProtection="1">
      <alignment horizontal="right" vertical="center"/>
      <protection locked="0"/>
    </xf>
    <xf numFmtId="49" fontId="14" fillId="2" borderId="140" xfId="2" applyNumberFormat="1" applyFont="1" applyFill="1" applyBorder="1" applyAlignment="1" applyProtection="1">
      <alignment horizontal="center" vertical="center" wrapText="1"/>
      <protection locked="0"/>
    </xf>
    <xf numFmtId="49" fontId="14" fillId="2" borderId="141" xfId="2" applyNumberFormat="1" applyFont="1" applyFill="1" applyBorder="1" applyAlignment="1" applyProtection="1">
      <alignment horizontal="center" vertical="center" wrapText="1"/>
      <protection locked="0"/>
    </xf>
    <xf numFmtId="49" fontId="14" fillId="2" borderId="141" xfId="2" applyNumberFormat="1" applyFont="1" applyFill="1" applyBorder="1" applyAlignment="1" applyProtection="1">
      <alignment horizontal="left" vertical="center" wrapText="1"/>
      <protection locked="0"/>
    </xf>
    <xf numFmtId="4" fontId="14" fillId="2" borderId="142" xfId="2" applyNumberFormat="1" applyFont="1" applyFill="1" applyBorder="1" applyAlignment="1" applyProtection="1">
      <alignment horizontal="right" vertical="center" wrapText="1"/>
      <protection locked="0"/>
    </xf>
    <xf numFmtId="0" fontId="0" fillId="0" borderId="143" xfId="3" applyFont="1" applyBorder="1"/>
    <xf numFmtId="0" fontId="0" fillId="0" borderId="143" xfId="0" applyBorder="1"/>
    <xf numFmtId="0" fontId="3" fillId="0" borderId="144" xfId="2" applyNumberFormat="1" applyFont="1" applyFill="1" applyBorder="1" applyAlignment="1" applyProtection="1">
      <alignment horizontal="left"/>
      <protection locked="0"/>
    </xf>
    <xf numFmtId="0" fontId="3" fillId="0" borderId="145" xfId="2" applyNumberFormat="1" applyFont="1" applyFill="1" applyBorder="1" applyAlignment="1" applyProtection="1">
      <alignment horizontal="left"/>
      <protection locked="0"/>
    </xf>
    <xf numFmtId="4" fontId="15" fillId="5" borderId="2" xfId="2" applyNumberFormat="1" applyFont="1" applyFill="1" applyBorder="1" applyAlignment="1" applyProtection="1">
      <alignment horizontal="right" vertical="center"/>
      <protection locked="0"/>
    </xf>
    <xf numFmtId="49" fontId="14" fillId="4" borderId="13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134" xfId="2" applyNumberFormat="1" applyFont="1" applyFill="1" applyBorder="1" applyAlignment="1" applyProtection="1">
      <alignment horizontal="right" vertical="center"/>
      <protection locked="0"/>
    </xf>
    <xf numFmtId="4" fontId="2" fillId="0" borderId="28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51" xfId="2" applyNumberFormat="1" applyFont="1" applyFill="1" applyBorder="1" applyAlignment="1" applyProtection="1">
      <alignment horizontal="right" vertical="center" wrapText="1"/>
      <protection locked="0"/>
    </xf>
    <xf numFmtId="4" fontId="2" fillId="5" borderId="2" xfId="2" applyNumberFormat="1" applyFont="1" applyFill="1" applyBorder="1" applyAlignment="1" applyProtection="1">
      <alignment horizontal="right" vertical="center" wrapText="1"/>
      <protection locked="0"/>
    </xf>
    <xf numFmtId="49" fontId="14" fillId="2" borderId="19" xfId="2" applyNumberFormat="1" applyFont="1" applyFill="1" applyBorder="1" applyAlignment="1" applyProtection="1">
      <alignment horizontal="left" vertical="center" wrapText="1"/>
      <protection locked="0"/>
    </xf>
    <xf numFmtId="4" fontId="2" fillId="0" borderId="147" xfId="2" applyNumberFormat="1" applyFont="1" applyFill="1" applyBorder="1" applyAlignment="1" applyProtection="1">
      <alignment horizontal="right" vertical="center"/>
      <protection locked="0"/>
    </xf>
    <xf numFmtId="4" fontId="2" fillId="5" borderId="148" xfId="2" applyNumberFormat="1" applyFont="1" applyFill="1" applyBorder="1" applyAlignment="1" applyProtection="1">
      <alignment horizontal="right" vertical="center"/>
      <protection locked="0"/>
    </xf>
    <xf numFmtId="4" fontId="2" fillId="0" borderId="149" xfId="2" applyNumberFormat="1" applyFont="1" applyFill="1" applyBorder="1" applyAlignment="1" applyProtection="1">
      <alignment horizontal="right" vertical="center"/>
      <protection locked="0"/>
    </xf>
    <xf numFmtId="4" fontId="14" fillId="4" borderId="146" xfId="2" applyNumberFormat="1" applyFont="1" applyFill="1" applyBorder="1" applyAlignment="1" applyProtection="1">
      <alignment horizontal="right" vertical="center" wrapText="1"/>
      <protection locked="0"/>
    </xf>
    <xf numFmtId="4" fontId="6" fillId="7" borderId="150" xfId="2" applyNumberFormat="1" applyFont="1" applyFill="1" applyBorder="1" applyAlignment="1" applyProtection="1">
      <alignment horizontal="right" vertical="center"/>
      <protection locked="0"/>
    </xf>
    <xf numFmtId="49" fontId="14" fillId="4" borderId="151" xfId="2" applyNumberFormat="1" applyFont="1" applyFill="1" applyBorder="1" applyAlignment="1" applyProtection="1">
      <alignment horizontal="center" vertical="center" wrapText="1"/>
      <protection locked="0"/>
    </xf>
    <xf numFmtId="49" fontId="14" fillId="4" borderId="7" xfId="2" applyNumberFormat="1" applyFont="1" applyFill="1" applyBorder="1" applyAlignment="1" applyProtection="1">
      <alignment horizontal="left" vertical="center" wrapText="1"/>
      <protection locked="0"/>
    </xf>
    <xf numFmtId="4" fontId="2" fillId="5" borderId="23" xfId="2" applyNumberFormat="1" applyFont="1" applyFill="1" applyBorder="1" applyAlignment="1" applyProtection="1">
      <alignment horizontal="right" vertical="center"/>
      <protection locked="0"/>
    </xf>
    <xf numFmtId="4" fontId="2" fillId="5" borderId="49" xfId="2" applyNumberFormat="1" applyFont="1" applyFill="1" applyBorder="1" applyAlignment="1" applyProtection="1">
      <alignment horizontal="right" vertical="center"/>
      <protection locked="0"/>
    </xf>
    <xf numFmtId="4" fontId="2" fillId="5" borderId="50" xfId="2" applyNumberFormat="1" applyFont="1" applyFill="1" applyBorder="1" applyAlignment="1" applyProtection="1">
      <alignment horizontal="right" vertical="center"/>
      <protection locked="0"/>
    </xf>
    <xf numFmtId="4" fontId="2" fillId="5" borderId="51" xfId="2" applyNumberFormat="1" applyFont="1" applyFill="1" applyBorder="1" applyAlignment="1" applyProtection="1">
      <alignment horizontal="right" vertical="center"/>
      <protection locked="0"/>
    </xf>
    <xf numFmtId="4" fontId="2" fillId="5" borderId="22" xfId="2" applyNumberFormat="1" applyFont="1" applyFill="1" applyBorder="1" applyAlignment="1" applyProtection="1">
      <alignment horizontal="right" vertical="center"/>
      <protection locked="0"/>
    </xf>
    <xf numFmtId="4" fontId="2" fillId="0" borderId="2" xfId="2" applyNumberFormat="1" applyFont="1" applyFill="1" applyBorder="1" applyAlignment="1" applyProtection="1">
      <alignment horizontal="right" vertical="center" wrapText="1"/>
      <protection locked="0"/>
    </xf>
    <xf numFmtId="10" fontId="2" fillId="5" borderId="28" xfId="2" applyNumberFormat="1" applyFont="1" applyFill="1" applyBorder="1" applyAlignment="1" applyProtection="1">
      <alignment horizontal="right" vertical="center"/>
      <protection locked="0"/>
    </xf>
    <xf numFmtId="4" fontId="14" fillId="4" borderId="153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142" xfId="2" applyNumberFormat="1" applyFont="1" applyFill="1" applyBorder="1" applyAlignment="1" applyProtection="1">
      <alignment horizontal="right" vertical="center" wrapText="1"/>
      <protection locked="0"/>
    </xf>
    <xf numFmtId="4" fontId="14" fillId="4" borderId="154" xfId="2" applyNumberFormat="1" applyFont="1" applyFill="1" applyBorder="1" applyAlignment="1" applyProtection="1">
      <alignment horizontal="right" vertical="center" wrapText="1"/>
      <protection locked="0"/>
    </xf>
    <xf numFmtId="4" fontId="2" fillId="5" borderId="11" xfId="2" applyNumberFormat="1" applyFont="1" applyFill="1" applyBorder="1" applyAlignment="1" applyProtection="1">
      <alignment horizontal="right" vertical="center"/>
      <protection locked="0"/>
    </xf>
    <xf numFmtId="4" fontId="2" fillId="5" borderId="152" xfId="2" applyNumberFormat="1" applyFont="1" applyFill="1" applyBorder="1" applyAlignment="1" applyProtection="1">
      <alignment horizontal="right" vertical="center"/>
      <protection locked="0"/>
    </xf>
    <xf numFmtId="10" fontId="48" fillId="0" borderId="39" xfId="2" applyNumberFormat="1" applyFont="1" applyFill="1" applyBorder="1" applyAlignment="1" applyProtection="1">
      <alignment horizontal="right"/>
      <protection locked="0"/>
    </xf>
    <xf numFmtId="4" fontId="37" fillId="2" borderId="5" xfId="2" applyNumberFormat="1" applyFont="1" applyFill="1" applyBorder="1" applyAlignment="1" applyProtection="1">
      <alignment horizontal="right" vertical="center" wrapText="1"/>
      <protection locked="0"/>
    </xf>
    <xf numFmtId="10" fontId="37" fillId="2" borderId="11" xfId="2" applyNumberFormat="1" applyFont="1" applyFill="1" applyBorder="1" applyAlignment="1" applyProtection="1">
      <alignment horizontal="right" vertical="center" wrapText="1"/>
      <protection locked="0"/>
    </xf>
    <xf numFmtId="4" fontId="35" fillId="0" borderId="30" xfId="2" applyNumberFormat="1" applyFont="1" applyFill="1" applyBorder="1" applyAlignment="1" applyProtection="1">
      <alignment horizontal="right" vertical="center"/>
      <protection locked="0"/>
    </xf>
    <xf numFmtId="4" fontId="35" fillId="0" borderId="48" xfId="2" applyNumberFormat="1" applyFont="1" applyFill="1" applyBorder="1" applyAlignment="1" applyProtection="1">
      <alignment horizontal="right" vertical="center"/>
      <protection locked="0"/>
    </xf>
    <xf numFmtId="4" fontId="14" fillId="2" borderId="22" xfId="2" applyNumberFormat="1" applyFont="1" applyFill="1" applyBorder="1" applyAlignment="1" applyProtection="1">
      <alignment horizontal="right" vertical="center" wrapText="1"/>
      <protection locked="0"/>
    </xf>
    <xf numFmtId="4" fontId="2" fillId="0" borderId="50" xfId="2" applyNumberFormat="1" applyFont="1" applyFill="1" applyBorder="1" applyAlignment="1" applyProtection="1">
      <alignment horizontal="right" vertical="center"/>
      <protection locked="0"/>
    </xf>
    <xf numFmtId="49" fontId="14" fillId="2" borderId="31" xfId="2" applyNumberFormat="1" applyFont="1" applyFill="1" applyBorder="1" applyAlignment="1" applyProtection="1">
      <alignment horizontal="center" vertical="center" wrapText="1"/>
      <protection locked="0"/>
    </xf>
    <xf numFmtId="49" fontId="14" fillId="8" borderId="22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2" applyNumberFormat="1" applyFont="1" applyFill="1" applyBorder="1" applyAlignment="1" applyProtection="1">
      <alignment horizontal="center" vertical="top" wrapText="1"/>
      <protection locked="0"/>
    </xf>
    <xf numFmtId="0" fontId="2" fillId="0" borderId="6" xfId="2" applyNumberFormat="1" applyFont="1" applyFill="1" applyBorder="1" applyAlignment="1" applyProtection="1">
      <alignment horizontal="left" vertical="top" wrapText="1"/>
      <protection locked="0"/>
    </xf>
    <xf numFmtId="0" fontId="2" fillId="0" borderId="28" xfId="2" applyNumberFormat="1" applyFont="1" applyFill="1" applyBorder="1" applyAlignment="1" applyProtection="1">
      <alignment horizontal="left" vertical="top" wrapText="1"/>
      <protection locked="0"/>
    </xf>
    <xf numFmtId="0" fontId="2" fillId="5" borderId="6" xfId="2" applyNumberFormat="1" applyFont="1" applyFill="1" applyBorder="1" applyAlignment="1" applyProtection="1">
      <alignment horizontal="left" vertical="top" wrapText="1"/>
      <protection locked="0"/>
    </xf>
    <xf numFmtId="0" fontId="2" fillId="6" borderId="6" xfId="2" applyNumberFormat="1" applyFont="1" applyFill="1" applyBorder="1" applyAlignment="1" applyProtection="1">
      <alignment horizontal="left" vertical="top" wrapText="1"/>
      <protection locked="0"/>
    </xf>
    <xf numFmtId="0" fontId="2" fillId="0" borderId="51" xfId="2" applyNumberFormat="1" applyFont="1" applyFill="1" applyBorder="1" applyAlignment="1" applyProtection="1">
      <alignment horizontal="left" vertical="top" wrapText="1"/>
      <protection locked="0"/>
    </xf>
    <xf numFmtId="4" fontId="6" fillId="7" borderId="152" xfId="2" applyNumberFormat="1" applyFont="1" applyFill="1" applyBorder="1" applyAlignment="1" applyProtection="1">
      <alignment horizontal="right" vertical="center"/>
      <protection locked="0"/>
    </xf>
    <xf numFmtId="10" fontId="17" fillId="3" borderId="9" xfId="2" applyNumberFormat="1" applyFont="1" applyFill="1" applyBorder="1" applyAlignment="1" applyProtection="1">
      <alignment horizontal="right" vertical="center" wrapText="1"/>
      <protection locked="0"/>
    </xf>
    <xf numFmtId="10" fontId="17" fillId="4" borderId="9" xfId="2" applyNumberFormat="1" applyFont="1" applyFill="1" applyBorder="1" applyAlignment="1" applyProtection="1">
      <alignment horizontal="right" vertical="center" wrapText="1"/>
      <protection locked="0"/>
    </xf>
    <xf numFmtId="10" fontId="14" fillId="4" borderId="9" xfId="2" applyNumberFormat="1" applyFont="1" applyFill="1" applyBorder="1" applyAlignment="1" applyProtection="1">
      <alignment horizontal="right" vertical="center" wrapText="1"/>
      <protection locked="0"/>
    </xf>
    <xf numFmtId="0" fontId="34" fillId="5" borderId="0" xfId="0" applyFont="1" applyFill="1" applyBorder="1" applyAlignment="1">
      <alignment vertical="center"/>
    </xf>
    <xf numFmtId="49" fontId="12" fillId="8" borderId="138" xfId="2" applyNumberFormat="1" applyFont="1" applyFill="1" applyBorder="1" applyAlignment="1" applyProtection="1">
      <alignment horizontal="center" vertical="center" wrapText="1"/>
      <protection locked="0"/>
    </xf>
    <xf numFmtId="49" fontId="17" fillId="3" borderId="32" xfId="2" applyNumberFormat="1" applyFont="1" applyFill="1" applyBorder="1" applyAlignment="1" applyProtection="1">
      <alignment horizontal="center" vertical="center" wrapText="1"/>
      <protection locked="0"/>
    </xf>
    <xf numFmtId="3" fontId="47" fillId="0" borderId="108" xfId="19" applyNumberFormat="1" applyFont="1" applyBorder="1"/>
    <xf numFmtId="3" fontId="47" fillId="0" borderId="29" xfId="19" applyNumberFormat="1" applyFont="1" applyBorder="1"/>
    <xf numFmtId="3" fontId="47" fillId="0" borderId="116" xfId="19" applyNumberFormat="1" applyFont="1" applyBorder="1"/>
    <xf numFmtId="3" fontId="47" fillId="0" borderId="155" xfId="19" applyNumberFormat="1" applyFont="1" applyBorder="1"/>
    <xf numFmtId="3" fontId="47" fillId="0" borderId="156" xfId="19" applyNumberFormat="1" applyFont="1" applyBorder="1"/>
    <xf numFmtId="3" fontId="47" fillId="0" borderId="157" xfId="19" applyNumberFormat="1" applyFont="1" applyBorder="1"/>
    <xf numFmtId="49" fontId="17" fillId="2" borderId="15" xfId="2" applyNumberFormat="1" applyFont="1" applyFill="1" applyBorder="1" applyAlignment="1" applyProtection="1">
      <alignment horizontal="center" vertical="center" wrapText="1"/>
      <protection locked="0"/>
    </xf>
    <xf numFmtId="49" fontId="17" fillId="2" borderId="34" xfId="2" applyNumberFormat="1" applyFont="1" applyFill="1" applyBorder="1" applyAlignment="1" applyProtection="1">
      <alignment horizontal="center" vertical="center" wrapText="1"/>
      <protection locked="0"/>
    </xf>
    <xf numFmtId="49" fontId="17" fillId="2" borderId="22" xfId="2" applyNumberFormat="1" applyFont="1" applyFill="1" applyBorder="1" applyAlignment="1" applyProtection="1">
      <alignment horizontal="center" vertical="center" wrapText="1"/>
      <protection locked="0"/>
    </xf>
    <xf numFmtId="49" fontId="14" fillId="8" borderId="16" xfId="2" applyNumberFormat="1" applyFont="1" applyFill="1" applyBorder="1" applyAlignment="1" applyProtection="1">
      <alignment horizontal="center" vertical="center" wrapText="1"/>
      <protection locked="0"/>
    </xf>
    <xf numFmtId="49" fontId="14" fillId="8" borderId="31" xfId="2" applyNumberFormat="1" applyFont="1" applyFill="1" applyBorder="1" applyAlignment="1" applyProtection="1">
      <alignment horizontal="center" vertical="center" wrapText="1"/>
      <protection locked="0"/>
    </xf>
    <xf numFmtId="49" fontId="14" fillId="8" borderId="23" xfId="2" applyNumberFormat="1" applyFont="1" applyFill="1" applyBorder="1" applyAlignment="1" applyProtection="1">
      <alignment horizontal="center" vertical="center" wrapText="1"/>
      <protection locked="0"/>
    </xf>
    <xf numFmtId="49" fontId="19" fillId="2" borderId="137" xfId="2" applyNumberFormat="1" applyFont="1" applyFill="1" applyBorder="1" applyAlignment="1" applyProtection="1">
      <alignment horizontal="right" vertical="center" wrapText="1"/>
      <protection locked="0"/>
    </xf>
    <xf numFmtId="49" fontId="19" fillId="2" borderId="1" xfId="2" applyNumberFormat="1" applyFont="1" applyFill="1" applyBorder="1" applyAlignment="1" applyProtection="1">
      <alignment horizontal="right" vertical="center" wrapText="1"/>
      <protection locked="0"/>
    </xf>
    <xf numFmtId="49" fontId="19" fillId="2" borderId="7" xfId="2" applyNumberFormat="1" applyFont="1" applyFill="1" applyBorder="1" applyAlignment="1" applyProtection="1">
      <alignment horizontal="right" vertical="center" wrapText="1"/>
      <protection locked="0"/>
    </xf>
    <xf numFmtId="43" fontId="5" fillId="0" borderId="0" xfId="1" applyFont="1" applyBorder="1" applyAlignment="1">
      <alignment horizontal="center" vertical="top" wrapText="1"/>
    </xf>
    <xf numFmtId="43" fontId="4" fillId="0" borderId="0" xfId="1" applyFont="1" applyBorder="1" applyAlignment="1">
      <alignment horizontal="left" vertical="top" wrapText="1"/>
    </xf>
    <xf numFmtId="4" fontId="15" fillId="0" borderId="54" xfId="2" applyNumberFormat="1" applyFont="1" applyFill="1" applyBorder="1" applyAlignment="1" applyProtection="1">
      <alignment horizontal="center" vertical="center"/>
      <protection locked="0"/>
    </xf>
    <xf numFmtId="49" fontId="37" fillId="2" borderId="2" xfId="2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2" applyNumberFormat="1" applyFont="1" applyFill="1" applyBorder="1" applyAlignment="1" applyProtection="1">
      <alignment horizontal="center"/>
      <protection locked="0"/>
    </xf>
    <xf numFmtId="0" fontId="19" fillId="0" borderId="55" xfId="2" applyNumberFormat="1" applyFont="1" applyFill="1" applyBorder="1" applyAlignment="1" applyProtection="1">
      <alignment horizontal="center"/>
      <protection locked="0"/>
    </xf>
    <xf numFmtId="49" fontId="14" fillId="8" borderId="15" xfId="2" applyNumberFormat="1" applyFont="1" applyFill="1" applyBorder="1" applyAlignment="1" applyProtection="1">
      <alignment horizontal="center" vertical="center" wrapText="1"/>
      <protection locked="0"/>
    </xf>
    <xf numFmtId="49" fontId="14" fillId="8" borderId="34" xfId="2" applyNumberFormat="1" applyFont="1" applyFill="1" applyBorder="1" applyAlignment="1" applyProtection="1">
      <alignment horizontal="center" vertical="center" wrapText="1"/>
      <protection locked="0"/>
    </xf>
    <xf numFmtId="49" fontId="14" fillId="2" borderId="16" xfId="2" applyNumberFormat="1" applyFont="1" applyFill="1" applyBorder="1" applyAlignment="1" applyProtection="1">
      <alignment horizontal="center" vertical="center" wrapText="1"/>
      <protection locked="0"/>
    </xf>
    <xf numFmtId="49" fontId="14" fillId="2" borderId="31" xfId="2" applyNumberFormat="1" applyFont="1" applyFill="1" applyBorder="1" applyAlignment="1" applyProtection="1">
      <alignment horizontal="center" vertical="center" wrapText="1"/>
      <protection locked="0"/>
    </xf>
    <xf numFmtId="49" fontId="14" fillId="8" borderId="22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18" applyNumberFormat="1" applyFont="1" applyFill="1" applyBorder="1" applyAlignment="1" applyProtection="1">
      <alignment horizontal="left" vertical="center" wrapText="1"/>
      <protection locked="0"/>
    </xf>
    <xf numFmtId="0" fontId="4" fillId="0" borderId="61" xfId="19" applyFont="1" applyBorder="1" applyAlignment="1">
      <alignment horizontal="center" vertical="top"/>
    </xf>
    <xf numFmtId="0" fontId="4" fillId="0" borderId="62" xfId="19" applyFont="1" applyBorder="1" applyAlignment="1">
      <alignment horizontal="left" vertical="top" wrapText="1"/>
    </xf>
    <xf numFmtId="0" fontId="20" fillId="0" borderId="63" xfId="19" applyBorder="1" applyAlignment="1">
      <alignment horizontal="center" vertical="top"/>
    </xf>
    <xf numFmtId="0" fontId="20" fillId="0" borderId="71" xfId="19" applyBorder="1" applyAlignment="1">
      <alignment horizontal="center" vertical="top"/>
    </xf>
    <xf numFmtId="0" fontId="46" fillId="0" borderId="62" xfId="19" applyFont="1" applyBorder="1" applyAlignment="1">
      <alignment horizontal="center" wrapText="1"/>
    </xf>
    <xf numFmtId="0" fontId="20" fillId="0" borderId="61" xfId="19" applyBorder="1" applyAlignment="1">
      <alignment horizontal="center"/>
    </xf>
    <xf numFmtId="0" fontId="20" fillId="0" borderId="62" xfId="19" applyBorder="1" applyAlignment="1">
      <alignment horizontal="center"/>
    </xf>
    <xf numFmtId="0" fontId="20" fillId="0" borderId="64" xfId="19" applyBorder="1" applyAlignment="1">
      <alignment horizontal="center"/>
    </xf>
    <xf numFmtId="0" fontId="20" fillId="0" borderId="80" xfId="19" applyFont="1" applyBorder="1" applyAlignment="1">
      <alignment horizontal="left" vertical="top" wrapText="1"/>
    </xf>
    <xf numFmtId="0" fontId="20" fillId="0" borderId="93" xfId="19" applyFont="1" applyBorder="1" applyAlignment="1">
      <alignment horizontal="left" vertical="top" wrapText="1"/>
    </xf>
    <xf numFmtId="0" fontId="20" fillId="0" borderId="98" xfId="19" applyFont="1" applyBorder="1" applyAlignment="1">
      <alignment horizontal="left" vertical="top" wrapText="1"/>
    </xf>
    <xf numFmtId="0" fontId="20" fillId="0" borderId="65" xfId="19" applyBorder="1" applyAlignment="1">
      <alignment horizontal="center"/>
    </xf>
    <xf numFmtId="0" fontId="20" fillId="0" borderId="66" xfId="19" applyBorder="1" applyAlignment="1">
      <alignment horizontal="center"/>
    </xf>
    <xf numFmtId="0" fontId="20" fillId="0" borderId="68" xfId="19" applyBorder="1" applyAlignment="1">
      <alignment horizontal="center"/>
    </xf>
    <xf numFmtId="0" fontId="20" fillId="0" borderId="69" xfId="19" applyBorder="1" applyAlignment="1">
      <alignment horizontal="center"/>
    </xf>
    <xf numFmtId="0" fontId="20" fillId="0" borderId="67" xfId="19" applyBorder="1" applyAlignment="1">
      <alignment horizontal="center"/>
    </xf>
    <xf numFmtId="0" fontId="20" fillId="0" borderId="70" xfId="19" applyBorder="1" applyAlignment="1">
      <alignment horizontal="center"/>
    </xf>
    <xf numFmtId="0" fontId="20" fillId="0" borderId="79" xfId="19" applyFont="1" applyBorder="1" applyAlignment="1">
      <alignment horizontal="left" vertical="top" wrapText="1"/>
    </xf>
    <xf numFmtId="0" fontId="4" fillId="0" borderId="111" xfId="19" applyFont="1" applyBorder="1" applyAlignment="1">
      <alignment horizontal="left" vertical="center"/>
    </xf>
    <xf numFmtId="0" fontId="4" fillId="0" borderId="62" xfId="19" applyFont="1" applyBorder="1" applyAlignment="1">
      <alignment horizontal="left" vertical="center"/>
    </xf>
    <xf numFmtId="0" fontId="4" fillId="0" borderId="79" xfId="19" applyFont="1" applyBorder="1" applyAlignment="1">
      <alignment horizontal="left" vertical="center"/>
    </xf>
    <xf numFmtId="0" fontId="20" fillId="0" borderId="80" xfId="19" applyBorder="1" applyAlignment="1">
      <alignment horizontal="left" vertical="top" wrapText="1"/>
    </xf>
    <xf numFmtId="0" fontId="4" fillId="0" borderId="64" xfId="19" applyFont="1" applyBorder="1" applyAlignment="1">
      <alignment horizontal="center" vertical="center"/>
    </xf>
    <xf numFmtId="0" fontId="23" fillId="0" borderId="71" xfId="19" applyFont="1" applyBorder="1" applyAlignment="1">
      <alignment horizontal="center" vertical="top"/>
    </xf>
    <xf numFmtId="0" fontId="23" fillId="0" borderId="61" xfId="19" applyFont="1" applyBorder="1" applyAlignment="1">
      <alignment horizontal="center" vertical="top"/>
    </xf>
    <xf numFmtId="0" fontId="23" fillId="0" borderId="63" xfId="19" applyFont="1" applyBorder="1" applyAlignment="1">
      <alignment horizontal="center" vertical="top"/>
    </xf>
    <xf numFmtId="0" fontId="23" fillId="0" borderId="111" xfId="19" applyFont="1" applyBorder="1" applyAlignment="1">
      <alignment horizontal="left" vertical="top" wrapText="1"/>
    </xf>
    <xf numFmtId="0" fontId="23" fillId="0" borderId="62" xfId="19" applyFont="1" applyBorder="1" applyAlignment="1">
      <alignment horizontal="left" vertical="top" wrapText="1"/>
    </xf>
    <xf numFmtId="0" fontId="23" fillId="0" borderId="79" xfId="19" applyFont="1" applyBorder="1" applyAlignment="1">
      <alignment horizontal="left" vertical="top" wrapText="1"/>
    </xf>
    <xf numFmtId="0" fontId="4" fillId="0" borderId="63" xfId="19" applyFont="1" applyBorder="1" applyAlignment="1">
      <alignment horizontal="left" vertical="top" wrapText="1"/>
    </xf>
    <xf numFmtId="0" fontId="3" fillId="0" borderId="79" xfId="18" applyNumberFormat="1" applyFont="1" applyFill="1" applyBorder="1" applyAlignment="1" applyProtection="1">
      <alignment horizontal="left" vertical="top"/>
      <protection locked="0"/>
    </xf>
    <xf numFmtId="0" fontId="3" fillId="0" borderId="92" xfId="18" applyNumberFormat="1" applyFont="1" applyFill="1" applyBorder="1" applyAlignment="1" applyProtection="1">
      <alignment horizontal="left" vertical="top"/>
      <protection locked="0"/>
    </xf>
    <xf numFmtId="0" fontId="3" fillId="0" borderId="93" xfId="18" applyNumberFormat="1" applyFont="1" applyFill="1" applyBorder="1" applyAlignment="1" applyProtection="1">
      <alignment horizontal="left" vertical="top"/>
      <protection locked="0"/>
    </xf>
    <xf numFmtId="0" fontId="3" fillId="0" borderId="71" xfId="18" applyNumberFormat="1" applyFont="1" applyFill="1" applyBorder="1" applyAlignment="1" applyProtection="1">
      <alignment horizontal="left" vertical="top"/>
      <protection locked="0"/>
    </xf>
    <xf numFmtId="0" fontId="3" fillId="0" borderId="111" xfId="18" applyNumberFormat="1" applyFont="1" applyFill="1" applyBorder="1" applyAlignment="1" applyProtection="1">
      <alignment horizontal="left" vertical="top"/>
      <protection locked="0"/>
    </xf>
    <xf numFmtId="0" fontId="20" fillId="0" borderId="78" xfId="19" applyFont="1" applyBorder="1" applyAlignment="1">
      <alignment horizontal="right" vertical="top"/>
    </xf>
    <xf numFmtId="0" fontId="20" fillId="0" borderId="92" xfId="19" applyBorder="1" applyAlignment="1">
      <alignment horizontal="right" vertical="top"/>
    </xf>
    <xf numFmtId="3" fontId="22" fillId="0" borderId="86" xfId="19" applyNumberFormat="1" applyFont="1" applyBorder="1"/>
    <xf numFmtId="3" fontId="22" fillId="0" borderId="88" xfId="19" applyNumberFormat="1" applyFont="1" applyBorder="1"/>
    <xf numFmtId="3" fontId="47" fillId="0" borderId="97" xfId="19" applyNumberFormat="1" applyFont="1" applyBorder="1"/>
    <xf numFmtId="3" fontId="22" fillId="0" borderId="97" xfId="19" applyNumberFormat="1" applyFont="1" applyBorder="1"/>
    <xf numFmtId="3" fontId="47" fillId="0" borderId="120" xfId="19" applyNumberFormat="1" applyFont="1" applyBorder="1"/>
    <xf numFmtId="3" fontId="46" fillId="0" borderId="75" xfId="19" applyNumberFormat="1" applyFont="1" applyBorder="1"/>
    <xf numFmtId="3" fontId="22" fillId="0" borderId="89" xfId="19" applyNumberFormat="1" applyFont="1" applyBorder="1"/>
    <xf numFmtId="3" fontId="47" fillId="0" borderId="109" xfId="19" applyNumberFormat="1" applyFont="1" applyBorder="1"/>
    <xf numFmtId="3" fontId="47" fillId="0" borderId="90" xfId="19" applyNumberFormat="1" applyFont="1" applyBorder="1"/>
    <xf numFmtId="3" fontId="47" fillId="0" borderId="117" xfId="19" applyNumberFormat="1" applyFont="1" applyBorder="1"/>
    <xf numFmtId="3" fontId="22" fillId="0" borderId="90" xfId="19" applyNumberFormat="1" applyFont="1" applyBorder="1"/>
    <xf numFmtId="3" fontId="46" fillId="0" borderId="76" xfId="19" applyNumberFormat="1" applyFont="1" applyBorder="1"/>
    <xf numFmtId="3" fontId="22" fillId="0" borderId="34" xfId="19" applyNumberFormat="1" applyFont="1" applyBorder="1"/>
    <xf numFmtId="3" fontId="4" fillId="0" borderId="34" xfId="19" applyNumberFormat="1" applyFont="1" applyBorder="1"/>
    <xf numFmtId="3" fontId="4" fillId="0" borderId="124" xfId="19" applyNumberFormat="1" applyFont="1" applyBorder="1"/>
    <xf numFmtId="3" fontId="20" fillId="0" borderId="34" xfId="19" applyNumberFormat="1" applyBorder="1"/>
    <xf numFmtId="3" fontId="20" fillId="0" borderId="131" xfId="19" applyNumberFormat="1" applyBorder="1"/>
    <xf numFmtId="3" fontId="4" fillId="0" borderId="119" xfId="19" applyNumberFormat="1" applyFont="1" applyBorder="1"/>
    <xf numFmtId="3" fontId="20" fillId="0" borderId="158" xfId="3" applyNumberFormat="1" applyBorder="1"/>
  </cellXfs>
  <cellStyles count="20">
    <cellStyle name="ConditionalStyle_1" xfId="4"/>
    <cellStyle name="Dziesiętny" xfId="1" builtinId="3"/>
    <cellStyle name="Dziesiętny 2" xfId="3"/>
    <cellStyle name="Excel Built-in Normal" xfId="5"/>
    <cellStyle name="Normalny" xfId="0" builtinId="0"/>
    <cellStyle name="Normalny 10" xfId="6"/>
    <cellStyle name="Normalny 11" xfId="7"/>
    <cellStyle name="Normalny 12" xfId="8"/>
    <cellStyle name="Normalny 13" xfId="9"/>
    <cellStyle name="Normalny 14" xfId="2"/>
    <cellStyle name="Normalny 2" xfId="10"/>
    <cellStyle name="Normalny 3" xfId="11"/>
    <cellStyle name="Normalny 4" xfId="12"/>
    <cellStyle name="Normalny 5" xfId="13"/>
    <cellStyle name="Normalny 6" xfId="14"/>
    <cellStyle name="Normalny 7" xfId="15"/>
    <cellStyle name="Normalny 8" xfId="16"/>
    <cellStyle name="Normalny 9" xfId="17"/>
    <cellStyle name="Normalny_Prognoza długu 2011 do WPF mat. pomocnicze" xfId="18"/>
    <cellStyle name="Normalny_Załacznik Nr 3  do Zarządzenia nr 179 Prognoza długu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6"/>
  <sheetViews>
    <sheetView showGridLines="0" topLeftCell="A7" zoomScaleNormal="100" workbookViewId="0">
      <selection activeCell="D15" sqref="D15"/>
    </sheetView>
  </sheetViews>
  <sheetFormatPr defaultRowHeight="12.75" x14ac:dyDescent="0.2"/>
  <cols>
    <col min="1" max="1" width="5.28515625" style="2" customWidth="1"/>
    <col min="2" max="2" width="7.42578125" style="2" customWidth="1"/>
    <col min="3" max="3" width="8.5703125" style="2" customWidth="1"/>
    <col min="4" max="4" width="39.140625" style="2" customWidth="1"/>
    <col min="5" max="5" width="13" style="2" customWidth="1"/>
    <col min="6" max="6" width="12.85546875" style="2" customWidth="1"/>
    <col min="7" max="7" width="8.42578125" style="188" customWidth="1"/>
    <col min="8" max="8" width="13.85546875" style="2" customWidth="1"/>
    <col min="9" max="9" width="13.28515625" style="2" hidden="1" customWidth="1"/>
    <col min="10" max="10" width="13.140625" style="2" hidden="1" customWidth="1"/>
    <col min="11" max="11" width="16.5703125" style="2" customWidth="1"/>
    <col min="12" max="12" width="10.140625" style="2" customWidth="1"/>
    <col min="13" max="235" width="9.140625" style="2"/>
    <col min="236" max="236" width="2.140625" style="2" customWidth="1"/>
    <col min="237" max="237" width="8.7109375" style="2" customWidth="1"/>
    <col min="238" max="238" width="9.85546875" style="2" customWidth="1"/>
    <col min="239" max="239" width="1" style="2" customWidth="1"/>
    <col min="240" max="240" width="10.85546875" style="2" customWidth="1"/>
    <col min="241" max="241" width="54.5703125" style="2" customWidth="1"/>
    <col min="242" max="243" width="22.85546875" style="2" customWidth="1"/>
    <col min="244" max="244" width="9.85546875" style="2" customWidth="1"/>
    <col min="245" max="245" width="13" style="2" customWidth="1"/>
    <col min="246" max="246" width="1" style="2" customWidth="1"/>
    <col min="247" max="491" width="9.140625" style="2"/>
    <col min="492" max="492" width="2.140625" style="2" customWidth="1"/>
    <col min="493" max="493" width="8.7109375" style="2" customWidth="1"/>
    <col min="494" max="494" width="9.85546875" style="2" customWidth="1"/>
    <col min="495" max="495" width="1" style="2" customWidth="1"/>
    <col min="496" max="496" width="10.85546875" style="2" customWidth="1"/>
    <col min="497" max="497" width="54.5703125" style="2" customWidth="1"/>
    <col min="498" max="499" width="22.85546875" style="2" customWidth="1"/>
    <col min="500" max="500" width="9.85546875" style="2" customWidth="1"/>
    <col min="501" max="501" width="13" style="2" customWidth="1"/>
    <col min="502" max="502" width="1" style="2" customWidth="1"/>
    <col min="503" max="747" width="9.140625" style="2"/>
    <col min="748" max="748" width="2.140625" style="2" customWidth="1"/>
    <col min="749" max="749" width="8.7109375" style="2" customWidth="1"/>
    <col min="750" max="750" width="9.85546875" style="2" customWidth="1"/>
    <col min="751" max="751" width="1" style="2" customWidth="1"/>
    <col min="752" max="752" width="10.85546875" style="2" customWidth="1"/>
    <col min="753" max="753" width="54.5703125" style="2" customWidth="1"/>
    <col min="754" max="755" width="22.85546875" style="2" customWidth="1"/>
    <col min="756" max="756" width="9.85546875" style="2" customWidth="1"/>
    <col min="757" max="757" width="13" style="2" customWidth="1"/>
    <col min="758" max="758" width="1" style="2" customWidth="1"/>
    <col min="759" max="1003" width="9.140625" style="2"/>
    <col min="1004" max="1004" width="2.140625" style="2" customWidth="1"/>
    <col min="1005" max="1005" width="8.7109375" style="2" customWidth="1"/>
    <col min="1006" max="1006" width="9.85546875" style="2" customWidth="1"/>
    <col min="1007" max="1007" width="1" style="2" customWidth="1"/>
    <col min="1008" max="1008" width="10.85546875" style="2" customWidth="1"/>
    <col min="1009" max="1009" width="54.5703125" style="2" customWidth="1"/>
    <col min="1010" max="1011" width="22.85546875" style="2" customWidth="1"/>
    <col min="1012" max="1012" width="9.85546875" style="2" customWidth="1"/>
    <col min="1013" max="1013" width="13" style="2" customWidth="1"/>
    <col min="1014" max="1014" width="1" style="2" customWidth="1"/>
    <col min="1015" max="1259" width="9.140625" style="2"/>
    <col min="1260" max="1260" width="2.140625" style="2" customWidth="1"/>
    <col min="1261" max="1261" width="8.7109375" style="2" customWidth="1"/>
    <col min="1262" max="1262" width="9.85546875" style="2" customWidth="1"/>
    <col min="1263" max="1263" width="1" style="2" customWidth="1"/>
    <col min="1264" max="1264" width="10.85546875" style="2" customWidth="1"/>
    <col min="1265" max="1265" width="54.5703125" style="2" customWidth="1"/>
    <col min="1266" max="1267" width="22.85546875" style="2" customWidth="1"/>
    <col min="1268" max="1268" width="9.85546875" style="2" customWidth="1"/>
    <col min="1269" max="1269" width="13" style="2" customWidth="1"/>
    <col min="1270" max="1270" width="1" style="2" customWidth="1"/>
    <col min="1271" max="1515" width="9.140625" style="2"/>
    <col min="1516" max="1516" width="2.140625" style="2" customWidth="1"/>
    <col min="1517" max="1517" width="8.7109375" style="2" customWidth="1"/>
    <col min="1518" max="1518" width="9.85546875" style="2" customWidth="1"/>
    <col min="1519" max="1519" width="1" style="2" customWidth="1"/>
    <col min="1520" max="1520" width="10.85546875" style="2" customWidth="1"/>
    <col min="1521" max="1521" width="54.5703125" style="2" customWidth="1"/>
    <col min="1522" max="1523" width="22.85546875" style="2" customWidth="1"/>
    <col min="1524" max="1524" width="9.85546875" style="2" customWidth="1"/>
    <col min="1525" max="1525" width="13" style="2" customWidth="1"/>
    <col min="1526" max="1526" width="1" style="2" customWidth="1"/>
    <col min="1527" max="1771" width="9.140625" style="2"/>
    <col min="1772" max="1772" width="2.140625" style="2" customWidth="1"/>
    <col min="1773" max="1773" width="8.7109375" style="2" customWidth="1"/>
    <col min="1774" max="1774" width="9.85546875" style="2" customWidth="1"/>
    <col min="1775" max="1775" width="1" style="2" customWidth="1"/>
    <col min="1776" max="1776" width="10.85546875" style="2" customWidth="1"/>
    <col min="1777" max="1777" width="54.5703125" style="2" customWidth="1"/>
    <col min="1778" max="1779" width="22.85546875" style="2" customWidth="1"/>
    <col min="1780" max="1780" width="9.85546875" style="2" customWidth="1"/>
    <col min="1781" max="1781" width="13" style="2" customWidth="1"/>
    <col min="1782" max="1782" width="1" style="2" customWidth="1"/>
    <col min="1783" max="2027" width="9.140625" style="2"/>
    <col min="2028" max="2028" width="2.140625" style="2" customWidth="1"/>
    <col min="2029" max="2029" width="8.7109375" style="2" customWidth="1"/>
    <col min="2030" max="2030" width="9.85546875" style="2" customWidth="1"/>
    <col min="2031" max="2031" width="1" style="2" customWidth="1"/>
    <col min="2032" max="2032" width="10.85546875" style="2" customWidth="1"/>
    <col min="2033" max="2033" width="54.5703125" style="2" customWidth="1"/>
    <col min="2034" max="2035" width="22.85546875" style="2" customWidth="1"/>
    <col min="2036" max="2036" width="9.85546875" style="2" customWidth="1"/>
    <col min="2037" max="2037" width="13" style="2" customWidth="1"/>
    <col min="2038" max="2038" width="1" style="2" customWidth="1"/>
    <col min="2039" max="2283" width="9.140625" style="2"/>
    <col min="2284" max="2284" width="2.140625" style="2" customWidth="1"/>
    <col min="2285" max="2285" width="8.7109375" style="2" customWidth="1"/>
    <col min="2286" max="2286" width="9.85546875" style="2" customWidth="1"/>
    <col min="2287" max="2287" width="1" style="2" customWidth="1"/>
    <col min="2288" max="2288" width="10.85546875" style="2" customWidth="1"/>
    <col min="2289" max="2289" width="54.5703125" style="2" customWidth="1"/>
    <col min="2290" max="2291" width="22.85546875" style="2" customWidth="1"/>
    <col min="2292" max="2292" width="9.85546875" style="2" customWidth="1"/>
    <col min="2293" max="2293" width="13" style="2" customWidth="1"/>
    <col min="2294" max="2294" width="1" style="2" customWidth="1"/>
    <col min="2295" max="2539" width="9.140625" style="2"/>
    <col min="2540" max="2540" width="2.140625" style="2" customWidth="1"/>
    <col min="2541" max="2541" width="8.7109375" style="2" customWidth="1"/>
    <col min="2542" max="2542" width="9.85546875" style="2" customWidth="1"/>
    <col min="2543" max="2543" width="1" style="2" customWidth="1"/>
    <col min="2544" max="2544" width="10.85546875" style="2" customWidth="1"/>
    <col min="2545" max="2545" width="54.5703125" style="2" customWidth="1"/>
    <col min="2546" max="2547" width="22.85546875" style="2" customWidth="1"/>
    <col min="2548" max="2548" width="9.85546875" style="2" customWidth="1"/>
    <col min="2549" max="2549" width="13" style="2" customWidth="1"/>
    <col min="2550" max="2550" width="1" style="2" customWidth="1"/>
    <col min="2551" max="2795" width="9.140625" style="2"/>
    <col min="2796" max="2796" width="2.140625" style="2" customWidth="1"/>
    <col min="2797" max="2797" width="8.7109375" style="2" customWidth="1"/>
    <col min="2798" max="2798" width="9.85546875" style="2" customWidth="1"/>
    <col min="2799" max="2799" width="1" style="2" customWidth="1"/>
    <col min="2800" max="2800" width="10.85546875" style="2" customWidth="1"/>
    <col min="2801" max="2801" width="54.5703125" style="2" customWidth="1"/>
    <col min="2802" max="2803" width="22.85546875" style="2" customWidth="1"/>
    <col min="2804" max="2804" width="9.85546875" style="2" customWidth="1"/>
    <col min="2805" max="2805" width="13" style="2" customWidth="1"/>
    <col min="2806" max="2806" width="1" style="2" customWidth="1"/>
    <col min="2807" max="3051" width="9.140625" style="2"/>
    <col min="3052" max="3052" width="2.140625" style="2" customWidth="1"/>
    <col min="3053" max="3053" width="8.7109375" style="2" customWidth="1"/>
    <col min="3054" max="3054" width="9.85546875" style="2" customWidth="1"/>
    <col min="3055" max="3055" width="1" style="2" customWidth="1"/>
    <col min="3056" max="3056" width="10.85546875" style="2" customWidth="1"/>
    <col min="3057" max="3057" width="54.5703125" style="2" customWidth="1"/>
    <col min="3058" max="3059" width="22.85546875" style="2" customWidth="1"/>
    <col min="3060" max="3060" width="9.85546875" style="2" customWidth="1"/>
    <col min="3061" max="3061" width="13" style="2" customWidth="1"/>
    <col min="3062" max="3062" width="1" style="2" customWidth="1"/>
    <col min="3063" max="3307" width="9.140625" style="2"/>
    <col min="3308" max="3308" width="2.140625" style="2" customWidth="1"/>
    <col min="3309" max="3309" width="8.7109375" style="2" customWidth="1"/>
    <col min="3310" max="3310" width="9.85546875" style="2" customWidth="1"/>
    <col min="3311" max="3311" width="1" style="2" customWidth="1"/>
    <col min="3312" max="3312" width="10.85546875" style="2" customWidth="1"/>
    <col min="3313" max="3313" width="54.5703125" style="2" customWidth="1"/>
    <col min="3314" max="3315" width="22.85546875" style="2" customWidth="1"/>
    <col min="3316" max="3316" width="9.85546875" style="2" customWidth="1"/>
    <col min="3317" max="3317" width="13" style="2" customWidth="1"/>
    <col min="3318" max="3318" width="1" style="2" customWidth="1"/>
    <col min="3319" max="3563" width="9.140625" style="2"/>
    <col min="3564" max="3564" width="2.140625" style="2" customWidth="1"/>
    <col min="3565" max="3565" width="8.7109375" style="2" customWidth="1"/>
    <col min="3566" max="3566" width="9.85546875" style="2" customWidth="1"/>
    <col min="3567" max="3567" width="1" style="2" customWidth="1"/>
    <col min="3568" max="3568" width="10.85546875" style="2" customWidth="1"/>
    <col min="3569" max="3569" width="54.5703125" style="2" customWidth="1"/>
    <col min="3570" max="3571" width="22.85546875" style="2" customWidth="1"/>
    <col min="3572" max="3572" width="9.85546875" style="2" customWidth="1"/>
    <col min="3573" max="3573" width="13" style="2" customWidth="1"/>
    <col min="3574" max="3574" width="1" style="2" customWidth="1"/>
    <col min="3575" max="3819" width="9.140625" style="2"/>
    <col min="3820" max="3820" width="2.140625" style="2" customWidth="1"/>
    <col min="3821" max="3821" width="8.7109375" style="2" customWidth="1"/>
    <col min="3822" max="3822" width="9.85546875" style="2" customWidth="1"/>
    <col min="3823" max="3823" width="1" style="2" customWidth="1"/>
    <col min="3824" max="3824" width="10.85546875" style="2" customWidth="1"/>
    <col min="3825" max="3825" width="54.5703125" style="2" customWidth="1"/>
    <col min="3826" max="3827" width="22.85546875" style="2" customWidth="1"/>
    <col min="3828" max="3828" width="9.85546875" style="2" customWidth="1"/>
    <col min="3829" max="3829" width="13" style="2" customWidth="1"/>
    <col min="3830" max="3830" width="1" style="2" customWidth="1"/>
    <col min="3831" max="4075" width="9.140625" style="2"/>
    <col min="4076" max="4076" width="2.140625" style="2" customWidth="1"/>
    <col min="4077" max="4077" width="8.7109375" style="2" customWidth="1"/>
    <col min="4078" max="4078" width="9.85546875" style="2" customWidth="1"/>
    <col min="4079" max="4079" width="1" style="2" customWidth="1"/>
    <col min="4080" max="4080" width="10.85546875" style="2" customWidth="1"/>
    <col min="4081" max="4081" width="54.5703125" style="2" customWidth="1"/>
    <col min="4082" max="4083" width="22.85546875" style="2" customWidth="1"/>
    <col min="4084" max="4084" width="9.85546875" style="2" customWidth="1"/>
    <col min="4085" max="4085" width="13" style="2" customWidth="1"/>
    <col min="4086" max="4086" width="1" style="2" customWidth="1"/>
    <col min="4087" max="4331" width="9.140625" style="2"/>
    <col min="4332" max="4332" width="2.140625" style="2" customWidth="1"/>
    <col min="4333" max="4333" width="8.7109375" style="2" customWidth="1"/>
    <col min="4334" max="4334" width="9.85546875" style="2" customWidth="1"/>
    <col min="4335" max="4335" width="1" style="2" customWidth="1"/>
    <col min="4336" max="4336" width="10.85546875" style="2" customWidth="1"/>
    <col min="4337" max="4337" width="54.5703125" style="2" customWidth="1"/>
    <col min="4338" max="4339" width="22.85546875" style="2" customWidth="1"/>
    <col min="4340" max="4340" width="9.85546875" style="2" customWidth="1"/>
    <col min="4341" max="4341" width="13" style="2" customWidth="1"/>
    <col min="4342" max="4342" width="1" style="2" customWidth="1"/>
    <col min="4343" max="4587" width="9.140625" style="2"/>
    <col min="4588" max="4588" width="2.140625" style="2" customWidth="1"/>
    <col min="4589" max="4589" width="8.7109375" style="2" customWidth="1"/>
    <col min="4590" max="4590" width="9.85546875" style="2" customWidth="1"/>
    <col min="4591" max="4591" width="1" style="2" customWidth="1"/>
    <col min="4592" max="4592" width="10.85546875" style="2" customWidth="1"/>
    <col min="4593" max="4593" width="54.5703125" style="2" customWidth="1"/>
    <col min="4594" max="4595" width="22.85546875" style="2" customWidth="1"/>
    <col min="4596" max="4596" width="9.85546875" style="2" customWidth="1"/>
    <col min="4597" max="4597" width="13" style="2" customWidth="1"/>
    <col min="4598" max="4598" width="1" style="2" customWidth="1"/>
    <col min="4599" max="4843" width="9.140625" style="2"/>
    <col min="4844" max="4844" width="2.140625" style="2" customWidth="1"/>
    <col min="4845" max="4845" width="8.7109375" style="2" customWidth="1"/>
    <col min="4846" max="4846" width="9.85546875" style="2" customWidth="1"/>
    <col min="4847" max="4847" width="1" style="2" customWidth="1"/>
    <col min="4848" max="4848" width="10.85546875" style="2" customWidth="1"/>
    <col min="4849" max="4849" width="54.5703125" style="2" customWidth="1"/>
    <col min="4850" max="4851" width="22.85546875" style="2" customWidth="1"/>
    <col min="4852" max="4852" width="9.85546875" style="2" customWidth="1"/>
    <col min="4853" max="4853" width="13" style="2" customWidth="1"/>
    <col min="4854" max="4854" width="1" style="2" customWidth="1"/>
    <col min="4855" max="5099" width="9.140625" style="2"/>
    <col min="5100" max="5100" width="2.140625" style="2" customWidth="1"/>
    <col min="5101" max="5101" width="8.7109375" style="2" customWidth="1"/>
    <col min="5102" max="5102" width="9.85546875" style="2" customWidth="1"/>
    <col min="5103" max="5103" width="1" style="2" customWidth="1"/>
    <col min="5104" max="5104" width="10.85546875" style="2" customWidth="1"/>
    <col min="5105" max="5105" width="54.5703125" style="2" customWidth="1"/>
    <col min="5106" max="5107" width="22.85546875" style="2" customWidth="1"/>
    <col min="5108" max="5108" width="9.85546875" style="2" customWidth="1"/>
    <col min="5109" max="5109" width="13" style="2" customWidth="1"/>
    <col min="5110" max="5110" width="1" style="2" customWidth="1"/>
    <col min="5111" max="5355" width="9.140625" style="2"/>
    <col min="5356" max="5356" width="2.140625" style="2" customWidth="1"/>
    <col min="5357" max="5357" width="8.7109375" style="2" customWidth="1"/>
    <col min="5358" max="5358" width="9.85546875" style="2" customWidth="1"/>
    <col min="5359" max="5359" width="1" style="2" customWidth="1"/>
    <col min="5360" max="5360" width="10.85546875" style="2" customWidth="1"/>
    <col min="5361" max="5361" width="54.5703125" style="2" customWidth="1"/>
    <col min="5362" max="5363" width="22.85546875" style="2" customWidth="1"/>
    <col min="5364" max="5364" width="9.85546875" style="2" customWidth="1"/>
    <col min="5365" max="5365" width="13" style="2" customWidth="1"/>
    <col min="5366" max="5366" width="1" style="2" customWidth="1"/>
    <col min="5367" max="5611" width="9.140625" style="2"/>
    <col min="5612" max="5612" width="2.140625" style="2" customWidth="1"/>
    <col min="5613" max="5613" width="8.7109375" style="2" customWidth="1"/>
    <col min="5614" max="5614" width="9.85546875" style="2" customWidth="1"/>
    <col min="5615" max="5615" width="1" style="2" customWidth="1"/>
    <col min="5616" max="5616" width="10.85546875" style="2" customWidth="1"/>
    <col min="5617" max="5617" width="54.5703125" style="2" customWidth="1"/>
    <col min="5618" max="5619" width="22.85546875" style="2" customWidth="1"/>
    <col min="5620" max="5620" width="9.85546875" style="2" customWidth="1"/>
    <col min="5621" max="5621" width="13" style="2" customWidth="1"/>
    <col min="5622" max="5622" width="1" style="2" customWidth="1"/>
    <col min="5623" max="5867" width="9.140625" style="2"/>
    <col min="5868" max="5868" width="2.140625" style="2" customWidth="1"/>
    <col min="5869" max="5869" width="8.7109375" style="2" customWidth="1"/>
    <col min="5870" max="5870" width="9.85546875" style="2" customWidth="1"/>
    <col min="5871" max="5871" width="1" style="2" customWidth="1"/>
    <col min="5872" max="5872" width="10.85546875" style="2" customWidth="1"/>
    <col min="5873" max="5873" width="54.5703125" style="2" customWidth="1"/>
    <col min="5874" max="5875" width="22.85546875" style="2" customWidth="1"/>
    <col min="5876" max="5876" width="9.85546875" style="2" customWidth="1"/>
    <col min="5877" max="5877" width="13" style="2" customWidth="1"/>
    <col min="5878" max="5878" width="1" style="2" customWidth="1"/>
    <col min="5879" max="6123" width="9.140625" style="2"/>
    <col min="6124" max="6124" width="2.140625" style="2" customWidth="1"/>
    <col min="6125" max="6125" width="8.7109375" style="2" customWidth="1"/>
    <col min="6126" max="6126" width="9.85546875" style="2" customWidth="1"/>
    <col min="6127" max="6127" width="1" style="2" customWidth="1"/>
    <col min="6128" max="6128" width="10.85546875" style="2" customWidth="1"/>
    <col min="6129" max="6129" width="54.5703125" style="2" customWidth="1"/>
    <col min="6130" max="6131" width="22.85546875" style="2" customWidth="1"/>
    <col min="6132" max="6132" width="9.85546875" style="2" customWidth="1"/>
    <col min="6133" max="6133" width="13" style="2" customWidth="1"/>
    <col min="6134" max="6134" width="1" style="2" customWidth="1"/>
    <col min="6135" max="6379" width="9.140625" style="2"/>
    <col min="6380" max="6380" width="2.140625" style="2" customWidth="1"/>
    <col min="6381" max="6381" width="8.7109375" style="2" customWidth="1"/>
    <col min="6382" max="6382" width="9.85546875" style="2" customWidth="1"/>
    <col min="6383" max="6383" width="1" style="2" customWidth="1"/>
    <col min="6384" max="6384" width="10.85546875" style="2" customWidth="1"/>
    <col min="6385" max="6385" width="54.5703125" style="2" customWidth="1"/>
    <col min="6386" max="6387" width="22.85546875" style="2" customWidth="1"/>
    <col min="6388" max="6388" width="9.85546875" style="2" customWidth="1"/>
    <col min="6389" max="6389" width="13" style="2" customWidth="1"/>
    <col min="6390" max="6390" width="1" style="2" customWidth="1"/>
    <col min="6391" max="6635" width="9.140625" style="2"/>
    <col min="6636" max="6636" width="2.140625" style="2" customWidth="1"/>
    <col min="6637" max="6637" width="8.7109375" style="2" customWidth="1"/>
    <col min="6638" max="6638" width="9.85546875" style="2" customWidth="1"/>
    <col min="6639" max="6639" width="1" style="2" customWidth="1"/>
    <col min="6640" max="6640" width="10.85546875" style="2" customWidth="1"/>
    <col min="6641" max="6641" width="54.5703125" style="2" customWidth="1"/>
    <col min="6642" max="6643" width="22.85546875" style="2" customWidth="1"/>
    <col min="6644" max="6644" width="9.85546875" style="2" customWidth="1"/>
    <col min="6645" max="6645" width="13" style="2" customWidth="1"/>
    <col min="6646" max="6646" width="1" style="2" customWidth="1"/>
    <col min="6647" max="6891" width="9.140625" style="2"/>
    <col min="6892" max="6892" width="2.140625" style="2" customWidth="1"/>
    <col min="6893" max="6893" width="8.7109375" style="2" customWidth="1"/>
    <col min="6894" max="6894" width="9.85546875" style="2" customWidth="1"/>
    <col min="6895" max="6895" width="1" style="2" customWidth="1"/>
    <col min="6896" max="6896" width="10.85546875" style="2" customWidth="1"/>
    <col min="6897" max="6897" width="54.5703125" style="2" customWidth="1"/>
    <col min="6898" max="6899" width="22.85546875" style="2" customWidth="1"/>
    <col min="6900" max="6900" width="9.85546875" style="2" customWidth="1"/>
    <col min="6901" max="6901" width="13" style="2" customWidth="1"/>
    <col min="6902" max="6902" width="1" style="2" customWidth="1"/>
    <col min="6903" max="7147" width="9.140625" style="2"/>
    <col min="7148" max="7148" width="2.140625" style="2" customWidth="1"/>
    <col min="7149" max="7149" width="8.7109375" style="2" customWidth="1"/>
    <col min="7150" max="7150" width="9.85546875" style="2" customWidth="1"/>
    <col min="7151" max="7151" width="1" style="2" customWidth="1"/>
    <col min="7152" max="7152" width="10.85546875" style="2" customWidth="1"/>
    <col min="7153" max="7153" width="54.5703125" style="2" customWidth="1"/>
    <col min="7154" max="7155" width="22.85546875" style="2" customWidth="1"/>
    <col min="7156" max="7156" width="9.85546875" style="2" customWidth="1"/>
    <col min="7157" max="7157" width="13" style="2" customWidth="1"/>
    <col min="7158" max="7158" width="1" style="2" customWidth="1"/>
    <col min="7159" max="7403" width="9.140625" style="2"/>
    <col min="7404" max="7404" width="2.140625" style="2" customWidth="1"/>
    <col min="7405" max="7405" width="8.7109375" style="2" customWidth="1"/>
    <col min="7406" max="7406" width="9.85546875" style="2" customWidth="1"/>
    <col min="7407" max="7407" width="1" style="2" customWidth="1"/>
    <col min="7408" max="7408" width="10.85546875" style="2" customWidth="1"/>
    <col min="7409" max="7409" width="54.5703125" style="2" customWidth="1"/>
    <col min="7410" max="7411" width="22.85546875" style="2" customWidth="1"/>
    <col min="7412" max="7412" width="9.85546875" style="2" customWidth="1"/>
    <col min="7413" max="7413" width="13" style="2" customWidth="1"/>
    <col min="7414" max="7414" width="1" style="2" customWidth="1"/>
    <col min="7415" max="7659" width="9.140625" style="2"/>
    <col min="7660" max="7660" width="2.140625" style="2" customWidth="1"/>
    <col min="7661" max="7661" width="8.7109375" style="2" customWidth="1"/>
    <col min="7662" max="7662" width="9.85546875" style="2" customWidth="1"/>
    <col min="7663" max="7663" width="1" style="2" customWidth="1"/>
    <col min="7664" max="7664" width="10.85546875" style="2" customWidth="1"/>
    <col min="7665" max="7665" width="54.5703125" style="2" customWidth="1"/>
    <col min="7666" max="7667" width="22.85546875" style="2" customWidth="1"/>
    <col min="7668" max="7668" width="9.85546875" style="2" customWidth="1"/>
    <col min="7669" max="7669" width="13" style="2" customWidth="1"/>
    <col min="7670" max="7670" width="1" style="2" customWidth="1"/>
    <col min="7671" max="7915" width="9.140625" style="2"/>
    <col min="7916" max="7916" width="2.140625" style="2" customWidth="1"/>
    <col min="7917" max="7917" width="8.7109375" style="2" customWidth="1"/>
    <col min="7918" max="7918" width="9.85546875" style="2" customWidth="1"/>
    <col min="7919" max="7919" width="1" style="2" customWidth="1"/>
    <col min="7920" max="7920" width="10.85546875" style="2" customWidth="1"/>
    <col min="7921" max="7921" width="54.5703125" style="2" customWidth="1"/>
    <col min="7922" max="7923" width="22.85546875" style="2" customWidth="1"/>
    <col min="7924" max="7924" width="9.85546875" style="2" customWidth="1"/>
    <col min="7925" max="7925" width="13" style="2" customWidth="1"/>
    <col min="7926" max="7926" width="1" style="2" customWidth="1"/>
    <col min="7927" max="8171" width="9.140625" style="2"/>
    <col min="8172" max="8172" width="2.140625" style="2" customWidth="1"/>
    <col min="8173" max="8173" width="8.7109375" style="2" customWidth="1"/>
    <col min="8174" max="8174" width="9.85546875" style="2" customWidth="1"/>
    <col min="8175" max="8175" width="1" style="2" customWidth="1"/>
    <col min="8176" max="8176" width="10.85546875" style="2" customWidth="1"/>
    <col min="8177" max="8177" width="54.5703125" style="2" customWidth="1"/>
    <col min="8178" max="8179" width="22.85546875" style="2" customWidth="1"/>
    <col min="8180" max="8180" width="9.85546875" style="2" customWidth="1"/>
    <col min="8181" max="8181" width="13" style="2" customWidth="1"/>
    <col min="8182" max="8182" width="1" style="2" customWidth="1"/>
    <col min="8183" max="8427" width="9.140625" style="2"/>
    <col min="8428" max="8428" width="2.140625" style="2" customWidth="1"/>
    <col min="8429" max="8429" width="8.7109375" style="2" customWidth="1"/>
    <col min="8430" max="8430" width="9.85546875" style="2" customWidth="1"/>
    <col min="8431" max="8431" width="1" style="2" customWidth="1"/>
    <col min="8432" max="8432" width="10.85546875" style="2" customWidth="1"/>
    <col min="8433" max="8433" width="54.5703125" style="2" customWidth="1"/>
    <col min="8434" max="8435" width="22.85546875" style="2" customWidth="1"/>
    <col min="8436" max="8436" width="9.85546875" style="2" customWidth="1"/>
    <col min="8437" max="8437" width="13" style="2" customWidth="1"/>
    <col min="8438" max="8438" width="1" style="2" customWidth="1"/>
    <col min="8439" max="8683" width="9.140625" style="2"/>
    <col min="8684" max="8684" width="2.140625" style="2" customWidth="1"/>
    <col min="8685" max="8685" width="8.7109375" style="2" customWidth="1"/>
    <col min="8686" max="8686" width="9.85546875" style="2" customWidth="1"/>
    <col min="8687" max="8687" width="1" style="2" customWidth="1"/>
    <col min="8688" max="8688" width="10.85546875" style="2" customWidth="1"/>
    <col min="8689" max="8689" width="54.5703125" style="2" customWidth="1"/>
    <col min="8690" max="8691" width="22.85546875" style="2" customWidth="1"/>
    <col min="8692" max="8692" width="9.85546875" style="2" customWidth="1"/>
    <col min="8693" max="8693" width="13" style="2" customWidth="1"/>
    <col min="8694" max="8694" width="1" style="2" customWidth="1"/>
    <col min="8695" max="8939" width="9.140625" style="2"/>
    <col min="8940" max="8940" width="2.140625" style="2" customWidth="1"/>
    <col min="8941" max="8941" width="8.7109375" style="2" customWidth="1"/>
    <col min="8942" max="8942" width="9.85546875" style="2" customWidth="1"/>
    <col min="8943" max="8943" width="1" style="2" customWidth="1"/>
    <col min="8944" max="8944" width="10.85546875" style="2" customWidth="1"/>
    <col min="8945" max="8945" width="54.5703125" style="2" customWidth="1"/>
    <col min="8946" max="8947" width="22.85546875" style="2" customWidth="1"/>
    <col min="8948" max="8948" width="9.85546875" style="2" customWidth="1"/>
    <col min="8949" max="8949" width="13" style="2" customWidth="1"/>
    <col min="8950" max="8950" width="1" style="2" customWidth="1"/>
    <col min="8951" max="9195" width="9.140625" style="2"/>
    <col min="9196" max="9196" width="2.140625" style="2" customWidth="1"/>
    <col min="9197" max="9197" width="8.7109375" style="2" customWidth="1"/>
    <col min="9198" max="9198" width="9.85546875" style="2" customWidth="1"/>
    <col min="9199" max="9199" width="1" style="2" customWidth="1"/>
    <col min="9200" max="9200" width="10.85546875" style="2" customWidth="1"/>
    <col min="9201" max="9201" width="54.5703125" style="2" customWidth="1"/>
    <col min="9202" max="9203" width="22.85546875" style="2" customWidth="1"/>
    <col min="9204" max="9204" width="9.85546875" style="2" customWidth="1"/>
    <col min="9205" max="9205" width="13" style="2" customWidth="1"/>
    <col min="9206" max="9206" width="1" style="2" customWidth="1"/>
    <col min="9207" max="9451" width="9.140625" style="2"/>
    <col min="9452" max="9452" width="2.140625" style="2" customWidth="1"/>
    <col min="9453" max="9453" width="8.7109375" style="2" customWidth="1"/>
    <col min="9454" max="9454" width="9.85546875" style="2" customWidth="1"/>
    <col min="9455" max="9455" width="1" style="2" customWidth="1"/>
    <col min="9456" max="9456" width="10.85546875" style="2" customWidth="1"/>
    <col min="9457" max="9457" width="54.5703125" style="2" customWidth="1"/>
    <col min="9458" max="9459" width="22.85546875" style="2" customWidth="1"/>
    <col min="9460" max="9460" width="9.85546875" style="2" customWidth="1"/>
    <col min="9461" max="9461" width="13" style="2" customWidth="1"/>
    <col min="9462" max="9462" width="1" style="2" customWidth="1"/>
    <col min="9463" max="9707" width="9.140625" style="2"/>
    <col min="9708" max="9708" width="2.140625" style="2" customWidth="1"/>
    <col min="9709" max="9709" width="8.7109375" style="2" customWidth="1"/>
    <col min="9710" max="9710" width="9.85546875" style="2" customWidth="1"/>
    <col min="9711" max="9711" width="1" style="2" customWidth="1"/>
    <col min="9712" max="9712" width="10.85546875" style="2" customWidth="1"/>
    <col min="9713" max="9713" width="54.5703125" style="2" customWidth="1"/>
    <col min="9714" max="9715" width="22.85546875" style="2" customWidth="1"/>
    <col min="9716" max="9716" width="9.85546875" style="2" customWidth="1"/>
    <col min="9717" max="9717" width="13" style="2" customWidth="1"/>
    <col min="9718" max="9718" width="1" style="2" customWidth="1"/>
    <col min="9719" max="9963" width="9.140625" style="2"/>
    <col min="9964" max="9964" width="2.140625" style="2" customWidth="1"/>
    <col min="9965" max="9965" width="8.7109375" style="2" customWidth="1"/>
    <col min="9966" max="9966" width="9.85546875" style="2" customWidth="1"/>
    <col min="9967" max="9967" width="1" style="2" customWidth="1"/>
    <col min="9968" max="9968" width="10.85546875" style="2" customWidth="1"/>
    <col min="9969" max="9969" width="54.5703125" style="2" customWidth="1"/>
    <col min="9970" max="9971" width="22.85546875" style="2" customWidth="1"/>
    <col min="9972" max="9972" width="9.85546875" style="2" customWidth="1"/>
    <col min="9973" max="9973" width="13" style="2" customWidth="1"/>
    <col min="9974" max="9974" width="1" style="2" customWidth="1"/>
    <col min="9975" max="10219" width="9.140625" style="2"/>
    <col min="10220" max="10220" width="2.140625" style="2" customWidth="1"/>
    <col min="10221" max="10221" width="8.7109375" style="2" customWidth="1"/>
    <col min="10222" max="10222" width="9.85546875" style="2" customWidth="1"/>
    <col min="10223" max="10223" width="1" style="2" customWidth="1"/>
    <col min="10224" max="10224" width="10.85546875" style="2" customWidth="1"/>
    <col min="10225" max="10225" width="54.5703125" style="2" customWidth="1"/>
    <col min="10226" max="10227" width="22.85546875" style="2" customWidth="1"/>
    <col min="10228" max="10228" width="9.85546875" style="2" customWidth="1"/>
    <col min="10229" max="10229" width="13" style="2" customWidth="1"/>
    <col min="10230" max="10230" width="1" style="2" customWidth="1"/>
    <col min="10231" max="10475" width="9.140625" style="2"/>
    <col min="10476" max="10476" width="2.140625" style="2" customWidth="1"/>
    <col min="10477" max="10477" width="8.7109375" style="2" customWidth="1"/>
    <col min="10478" max="10478" width="9.85546875" style="2" customWidth="1"/>
    <col min="10479" max="10479" width="1" style="2" customWidth="1"/>
    <col min="10480" max="10480" width="10.85546875" style="2" customWidth="1"/>
    <col min="10481" max="10481" width="54.5703125" style="2" customWidth="1"/>
    <col min="10482" max="10483" width="22.85546875" style="2" customWidth="1"/>
    <col min="10484" max="10484" width="9.85546875" style="2" customWidth="1"/>
    <col min="10485" max="10485" width="13" style="2" customWidth="1"/>
    <col min="10486" max="10486" width="1" style="2" customWidth="1"/>
    <col min="10487" max="10731" width="9.140625" style="2"/>
    <col min="10732" max="10732" width="2.140625" style="2" customWidth="1"/>
    <col min="10733" max="10733" width="8.7109375" style="2" customWidth="1"/>
    <col min="10734" max="10734" width="9.85546875" style="2" customWidth="1"/>
    <col min="10735" max="10735" width="1" style="2" customWidth="1"/>
    <col min="10736" max="10736" width="10.85546875" style="2" customWidth="1"/>
    <col min="10737" max="10737" width="54.5703125" style="2" customWidth="1"/>
    <col min="10738" max="10739" width="22.85546875" style="2" customWidth="1"/>
    <col min="10740" max="10740" width="9.85546875" style="2" customWidth="1"/>
    <col min="10741" max="10741" width="13" style="2" customWidth="1"/>
    <col min="10742" max="10742" width="1" style="2" customWidth="1"/>
    <col min="10743" max="10987" width="9.140625" style="2"/>
    <col min="10988" max="10988" width="2.140625" style="2" customWidth="1"/>
    <col min="10989" max="10989" width="8.7109375" style="2" customWidth="1"/>
    <col min="10990" max="10990" width="9.85546875" style="2" customWidth="1"/>
    <col min="10991" max="10991" width="1" style="2" customWidth="1"/>
    <col min="10992" max="10992" width="10.85546875" style="2" customWidth="1"/>
    <col min="10993" max="10993" width="54.5703125" style="2" customWidth="1"/>
    <col min="10994" max="10995" width="22.85546875" style="2" customWidth="1"/>
    <col min="10996" max="10996" width="9.85546875" style="2" customWidth="1"/>
    <col min="10997" max="10997" width="13" style="2" customWidth="1"/>
    <col min="10998" max="10998" width="1" style="2" customWidth="1"/>
    <col min="10999" max="11243" width="9.140625" style="2"/>
    <col min="11244" max="11244" width="2.140625" style="2" customWidth="1"/>
    <col min="11245" max="11245" width="8.7109375" style="2" customWidth="1"/>
    <col min="11246" max="11246" width="9.85546875" style="2" customWidth="1"/>
    <col min="11247" max="11247" width="1" style="2" customWidth="1"/>
    <col min="11248" max="11248" width="10.85546875" style="2" customWidth="1"/>
    <col min="11249" max="11249" width="54.5703125" style="2" customWidth="1"/>
    <col min="11250" max="11251" width="22.85546875" style="2" customWidth="1"/>
    <col min="11252" max="11252" width="9.85546875" style="2" customWidth="1"/>
    <col min="11253" max="11253" width="13" style="2" customWidth="1"/>
    <col min="11254" max="11254" width="1" style="2" customWidth="1"/>
    <col min="11255" max="11499" width="9.140625" style="2"/>
    <col min="11500" max="11500" width="2.140625" style="2" customWidth="1"/>
    <col min="11501" max="11501" width="8.7109375" style="2" customWidth="1"/>
    <col min="11502" max="11502" width="9.85546875" style="2" customWidth="1"/>
    <col min="11503" max="11503" width="1" style="2" customWidth="1"/>
    <col min="11504" max="11504" width="10.85546875" style="2" customWidth="1"/>
    <col min="11505" max="11505" width="54.5703125" style="2" customWidth="1"/>
    <col min="11506" max="11507" width="22.85546875" style="2" customWidth="1"/>
    <col min="11508" max="11508" width="9.85546875" style="2" customWidth="1"/>
    <col min="11509" max="11509" width="13" style="2" customWidth="1"/>
    <col min="11510" max="11510" width="1" style="2" customWidth="1"/>
    <col min="11511" max="11755" width="9.140625" style="2"/>
    <col min="11756" max="11756" width="2.140625" style="2" customWidth="1"/>
    <col min="11757" max="11757" width="8.7109375" style="2" customWidth="1"/>
    <col min="11758" max="11758" width="9.85546875" style="2" customWidth="1"/>
    <col min="11759" max="11759" width="1" style="2" customWidth="1"/>
    <col min="11760" max="11760" width="10.85546875" style="2" customWidth="1"/>
    <col min="11761" max="11761" width="54.5703125" style="2" customWidth="1"/>
    <col min="11762" max="11763" width="22.85546875" style="2" customWidth="1"/>
    <col min="11764" max="11764" width="9.85546875" style="2" customWidth="1"/>
    <col min="11765" max="11765" width="13" style="2" customWidth="1"/>
    <col min="11766" max="11766" width="1" style="2" customWidth="1"/>
    <col min="11767" max="12011" width="9.140625" style="2"/>
    <col min="12012" max="12012" width="2.140625" style="2" customWidth="1"/>
    <col min="12013" max="12013" width="8.7109375" style="2" customWidth="1"/>
    <col min="12014" max="12014" width="9.85546875" style="2" customWidth="1"/>
    <col min="12015" max="12015" width="1" style="2" customWidth="1"/>
    <col min="12016" max="12016" width="10.85546875" style="2" customWidth="1"/>
    <col min="12017" max="12017" width="54.5703125" style="2" customWidth="1"/>
    <col min="12018" max="12019" width="22.85546875" style="2" customWidth="1"/>
    <col min="12020" max="12020" width="9.85546875" style="2" customWidth="1"/>
    <col min="12021" max="12021" width="13" style="2" customWidth="1"/>
    <col min="12022" max="12022" width="1" style="2" customWidth="1"/>
    <col min="12023" max="12267" width="9.140625" style="2"/>
    <col min="12268" max="12268" width="2.140625" style="2" customWidth="1"/>
    <col min="12269" max="12269" width="8.7109375" style="2" customWidth="1"/>
    <col min="12270" max="12270" width="9.85546875" style="2" customWidth="1"/>
    <col min="12271" max="12271" width="1" style="2" customWidth="1"/>
    <col min="12272" max="12272" width="10.85546875" style="2" customWidth="1"/>
    <col min="12273" max="12273" width="54.5703125" style="2" customWidth="1"/>
    <col min="12274" max="12275" width="22.85546875" style="2" customWidth="1"/>
    <col min="12276" max="12276" width="9.85546875" style="2" customWidth="1"/>
    <col min="12277" max="12277" width="13" style="2" customWidth="1"/>
    <col min="12278" max="12278" width="1" style="2" customWidth="1"/>
    <col min="12279" max="12523" width="9.140625" style="2"/>
    <col min="12524" max="12524" width="2.140625" style="2" customWidth="1"/>
    <col min="12525" max="12525" width="8.7109375" style="2" customWidth="1"/>
    <col min="12526" max="12526" width="9.85546875" style="2" customWidth="1"/>
    <col min="12527" max="12527" width="1" style="2" customWidth="1"/>
    <col min="12528" max="12528" width="10.85546875" style="2" customWidth="1"/>
    <col min="12529" max="12529" width="54.5703125" style="2" customWidth="1"/>
    <col min="12530" max="12531" width="22.85546875" style="2" customWidth="1"/>
    <col min="12532" max="12532" width="9.85546875" style="2" customWidth="1"/>
    <col min="12533" max="12533" width="13" style="2" customWidth="1"/>
    <col min="12534" max="12534" width="1" style="2" customWidth="1"/>
    <col min="12535" max="12779" width="9.140625" style="2"/>
    <col min="12780" max="12780" width="2.140625" style="2" customWidth="1"/>
    <col min="12781" max="12781" width="8.7109375" style="2" customWidth="1"/>
    <col min="12782" max="12782" width="9.85546875" style="2" customWidth="1"/>
    <col min="12783" max="12783" width="1" style="2" customWidth="1"/>
    <col min="12784" max="12784" width="10.85546875" style="2" customWidth="1"/>
    <col min="12785" max="12785" width="54.5703125" style="2" customWidth="1"/>
    <col min="12786" max="12787" width="22.85546875" style="2" customWidth="1"/>
    <col min="12788" max="12788" width="9.85546875" style="2" customWidth="1"/>
    <col min="12789" max="12789" width="13" style="2" customWidth="1"/>
    <col min="12790" max="12790" width="1" style="2" customWidth="1"/>
    <col min="12791" max="13035" width="9.140625" style="2"/>
    <col min="13036" max="13036" width="2.140625" style="2" customWidth="1"/>
    <col min="13037" max="13037" width="8.7109375" style="2" customWidth="1"/>
    <col min="13038" max="13038" width="9.85546875" style="2" customWidth="1"/>
    <col min="13039" max="13039" width="1" style="2" customWidth="1"/>
    <col min="13040" max="13040" width="10.85546875" style="2" customWidth="1"/>
    <col min="13041" max="13041" width="54.5703125" style="2" customWidth="1"/>
    <col min="13042" max="13043" width="22.85546875" style="2" customWidth="1"/>
    <col min="13044" max="13044" width="9.85546875" style="2" customWidth="1"/>
    <col min="13045" max="13045" width="13" style="2" customWidth="1"/>
    <col min="13046" max="13046" width="1" style="2" customWidth="1"/>
    <col min="13047" max="13291" width="9.140625" style="2"/>
    <col min="13292" max="13292" width="2.140625" style="2" customWidth="1"/>
    <col min="13293" max="13293" width="8.7109375" style="2" customWidth="1"/>
    <col min="13294" max="13294" width="9.85546875" style="2" customWidth="1"/>
    <col min="13295" max="13295" width="1" style="2" customWidth="1"/>
    <col min="13296" max="13296" width="10.85546875" style="2" customWidth="1"/>
    <col min="13297" max="13297" width="54.5703125" style="2" customWidth="1"/>
    <col min="13298" max="13299" width="22.85546875" style="2" customWidth="1"/>
    <col min="13300" max="13300" width="9.85546875" style="2" customWidth="1"/>
    <col min="13301" max="13301" width="13" style="2" customWidth="1"/>
    <col min="13302" max="13302" width="1" style="2" customWidth="1"/>
    <col min="13303" max="13547" width="9.140625" style="2"/>
    <col min="13548" max="13548" width="2.140625" style="2" customWidth="1"/>
    <col min="13549" max="13549" width="8.7109375" style="2" customWidth="1"/>
    <col min="13550" max="13550" width="9.85546875" style="2" customWidth="1"/>
    <col min="13551" max="13551" width="1" style="2" customWidth="1"/>
    <col min="13552" max="13552" width="10.85546875" style="2" customWidth="1"/>
    <col min="13553" max="13553" width="54.5703125" style="2" customWidth="1"/>
    <col min="13554" max="13555" width="22.85546875" style="2" customWidth="1"/>
    <col min="13556" max="13556" width="9.85546875" style="2" customWidth="1"/>
    <col min="13557" max="13557" width="13" style="2" customWidth="1"/>
    <col min="13558" max="13558" width="1" style="2" customWidth="1"/>
    <col min="13559" max="13803" width="9.140625" style="2"/>
    <col min="13804" max="13804" width="2.140625" style="2" customWidth="1"/>
    <col min="13805" max="13805" width="8.7109375" style="2" customWidth="1"/>
    <col min="13806" max="13806" width="9.85546875" style="2" customWidth="1"/>
    <col min="13807" max="13807" width="1" style="2" customWidth="1"/>
    <col min="13808" max="13808" width="10.85546875" style="2" customWidth="1"/>
    <col min="13809" max="13809" width="54.5703125" style="2" customWidth="1"/>
    <col min="13810" max="13811" width="22.85546875" style="2" customWidth="1"/>
    <col min="13812" max="13812" width="9.85546875" style="2" customWidth="1"/>
    <col min="13813" max="13813" width="13" style="2" customWidth="1"/>
    <col min="13814" max="13814" width="1" style="2" customWidth="1"/>
    <col min="13815" max="14059" width="9.140625" style="2"/>
    <col min="14060" max="14060" width="2.140625" style="2" customWidth="1"/>
    <col min="14061" max="14061" width="8.7109375" style="2" customWidth="1"/>
    <col min="14062" max="14062" width="9.85546875" style="2" customWidth="1"/>
    <col min="14063" max="14063" width="1" style="2" customWidth="1"/>
    <col min="14064" max="14064" width="10.85546875" style="2" customWidth="1"/>
    <col min="14065" max="14065" width="54.5703125" style="2" customWidth="1"/>
    <col min="14066" max="14067" width="22.85546875" style="2" customWidth="1"/>
    <col min="14068" max="14068" width="9.85546875" style="2" customWidth="1"/>
    <col min="14069" max="14069" width="13" style="2" customWidth="1"/>
    <col min="14070" max="14070" width="1" style="2" customWidth="1"/>
    <col min="14071" max="14315" width="9.140625" style="2"/>
    <col min="14316" max="14316" width="2.140625" style="2" customWidth="1"/>
    <col min="14317" max="14317" width="8.7109375" style="2" customWidth="1"/>
    <col min="14318" max="14318" width="9.85546875" style="2" customWidth="1"/>
    <col min="14319" max="14319" width="1" style="2" customWidth="1"/>
    <col min="14320" max="14320" width="10.85546875" style="2" customWidth="1"/>
    <col min="14321" max="14321" width="54.5703125" style="2" customWidth="1"/>
    <col min="14322" max="14323" width="22.85546875" style="2" customWidth="1"/>
    <col min="14324" max="14324" width="9.85546875" style="2" customWidth="1"/>
    <col min="14325" max="14325" width="13" style="2" customWidth="1"/>
    <col min="14326" max="14326" width="1" style="2" customWidth="1"/>
    <col min="14327" max="14571" width="9.140625" style="2"/>
    <col min="14572" max="14572" width="2.140625" style="2" customWidth="1"/>
    <col min="14573" max="14573" width="8.7109375" style="2" customWidth="1"/>
    <col min="14574" max="14574" width="9.85546875" style="2" customWidth="1"/>
    <col min="14575" max="14575" width="1" style="2" customWidth="1"/>
    <col min="14576" max="14576" width="10.85546875" style="2" customWidth="1"/>
    <col min="14577" max="14577" width="54.5703125" style="2" customWidth="1"/>
    <col min="14578" max="14579" width="22.85546875" style="2" customWidth="1"/>
    <col min="14580" max="14580" width="9.85546875" style="2" customWidth="1"/>
    <col min="14581" max="14581" width="13" style="2" customWidth="1"/>
    <col min="14582" max="14582" width="1" style="2" customWidth="1"/>
    <col min="14583" max="14827" width="9.140625" style="2"/>
    <col min="14828" max="14828" width="2.140625" style="2" customWidth="1"/>
    <col min="14829" max="14829" width="8.7109375" style="2" customWidth="1"/>
    <col min="14830" max="14830" width="9.85546875" style="2" customWidth="1"/>
    <col min="14831" max="14831" width="1" style="2" customWidth="1"/>
    <col min="14832" max="14832" width="10.85546875" style="2" customWidth="1"/>
    <col min="14833" max="14833" width="54.5703125" style="2" customWidth="1"/>
    <col min="14834" max="14835" width="22.85546875" style="2" customWidth="1"/>
    <col min="14836" max="14836" width="9.85546875" style="2" customWidth="1"/>
    <col min="14837" max="14837" width="13" style="2" customWidth="1"/>
    <col min="14838" max="14838" width="1" style="2" customWidth="1"/>
    <col min="14839" max="15083" width="9.140625" style="2"/>
    <col min="15084" max="15084" width="2.140625" style="2" customWidth="1"/>
    <col min="15085" max="15085" width="8.7109375" style="2" customWidth="1"/>
    <col min="15086" max="15086" width="9.85546875" style="2" customWidth="1"/>
    <col min="15087" max="15087" width="1" style="2" customWidth="1"/>
    <col min="15088" max="15088" width="10.85546875" style="2" customWidth="1"/>
    <col min="15089" max="15089" width="54.5703125" style="2" customWidth="1"/>
    <col min="15090" max="15091" width="22.85546875" style="2" customWidth="1"/>
    <col min="15092" max="15092" width="9.85546875" style="2" customWidth="1"/>
    <col min="15093" max="15093" width="13" style="2" customWidth="1"/>
    <col min="15094" max="15094" width="1" style="2" customWidth="1"/>
    <col min="15095" max="15339" width="9.140625" style="2"/>
    <col min="15340" max="15340" width="2.140625" style="2" customWidth="1"/>
    <col min="15341" max="15341" width="8.7109375" style="2" customWidth="1"/>
    <col min="15342" max="15342" width="9.85546875" style="2" customWidth="1"/>
    <col min="15343" max="15343" width="1" style="2" customWidth="1"/>
    <col min="15344" max="15344" width="10.85546875" style="2" customWidth="1"/>
    <col min="15345" max="15345" width="54.5703125" style="2" customWidth="1"/>
    <col min="15346" max="15347" width="22.85546875" style="2" customWidth="1"/>
    <col min="15348" max="15348" width="9.85546875" style="2" customWidth="1"/>
    <col min="15349" max="15349" width="13" style="2" customWidth="1"/>
    <col min="15350" max="15350" width="1" style="2" customWidth="1"/>
    <col min="15351" max="15595" width="9.140625" style="2"/>
    <col min="15596" max="15596" width="2.140625" style="2" customWidth="1"/>
    <col min="15597" max="15597" width="8.7109375" style="2" customWidth="1"/>
    <col min="15598" max="15598" width="9.85546875" style="2" customWidth="1"/>
    <col min="15599" max="15599" width="1" style="2" customWidth="1"/>
    <col min="15600" max="15600" width="10.85546875" style="2" customWidth="1"/>
    <col min="15601" max="15601" width="54.5703125" style="2" customWidth="1"/>
    <col min="15602" max="15603" width="22.85546875" style="2" customWidth="1"/>
    <col min="15604" max="15604" width="9.85546875" style="2" customWidth="1"/>
    <col min="15605" max="15605" width="13" style="2" customWidth="1"/>
    <col min="15606" max="15606" width="1" style="2" customWidth="1"/>
    <col min="15607" max="15851" width="9.140625" style="2"/>
    <col min="15852" max="15852" width="2.140625" style="2" customWidth="1"/>
    <col min="15853" max="15853" width="8.7109375" style="2" customWidth="1"/>
    <col min="15854" max="15854" width="9.85546875" style="2" customWidth="1"/>
    <col min="15855" max="15855" width="1" style="2" customWidth="1"/>
    <col min="15856" max="15856" width="10.85546875" style="2" customWidth="1"/>
    <col min="15857" max="15857" width="54.5703125" style="2" customWidth="1"/>
    <col min="15858" max="15859" width="22.85546875" style="2" customWidth="1"/>
    <col min="15860" max="15860" width="9.85546875" style="2" customWidth="1"/>
    <col min="15861" max="15861" width="13" style="2" customWidth="1"/>
    <col min="15862" max="15862" width="1" style="2" customWidth="1"/>
    <col min="15863" max="16107" width="9.140625" style="2"/>
    <col min="16108" max="16108" width="2.140625" style="2" customWidth="1"/>
    <col min="16109" max="16109" width="8.7109375" style="2" customWidth="1"/>
    <col min="16110" max="16110" width="9.85546875" style="2" customWidth="1"/>
    <col min="16111" max="16111" width="1" style="2" customWidth="1"/>
    <col min="16112" max="16112" width="10.85546875" style="2" customWidth="1"/>
    <col min="16113" max="16113" width="54.5703125" style="2" customWidth="1"/>
    <col min="16114" max="16115" width="22.85546875" style="2" customWidth="1"/>
    <col min="16116" max="16116" width="9.85546875" style="2" customWidth="1"/>
    <col min="16117" max="16117" width="13" style="2" customWidth="1"/>
    <col min="16118" max="16118" width="1" style="2" customWidth="1"/>
    <col min="16119" max="16384" width="9.140625" style="2"/>
  </cols>
  <sheetData>
    <row r="1" spans="1:12" customFormat="1" ht="63.75" customHeight="1" x14ac:dyDescent="0.25">
      <c r="D1" s="1"/>
      <c r="E1" s="2"/>
      <c r="F1" s="2"/>
      <c r="G1" s="3"/>
      <c r="H1" s="654" t="s">
        <v>0</v>
      </c>
      <c r="I1" s="654"/>
      <c r="J1" s="654"/>
      <c r="K1" s="654"/>
      <c r="L1" s="654"/>
    </row>
    <row r="2" spans="1:12" customFormat="1" ht="51.75" customHeight="1" x14ac:dyDescent="0.25">
      <c r="A2" s="653" t="s">
        <v>1</v>
      </c>
      <c r="B2" s="653"/>
      <c r="C2" s="653"/>
      <c r="D2" s="653"/>
      <c r="E2" s="653"/>
      <c r="F2" s="653"/>
      <c r="G2" s="653"/>
      <c r="H2" s="653"/>
      <c r="I2" s="653"/>
      <c r="J2" s="653"/>
      <c r="K2" s="653"/>
      <c r="L2" s="653"/>
    </row>
    <row r="3" spans="1:12" ht="67.5" customHeight="1" x14ac:dyDescent="0.2">
      <c r="A3" s="569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  <c r="J3" s="516" t="s">
        <v>11</v>
      </c>
      <c r="K3" s="531" t="s">
        <v>12</v>
      </c>
      <c r="L3" s="9" t="s">
        <v>13</v>
      </c>
    </row>
    <row r="4" spans="1:12" x14ac:dyDescent="0.2">
      <c r="A4" s="570" t="s">
        <v>14</v>
      </c>
      <c r="B4" s="10"/>
      <c r="C4" s="10"/>
      <c r="D4" s="11" t="s">
        <v>15</v>
      </c>
      <c r="E4" s="12">
        <f>E5+E7</f>
        <v>730602.38</v>
      </c>
      <c r="F4" s="12">
        <f t="shared" ref="F4:K4" si="0">F5+F7</f>
        <v>730345.87</v>
      </c>
      <c r="G4" s="13">
        <f>F4/E4</f>
        <v>0.99964890615330326</v>
      </c>
      <c r="H4" s="12">
        <f t="shared" si="0"/>
        <v>735513.59999999998</v>
      </c>
      <c r="I4" s="14">
        <f t="shared" si="0"/>
        <v>37200</v>
      </c>
      <c r="J4" s="12">
        <f t="shared" si="0"/>
        <v>13800</v>
      </c>
      <c r="K4" s="532">
        <f t="shared" si="0"/>
        <v>51000</v>
      </c>
      <c r="L4" s="564">
        <f>K4/E4</f>
        <v>6.9805411802792094E-2</v>
      </c>
    </row>
    <row r="5" spans="1:12" ht="15" x14ac:dyDescent="0.2">
      <c r="A5" s="571"/>
      <c r="B5" s="15" t="s">
        <v>16</v>
      </c>
      <c r="C5" s="16"/>
      <c r="D5" s="17" t="s">
        <v>17</v>
      </c>
      <c r="E5" s="18" t="str">
        <f>E6</f>
        <v>123 000,00</v>
      </c>
      <c r="F5" s="18">
        <f t="shared" ref="F5:K5" si="1">F6</f>
        <v>123000</v>
      </c>
      <c r="G5" s="19">
        <f>F5/E5</f>
        <v>1</v>
      </c>
      <c r="H5" s="18">
        <f t="shared" si="1"/>
        <v>123000</v>
      </c>
      <c r="I5" s="20">
        <f t="shared" si="1"/>
        <v>0</v>
      </c>
      <c r="J5" s="18">
        <f t="shared" si="1"/>
        <v>0</v>
      </c>
      <c r="K5" s="209">
        <f t="shared" si="1"/>
        <v>0</v>
      </c>
      <c r="L5" s="21">
        <f>K5/E5</f>
        <v>0</v>
      </c>
    </row>
    <row r="6" spans="1:12" ht="45" x14ac:dyDescent="0.2">
      <c r="A6" s="572"/>
      <c r="B6" s="22"/>
      <c r="C6" s="23" t="s">
        <v>18</v>
      </c>
      <c r="D6" s="24" t="s">
        <v>19</v>
      </c>
      <c r="E6" s="25" t="s">
        <v>20</v>
      </c>
      <c r="F6" s="26">
        <v>123000</v>
      </c>
      <c r="G6" s="27">
        <f>F6/E6</f>
        <v>1</v>
      </c>
      <c r="H6" s="28">
        <v>123000</v>
      </c>
      <c r="I6" s="29">
        <v>0</v>
      </c>
      <c r="J6" s="28"/>
      <c r="K6" s="533">
        <f>I6+J6</f>
        <v>0</v>
      </c>
      <c r="L6" s="31">
        <f>K6/E6</f>
        <v>0</v>
      </c>
    </row>
    <row r="7" spans="1:12" ht="15" x14ac:dyDescent="0.2">
      <c r="A7" s="571"/>
      <c r="B7" s="15" t="s">
        <v>21</v>
      </c>
      <c r="C7" s="16"/>
      <c r="D7" s="17" t="s">
        <v>22</v>
      </c>
      <c r="E7" s="18">
        <f>E8+E10+E11+E9</f>
        <v>607602.38</v>
      </c>
      <c r="F7" s="18">
        <f t="shared" ref="F7:K7" si="2">F8+F10+F11+F9</f>
        <v>607345.87</v>
      </c>
      <c r="G7" s="19">
        <f>F7/E7</f>
        <v>0.99957783246339493</v>
      </c>
      <c r="H7" s="18">
        <f t="shared" si="2"/>
        <v>612513.6</v>
      </c>
      <c r="I7" s="32">
        <f t="shared" si="2"/>
        <v>37200</v>
      </c>
      <c r="J7" s="33">
        <f t="shared" si="2"/>
        <v>13800</v>
      </c>
      <c r="K7" s="118">
        <f t="shared" si="2"/>
        <v>51000</v>
      </c>
      <c r="L7" s="34">
        <f t="shared" ref="L7:L70" si="3">K7/E7</f>
        <v>8.3936471743247615E-2</v>
      </c>
    </row>
    <row r="8" spans="1:12" ht="56.25" x14ac:dyDescent="0.2">
      <c r="A8" s="572"/>
      <c r="B8" s="22"/>
      <c r="C8" s="23" t="s">
        <v>23</v>
      </c>
      <c r="D8" s="24" t="s">
        <v>24</v>
      </c>
      <c r="E8" s="25" t="s">
        <v>25</v>
      </c>
      <c r="F8" s="26">
        <v>50578.53</v>
      </c>
      <c r="G8" s="27">
        <f>F8/E8</f>
        <v>0.99173588235294119</v>
      </c>
      <c r="H8" s="28">
        <v>55646.26</v>
      </c>
      <c r="I8" s="29">
        <v>37200</v>
      </c>
      <c r="J8" s="28">
        <v>13800</v>
      </c>
      <c r="K8" s="533">
        <f>I8+J8</f>
        <v>51000</v>
      </c>
      <c r="L8" s="31">
        <f t="shared" si="3"/>
        <v>1</v>
      </c>
    </row>
    <row r="9" spans="1:12" x14ac:dyDescent="0.2">
      <c r="A9" s="572"/>
      <c r="B9" s="22"/>
      <c r="C9" s="35" t="s">
        <v>26</v>
      </c>
      <c r="D9" s="24" t="s">
        <v>27</v>
      </c>
      <c r="E9" s="25">
        <v>0</v>
      </c>
      <c r="F9" s="26">
        <v>164.96</v>
      </c>
      <c r="G9" s="27">
        <v>0</v>
      </c>
      <c r="H9" s="28">
        <v>264.95999999999998</v>
      </c>
      <c r="I9" s="29">
        <v>0</v>
      </c>
      <c r="J9" s="28"/>
      <c r="K9" s="533">
        <f t="shared" ref="K9:K11" si="4">I9+J9</f>
        <v>0</v>
      </c>
      <c r="L9" s="36">
        <v>0</v>
      </c>
    </row>
    <row r="10" spans="1:12" ht="56.25" x14ac:dyDescent="0.2">
      <c r="A10" s="572"/>
      <c r="B10" s="22"/>
      <c r="C10" s="23" t="s">
        <v>28</v>
      </c>
      <c r="D10" s="24" t="s">
        <v>29</v>
      </c>
      <c r="E10" s="25" t="s">
        <v>30</v>
      </c>
      <c r="F10" s="26">
        <v>536602.38</v>
      </c>
      <c r="G10" s="27">
        <f t="shared" ref="G10:G11" si="5">F10/E10</f>
        <v>1</v>
      </c>
      <c r="H10" s="28">
        <v>536602.38</v>
      </c>
      <c r="I10" s="29">
        <v>0</v>
      </c>
      <c r="J10" s="28"/>
      <c r="K10" s="533">
        <f t="shared" si="4"/>
        <v>0</v>
      </c>
      <c r="L10" s="31">
        <f t="shared" si="3"/>
        <v>0</v>
      </c>
    </row>
    <row r="11" spans="1:12" ht="45" x14ac:dyDescent="0.2">
      <c r="A11" s="572"/>
      <c r="B11" s="22"/>
      <c r="C11" s="23" t="s">
        <v>18</v>
      </c>
      <c r="D11" s="24" t="s">
        <v>19</v>
      </c>
      <c r="E11" s="25" t="s">
        <v>31</v>
      </c>
      <c r="F11" s="26">
        <v>20000</v>
      </c>
      <c r="G11" s="27">
        <f t="shared" si="5"/>
        <v>1</v>
      </c>
      <c r="H11" s="28">
        <v>20000</v>
      </c>
      <c r="I11" s="29">
        <v>0</v>
      </c>
      <c r="J11" s="28"/>
      <c r="K11" s="533">
        <f t="shared" si="4"/>
        <v>0</v>
      </c>
      <c r="L11" s="31">
        <f t="shared" si="3"/>
        <v>0</v>
      </c>
    </row>
    <row r="12" spans="1:12" x14ac:dyDescent="0.2">
      <c r="A12" s="573" t="s">
        <v>32</v>
      </c>
      <c r="B12" s="10"/>
      <c r="C12" s="10"/>
      <c r="D12" s="11" t="s">
        <v>33</v>
      </c>
      <c r="E12" s="12">
        <f>E13</f>
        <v>0</v>
      </c>
      <c r="F12" s="12">
        <f t="shared" ref="F12:K13" si="6">F13</f>
        <v>1462</v>
      </c>
      <c r="G12" s="13">
        <v>0</v>
      </c>
      <c r="H12" s="12">
        <f t="shared" si="6"/>
        <v>1462</v>
      </c>
      <c r="I12" s="14">
        <f t="shared" si="6"/>
        <v>0</v>
      </c>
      <c r="J12" s="12">
        <f t="shared" si="6"/>
        <v>0</v>
      </c>
      <c r="K12" s="532">
        <f t="shared" si="6"/>
        <v>0</v>
      </c>
      <c r="L12" s="37">
        <v>0</v>
      </c>
    </row>
    <row r="13" spans="1:12" ht="15" x14ac:dyDescent="0.2">
      <c r="A13" s="571"/>
      <c r="B13" s="38" t="s">
        <v>34</v>
      </c>
      <c r="C13" s="16"/>
      <c r="D13" s="17" t="s">
        <v>35</v>
      </c>
      <c r="E13" s="18">
        <f>E14</f>
        <v>0</v>
      </c>
      <c r="F13" s="18">
        <f t="shared" si="6"/>
        <v>1462</v>
      </c>
      <c r="G13" s="19">
        <v>0</v>
      </c>
      <c r="H13" s="18">
        <f t="shared" si="6"/>
        <v>1462</v>
      </c>
      <c r="I13" s="20">
        <f t="shared" si="6"/>
        <v>0</v>
      </c>
      <c r="J13" s="18">
        <f t="shared" si="6"/>
        <v>0</v>
      </c>
      <c r="K13" s="209">
        <f t="shared" si="6"/>
        <v>0</v>
      </c>
      <c r="L13" s="34">
        <v>0</v>
      </c>
    </row>
    <row r="14" spans="1:12" x14ac:dyDescent="0.2">
      <c r="A14" s="572"/>
      <c r="B14" s="22"/>
      <c r="C14" s="35" t="s">
        <v>36</v>
      </c>
      <c r="D14" s="24" t="s">
        <v>997</v>
      </c>
      <c r="E14" s="25">
        <v>0</v>
      </c>
      <c r="F14" s="26">
        <v>1462</v>
      </c>
      <c r="G14" s="27">
        <v>0</v>
      </c>
      <c r="H14" s="28">
        <v>1462</v>
      </c>
      <c r="I14" s="29">
        <v>0</v>
      </c>
      <c r="J14" s="517"/>
      <c r="K14" s="533">
        <f>I14+J14</f>
        <v>0</v>
      </c>
      <c r="L14" s="31">
        <v>0</v>
      </c>
    </row>
    <row r="15" spans="1:12" x14ac:dyDescent="0.2">
      <c r="A15" s="574" t="s">
        <v>37</v>
      </c>
      <c r="B15" s="39"/>
      <c r="C15" s="39"/>
      <c r="D15" s="40" t="s">
        <v>38</v>
      </c>
      <c r="E15" s="41" t="str">
        <f>E16</f>
        <v>20 000,00</v>
      </c>
      <c r="F15" s="41">
        <f t="shared" ref="F15:K16" si="7">F16</f>
        <v>32815</v>
      </c>
      <c r="G15" s="42">
        <f t="shared" ref="G15:G20" si="8">F15/E15</f>
        <v>1.6407499999999999</v>
      </c>
      <c r="H15" s="41">
        <f t="shared" si="7"/>
        <v>36365</v>
      </c>
      <c r="I15" s="43">
        <f t="shared" si="7"/>
        <v>25000</v>
      </c>
      <c r="J15" s="41">
        <f t="shared" si="7"/>
        <v>0</v>
      </c>
      <c r="K15" s="206">
        <f t="shared" si="7"/>
        <v>25000</v>
      </c>
      <c r="L15" s="37">
        <f t="shared" si="3"/>
        <v>1.25</v>
      </c>
    </row>
    <row r="16" spans="1:12" ht="15" x14ac:dyDescent="0.2">
      <c r="A16" s="571"/>
      <c r="B16" s="15" t="s">
        <v>39</v>
      </c>
      <c r="C16" s="16"/>
      <c r="D16" s="17" t="s">
        <v>22</v>
      </c>
      <c r="E16" s="18" t="str">
        <f>E17</f>
        <v>20 000,00</v>
      </c>
      <c r="F16" s="18">
        <f t="shared" si="7"/>
        <v>32815</v>
      </c>
      <c r="G16" s="19">
        <f t="shared" si="8"/>
        <v>1.6407499999999999</v>
      </c>
      <c r="H16" s="18">
        <f t="shared" si="7"/>
        <v>36365</v>
      </c>
      <c r="I16" s="20">
        <f t="shared" si="7"/>
        <v>25000</v>
      </c>
      <c r="J16" s="18">
        <f t="shared" si="7"/>
        <v>0</v>
      </c>
      <c r="K16" s="209">
        <f t="shared" si="7"/>
        <v>25000</v>
      </c>
      <c r="L16" s="34">
        <f t="shared" si="3"/>
        <v>1.25</v>
      </c>
    </row>
    <row r="17" spans="1:12" x14ac:dyDescent="0.2">
      <c r="A17" s="572"/>
      <c r="B17" s="22"/>
      <c r="C17" s="23" t="s">
        <v>40</v>
      </c>
      <c r="D17" s="24" t="s">
        <v>41</v>
      </c>
      <c r="E17" s="25" t="s">
        <v>31</v>
      </c>
      <c r="F17" s="26">
        <v>32815</v>
      </c>
      <c r="G17" s="27">
        <f t="shared" si="8"/>
        <v>1.6407499999999999</v>
      </c>
      <c r="H17" s="28">
        <v>36365</v>
      </c>
      <c r="I17" s="29">
        <v>25000</v>
      </c>
      <c r="J17" s="28"/>
      <c r="K17" s="533">
        <f>I17+J17</f>
        <v>25000</v>
      </c>
      <c r="L17" s="31">
        <f t="shared" si="3"/>
        <v>1.25</v>
      </c>
    </row>
    <row r="18" spans="1:12" x14ac:dyDescent="0.2">
      <c r="A18" s="574" t="s">
        <v>42</v>
      </c>
      <c r="B18" s="39"/>
      <c r="C18" s="39"/>
      <c r="D18" s="40" t="s">
        <v>43</v>
      </c>
      <c r="E18" s="41">
        <f>E19</f>
        <v>12000</v>
      </c>
      <c r="F18" s="41">
        <f t="shared" ref="F18:K18" si="9">F19</f>
        <v>11530.68</v>
      </c>
      <c r="G18" s="42">
        <f t="shared" si="8"/>
        <v>0.96089000000000002</v>
      </c>
      <c r="H18" s="41">
        <f t="shared" si="9"/>
        <v>11698.59</v>
      </c>
      <c r="I18" s="43">
        <f t="shared" si="9"/>
        <v>15000</v>
      </c>
      <c r="J18" s="41">
        <f t="shared" si="9"/>
        <v>0</v>
      </c>
      <c r="K18" s="206">
        <f t="shared" si="9"/>
        <v>15000</v>
      </c>
      <c r="L18" s="37">
        <f t="shared" si="3"/>
        <v>1.25</v>
      </c>
    </row>
    <row r="19" spans="1:12" ht="15" x14ac:dyDescent="0.2">
      <c r="A19" s="571"/>
      <c r="B19" s="15" t="s">
        <v>44</v>
      </c>
      <c r="C19" s="16"/>
      <c r="D19" s="17" t="s">
        <v>45</v>
      </c>
      <c r="E19" s="18">
        <f>E20+E21+E22</f>
        <v>12000</v>
      </c>
      <c r="F19" s="18">
        <f t="shared" ref="F19:K19" si="10">F20+F21+F22</f>
        <v>11530.68</v>
      </c>
      <c r="G19" s="19">
        <f t="shared" si="8"/>
        <v>0.96089000000000002</v>
      </c>
      <c r="H19" s="18">
        <f t="shared" si="10"/>
        <v>11698.59</v>
      </c>
      <c r="I19" s="20">
        <f t="shared" si="10"/>
        <v>15000</v>
      </c>
      <c r="J19" s="18">
        <f t="shared" si="10"/>
        <v>0</v>
      </c>
      <c r="K19" s="209">
        <f t="shared" si="10"/>
        <v>15000</v>
      </c>
      <c r="L19" s="34">
        <f t="shared" si="3"/>
        <v>1.25</v>
      </c>
    </row>
    <row r="20" spans="1:12" ht="33.75" x14ac:dyDescent="0.2">
      <c r="A20" s="572"/>
      <c r="B20" s="22"/>
      <c r="C20" s="23" t="s">
        <v>46</v>
      </c>
      <c r="D20" s="24" t="s">
        <v>47</v>
      </c>
      <c r="E20" s="44" t="s">
        <v>48</v>
      </c>
      <c r="F20" s="45">
        <v>11513.59</v>
      </c>
      <c r="G20" s="46">
        <f t="shared" si="8"/>
        <v>0.95946583333333335</v>
      </c>
      <c r="H20" s="47">
        <v>11681.5</v>
      </c>
      <c r="I20" s="48">
        <v>15000</v>
      </c>
      <c r="J20" s="47"/>
      <c r="K20" s="534">
        <f>I20+J20</f>
        <v>15000</v>
      </c>
      <c r="L20" s="31">
        <f t="shared" si="3"/>
        <v>1.25</v>
      </c>
    </row>
    <row r="21" spans="1:12" x14ac:dyDescent="0.2">
      <c r="A21" s="572"/>
      <c r="B21" s="22"/>
      <c r="C21" s="23" t="s">
        <v>40</v>
      </c>
      <c r="D21" s="49" t="s">
        <v>41</v>
      </c>
      <c r="E21" s="50">
        <v>0</v>
      </c>
      <c r="F21" s="26">
        <v>11.6</v>
      </c>
      <c r="G21" s="46">
        <v>0</v>
      </c>
      <c r="H21" s="28">
        <v>11.6</v>
      </c>
      <c r="I21" s="29">
        <v>0</v>
      </c>
      <c r="J21" s="28"/>
      <c r="K21" s="534">
        <f t="shared" ref="K21:K22" si="11">I21+J21</f>
        <v>0</v>
      </c>
      <c r="L21" s="31">
        <v>0</v>
      </c>
    </row>
    <row r="22" spans="1:12" ht="22.5" x14ac:dyDescent="0.2">
      <c r="A22" s="572"/>
      <c r="B22" s="22"/>
      <c r="C22" s="23" t="s">
        <v>49</v>
      </c>
      <c r="D22" s="49" t="s">
        <v>50</v>
      </c>
      <c r="E22" s="50">
        <v>0</v>
      </c>
      <c r="F22" s="26">
        <v>5.49</v>
      </c>
      <c r="G22" s="46">
        <v>0</v>
      </c>
      <c r="H22" s="28">
        <v>5.49</v>
      </c>
      <c r="I22" s="29">
        <v>0</v>
      </c>
      <c r="J22" s="28"/>
      <c r="K22" s="534">
        <f t="shared" si="11"/>
        <v>0</v>
      </c>
      <c r="L22" s="31">
        <v>0</v>
      </c>
    </row>
    <row r="23" spans="1:12" x14ac:dyDescent="0.2">
      <c r="A23" s="574" t="s">
        <v>51</v>
      </c>
      <c r="B23" s="39"/>
      <c r="C23" s="39"/>
      <c r="D23" s="40" t="s">
        <v>52</v>
      </c>
      <c r="E23" s="51">
        <f>E24+E26</f>
        <v>1971248.31</v>
      </c>
      <c r="F23" s="51">
        <f t="shared" ref="F23:K23" si="12">F24+F26</f>
        <v>1541955.2000000002</v>
      </c>
      <c r="G23" s="52">
        <f t="shared" si="12"/>
        <v>1.7812096974215899</v>
      </c>
      <c r="H23" s="51">
        <f t="shared" si="12"/>
        <v>1969148.1400000004</v>
      </c>
      <c r="I23" s="53">
        <f t="shared" si="12"/>
        <v>1424200</v>
      </c>
      <c r="J23" s="51">
        <f t="shared" si="12"/>
        <v>37800</v>
      </c>
      <c r="K23" s="228">
        <f t="shared" si="12"/>
        <v>1462000</v>
      </c>
      <c r="L23" s="37">
        <f t="shared" si="3"/>
        <v>0.74166201821626421</v>
      </c>
    </row>
    <row r="24" spans="1:12" ht="15" x14ac:dyDescent="0.2">
      <c r="A24" s="571"/>
      <c r="B24" s="15" t="s">
        <v>53</v>
      </c>
      <c r="C24" s="16"/>
      <c r="D24" s="17" t="s">
        <v>54</v>
      </c>
      <c r="E24" s="18" t="str">
        <f>E25</f>
        <v>9 439,00</v>
      </c>
      <c r="F24" s="18">
        <f t="shared" ref="F24:K24" si="13">F25</f>
        <v>9439.33</v>
      </c>
      <c r="G24" s="19">
        <f t="shared" si="13"/>
        <v>1.0000349613306494</v>
      </c>
      <c r="H24" s="18">
        <f t="shared" si="13"/>
        <v>9439.33</v>
      </c>
      <c r="I24" s="20">
        <f t="shared" si="13"/>
        <v>0</v>
      </c>
      <c r="J24" s="18">
        <f t="shared" si="13"/>
        <v>0</v>
      </c>
      <c r="K24" s="209">
        <f t="shared" si="13"/>
        <v>0</v>
      </c>
      <c r="L24" s="34">
        <f t="shared" si="3"/>
        <v>0</v>
      </c>
    </row>
    <row r="25" spans="1:12" ht="56.25" x14ac:dyDescent="0.2">
      <c r="A25" s="572"/>
      <c r="B25" s="22"/>
      <c r="C25" s="23" t="s">
        <v>55</v>
      </c>
      <c r="D25" s="24" t="s">
        <v>56</v>
      </c>
      <c r="E25" s="25" t="s">
        <v>57</v>
      </c>
      <c r="F25" s="26">
        <v>9439.33</v>
      </c>
      <c r="G25" s="27">
        <f>F25/E25</f>
        <v>1.0000349613306494</v>
      </c>
      <c r="H25" s="28">
        <v>9439.33</v>
      </c>
      <c r="I25" s="29">
        <v>0</v>
      </c>
      <c r="J25" s="28">
        <v>0</v>
      </c>
      <c r="K25" s="533">
        <f>I25+J25</f>
        <v>0</v>
      </c>
      <c r="L25" s="31">
        <f t="shared" si="3"/>
        <v>0</v>
      </c>
    </row>
    <row r="26" spans="1:12" ht="15" x14ac:dyDescent="0.2">
      <c r="A26" s="571"/>
      <c r="B26" s="15" t="s">
        <v>58</v>
      </c>
      <c r="C26" s="16"/>
      <c r="D26" s="17" t="s">
        <v>59</v>
      </c>
      <c r="E26" s="18">
        <f>E27+E29+E31+E32+E33+E34+E36+E37+E28+E30+E35</f>
        <v>1961809.31</v>
      </c>
      <c r="F26" s="18">
        <f t="shared" ref="F26:K26" si="14">F27+F29+F31+F32+F33+F34+F36+F37+F28+F30+F35</f>
        <v>1532515.87</v>
      </c>
      <c r="G26" s="19">
        <f>F26/E26</f>
        <v>0.78117473609094046</v>
      </c>
      <c r="H26" s="18">
        <f t="shared" si="14"/>
        <v>1959708.8100000003</v>
      </c>
      <c r="I26" s="20">
        <f t="shared" si="14"/>
        <v>1424200</v>
      </c>
      <c r="J26" s="18">
        <f t="shared" si="14"/>
        <v>37800</v>
      </c>
      <c r="K26" s="209">
        <f t="shared" si="14"/>
        <v>1462000</v>
      </c>
      <c r="L26" s="34">
        <f t="shared" si="3"/>
        <v>0.74523043220750129</v>
      </c>
    </row>
    <row r="27" spans="1:12" ht="22.5" x14ac:dyDescent="0.2">
      <c r="A27" s="572"/>
      <c r="B27" s="22"/>
      <c r="C27" s="23" t="s">
        <v>60</v>
      </c>
      <c r="D27" s="24" t="s">
        <v>61</v>
      </c>
      <c r="E27" s="25" t="s">
        <v>62</v>
      </c>
      <c r="F27" s="26">
        <v>28550.95</v>
      </c>
      <c r="G27" s="27">
        <f>F27/E27</f>
        <v>0.85428173902636073</v>
      </c>
      <c r="H27" s="28">
        <v>31653.360000000001</v>
      </c>
      <c r="I27" s="29">
        <v>38400</v>
      </c>
      <c r="J27" s="28"/>
      <c r="K27" s="533">
        <f>I27+J27</f>
        <v>38400</v>
      </c>
      <c r="L27" s="31">
        <f t="shared" si="3"/>
        <v>1.1489781873672242</v>
      </c>
    </row>
    <row r="28" spans="1:12" ht="33.75" x14ac:dyDescent="0.2">
      <c r="A28" s="572"/>
      <c r="B28" s="22"/>
      <c r="C28" s="35" t="s">
        <v>46</v>
      </c>
      <c r="D28" s="24" t="s">
        <v>47</v>
      </c>
      <c r="E28" s="25">
        <v>0</v>
      </c>
      <c r="F28" s="26">
        <v>21.95</v>
      </c>
      <c r="G28" s="27">
        <v>0</v>
      </c>
      <c r="H28" s="28">
        <v>21.95</v>
      </c>
      <c r="I28" s="29"/>
      <c r="J28" s="28"/>
      <c r="K28" s="533">
        <f t="shared" ref="K28:K37" si="15">I28+J28</f>
        <v>0</v>
      </c>
      <c r="L28" s="31">
        <v>0</v>
      </c>
    </row>
    <row r="29" spans="1:12" ht="22.5" x14ac:dyDescent="0.2">
      <c r="A29" s="572"/>
      <c r="B29" s="22"/>
      <c r="C29" s="23" t="s">
        <v>63</v>
      </c>
      <c r="D29" s="24" t="s">
        <v>64</v>
      </c>
      <c r="E29" s="25" t="s">
        <v>65</v>
      </c>
      <c r="F29" s="26">
        <v>81011.97</v>
      </c>
      <c r="G29" s="27">
        <f t="shared" ref="G29:G65" si="16">F29/E29</f>
        <v>0.99304931416173281</v>
      </c>
      <c r="H29" s="28">
        <v>81579</v>
      </c>
      <c r="I29" s="29">
        <v>81600</v>
      </c>
      <c r="J29" s="28"/>
      <c r="K29" s="533">
        <f t="shared" si="15"/>
        <v>81600</v>
      </c>
      <c r="L29" s="31">
        <f t="shared" si="3"/>
        <v>1.0002574191887619</v>
      </c>
    </row>
    <row r="30" spans="1:12" x14ac:dyDescent="0.2">
      <c r="A30" s="572"/>
      <c r="B30" s="22"/>
      <c r="C30" s="35" t="s">
        <v>40</v>
      </c>
      <c r="D30" s="49" t="s">
        <v>41</v>
      </c>
      <c r="E30" s="25">
        <v>0</v>
      </c>
      <c r="F30" s="26">
        <v>139.19999999999999</v>
      </c>
      <c r="G30" s="27">
        <v>0</v>
      </c>
      <c r="H30" s="28">
        <v>139.19999999999999</v>
      </c>
      <c r="I30" s="29"/>
      <c r="J30" s="28"/>
      <c r="K30" s="533">
        <f t="shared" si="15"/>
        <v>0</v>
      </c>
      <c r="L30" s="31">
        <v>0</v>
      </c>
    </row>
    <row r="31" spans="1:12" ht="33.75" x14ac:dyDescent="0.2">
      <c r="A31" s="572"/>
      <c r="B31" s="22"/>
      <c r="C31" s="23" t="s">
        <v>66</v>
      </c>
      <c r="D31" s="24" t="s">
        <v>67</v>
      </c>
      <c r="E31" s="25" t="s">
        <v>68</v>
      </c>
      <c r="F31" s="26">
        <v>498809.31</v>
      </c>
      <c r="G31" s="27">
        <f t="shared" si="16"/>
        <v>1</v>
      </c>
      <c r="H31" s="28">
        <v>498809.31</v>
      </c>
      <c r="I31" s="29"/>
      <c r="J31" s="28"/>
      <c r="K31" s="533">
        <f t="shared" si="15"/>
        <v>0</v>
      </c>
      <c r="L31" s="31">
        <f t="shared" si="3"/>
        <v>0</v>
      </c>
    </row>
    <row r="32" spans="1:12" ht="56.25" x14ac:dyDescent="0.2">
      <c r="A32" s="572"/>
      <c r="B32" s="22"/>
      <c r="C32" s="23" t="s">
        <v>23</v>
      </c>
      <c r="D32" s="24" t="s">
        <v>24</v>
      </c>
      <c r="E32" s="25" t="s">
        <v>69</v>
      </c>
      <c r="F32" s="26">
        <v>251331.85</v>
      </c>
      <c r="G32" s="27">
        <f t="shared" si="16"/>
        <v>0.75136576980568015</v>
      </c>
      <c r="H32" s="28">
        <v>337650.64</v>
      </c>
      <c r="I32" s="29">
        <f>18000+270200+10000</f>
        <v>298200</v>
      </c>
      <c r="J32" s="518">
        <v>36300</v>
      </c>
      <c r="K32" s="533">
        <f t="shared" si="15"/>
        <v>334500</v>
      </c>
      <c r="L32" s="31">
        <f t="shared" si="3"/>
        <v>1</v>
      </c>
    </row>
    <row r="33" spans="1:12" ht="33.75" x14ac:dyDescent="0.2">
      <c r="A33" s="572"/>
      <c r="B33" s="22"/>
      <c r="C33" s="23" t="s">
        <v>70</v>
      </c>
      <c r="D33" s="24" t="s">
        <v>71</v>
      </c>
      <c r="E33" s="25" t="s">
        <v>72</v>
      </c>
      <c r="F33" s="26">
        <v>7593.5</v>
      </c>
      <c r="G33" s="27">
        <f t="shared" si="16"/>
        <v>1.6874444444444445</v>
      </c>
      <c r="H33" s="28">
        <v>8304.83</v>
      </c>
      <c r="I33" s="29">
        <v>6000</v>
      </c>
      <c r="J33" s="28"/>
      <c r="K33" s="533">
        <f t="shared" si="15"/>
        <v>6000</v>
      </c>
      <c r="L33" s="31">
        <f t="shared" si="3"/>
        <v>1.3333333333333333</v>
      </c>
    </row>
    <row r="34" spans="1:12" ht="33.75" x14ac:dyDescent="0.2">
      <c r="A34" s="572"/>
      <c r="B34" s="22"/>
      <c r="C34" s="23" t="s">
        <v>73</v>
      </c>
      <c r="D34" s="24" t="s">
        <v>74</v>
      </c>
      <c r="E34" s="25" t="s">
        <v>75</v>
      </c>
      <c r="F34" s="26">
        <v>663506.62</v>
      </c>
      <c r="G34" s="27">
        <f t="shared" si="16"/>
        <v>0.66350662000000005</v>
      </c>
      <c r="H34" s="28">
        <v>1000000</v>
      </c>
      <c r="I34" s="29">
        <v>1000000</v>
      </c>
      <c r="J34" s="28"/>
      <c r="K34" s="533">
        <f t="shared" si="15"/>
        <v>1000000</v>
      </c>
      <c r="L34" s="31">
        <f t="shared" si="3"/>
        <v>1</v>
      </c>
    </row>
    <row r="35" spans="1:12" x14ac:dyDescent="0.2">
      <c r="A35" s="572"/>
      <c r="B35" s="22"/>
      <c r="C35" s="35" t="s">
        <v>76</v>
      </c>
      <c r="D35" s="24" t="s">
        <v>77</v>
      </c>
      <c r="E35" s="25">
        <v>0</v>
      </c>
      <c r="F35" s="26">
        <v>117.86</v>
      </c>
      <c r="G35" s="27">
        <v>0</v>
      </c>
      <c r="H35" s="28">
        <v>117.86</v>
      </c>
      <c r="I35" s="29"/>
      <c r="J35" s="28"/>
      <c r="K35" s="533">
        <f t="shared" si="15"/>
        <v>0</v>
      </c>
      <c r="L35" s="31">
        <v>0</v>
      </c>
    </row>
    <row r="36" spans="1:12" ht="22.5" x14ac:dyDescent="0.2">
      <c r="A36" s="572"/>
      <c r="B36" s="22"/>
      <c r="C36" s="23" t="s">
        <v>49</v>
      </c>
      <c r="D36" s="24" t="s">
        <v>50</v>
      </c>
      <c r="E36" s="25" t="s">
        <v>78</v>
      </c>
      <c r="F36" s="26">
        <v>678.06</v>
      </c>
      <c r="G36" s="27">
        <f t="shared" si="16"/>
        <v>0.13561199999999998</v>
      </c>
      <c r="H36" s="28">
        <v>678.06</v>
      </c>
      <c r="I36" s="29"/>
      <c r="J36" s="28">
        <v>700</v>
      </c>
      <c r="K36" s="533">
        <f t="shared" si="15"/>
        <v>700</v>
      </c>
      <c r="L36" s="31">
        <f t="shared" si="3"/>
        <v>0.14000000000000001</v>
      </c>
    </row>
    <row r="37" spans="1:12" x14ac:dyDescent="0.2">
      <c r="A37" s="572"/>
      <c r="B37" s="22"/>
      <c r="C37" s="23" t="s">
        <v>26</v>
      </c>
      <c r="D37" s="24" t="s">
        <v>27</v>
      </c>
      <c r="E37" s="25" t="s">
        <v>79</v>
      </c>
      <c r="F37" s="26">
        <v>754.6</v>
      </c>
      <c r="G37" s="27">
        <f t="shared" si="16"/>
        <v>0.18865000000000001</v>
      </c>
      <c r="H37" s="28">
        <v>754.6</v>
      </c>
      <c r="I37" s="29"/>
      <c r="J37" s="28">
        <v>800</v>
      </c>
      <c r="K37" s="533">
        <f t="shared" si="15"/>
        <v>800</v>
      </c>
      <c r="L37" s="31">
        <f t="shared" si="3"/>
        <v>0.2</v>
      </c>
    </row>
    <row r="38" spans="1:12" x14ac:dyDescent="0.2">
      <c r="A38" s="574" t="s">
        <v>80</v>
      </c>
      <c r="B38" s="39"/>
      <c r="C38" s="39"/>
      <c r="D38" s="40" t="s">
        <v>81</v>
      </c>
      <c r="E38" s="41">
        <f>E39+E42</f>
        <v>139330</v>
      </c>
      <c r="F38" s="41">
        <f t="shared" ref="F38:K38" si="17">F39+F42</f>
        <v>104838.9</v>
      </c>
      <c r="G38" s="42">
        <f t="shared" si="16"/>
        <v>0.75245029785401563</v>
      </c>
      <c r="H38" s="41">
        <f t="shared" si="17"/>
        <v>139514.5</v>
      </c>
      <c r="I38" s="43">
        <f t="shared" si="17"/>
        <v>2100</v>
      </c>
      <c r="J38" s="41">
        <f t="shared" si="17"/>
        <v>142825</v>
      </c>
      <c r="K38" s="206">
        <f t="shared" si="17"/>
        <v>144925</v>
      </c>
      <c r="L38" s="37">
        <f t="shared" si="3"/>
        <v>1.0401564630732794</v>
      </c>
    </row>
    <row r="39" spans="1:12" ht="15" x14ac:dyDescent="0.2">
      <c r="A39" s="571"/>
      <c r="B39" s="15" t="s">
        <v>82</v>
      </c>
      <c r="C39" s="16"/>
      <c r="D39" s="17" t="s">
        <v>83</v>
      </c>
      <c r="E39" s="18">
        <f>E40+E41</f>
        <v>137230</v>
      </c>
      <c r="F39" s="18">
        <f t="shared" ref="F39:K39" si="18">F40+F41</f>
        <v>102970.5</v>
      </c>
      <c r="G39" s="19">
        <f t="shared" si="16"/>
        <v>0.75034977774539091</v>
      </c>
      <c r="H39" s="18">
        <f t="shared" si="18"/>
        <v>137276.5</v>
      </c>
      <c r="I39" s="20">
        <f t="shared" si="18"/>
        <v>0</v>
      </c>
      <c r="J39" s="18">
        <f t="shared" si="18"/>
        <v>142825</v>
      </c>
      <c r="K39" s="209">
        <f t="shared" si="18"/>
        <v>142825</v>
      </c>
      <c r="L39" s="34">
        <f t="shared" si="3"/>
        <v>1.0407709684471325</v>
      </c>
    </row>
    <row r="40" spans="1:12" ht="56.25" x14ac:dyDescent="0.2">
      <c r="A40" s="572"/>
      <c r="B40" s="22"/>
      <c r="C40" s="23" t="s">
        <v>28</v>
      </c>
      <c r="D40" s="24" t="s">
        <v>29</v>
      </c>
      <c r="E40" s="44" t="s">
        <v>84</v>
      </c>
      <c r="F40" s="45">
        <v>102924</v>
      </c>
      <c r="G40" s="46">
        <f t="shared" si="16"/>
        <v>0.75001093055454349</v>
      </c>
      <c r="H40" s="47">
        <v>137230</v>
      </c>
      <c r="I40" s="48"/>
      <c r="J40" s="47">
        <f>137230+5595</f>
        <v>142825</v>
      </c>
      <c r="K40" s="534">
        <f>I40+J40</f>
        <v>142825</v>
      </c>
      <c r="L40" s="31">
        <f t="shared" si="3"/>
        <v>1.0407709684471325</v>
      </c>
    </row>
    <row r="41" spans="1:12" ht="33.75" x14ac:dyDescent="0.2">
      <c r="A41" s="572"/>
      <c r="B41" s="22"/>
      <c r="C41" s="23" t="s">
        <v>85</v>
      </c>
      <c r="D41" s="49" t="s">
        <v>86</v>
      </c>
      <c r="E41" s="50">
        <v>0</v>
      </c>
      <c r="F41" s="26">
        <v>46.5</v>
      </c>
      <c r="G41" s="27">
        <v>0</v>
      </c>
      <c r="H41" s="28">
        <v>46.5</v>
      </c>
      <c r="I41" s="29"/>
      <c r="J41" s="28"/>
      <c r="K41" s="533">
        <f>I41+J41</f>
        <v>0</v>
      </c>
      <c r="L41" s="31">
        <v>0</v>
      </c>
    </row>
    <row r="42" spans="1:12" ht="15" x14ac:dyDescent="0.2">
      <c r="A42" s="571"/>
      <c r="B42" s="15" t="s">
        <v>87</v>
      </c>
      <c r="C42" s="16"/>
      <c r="D42" s="17" t="s">
        <v>88</v>
      </c>
      <c r="E42" s="54">
        <f>E43+E45+E44</f>
        <v>2100</v>
      </c>
      <c r="F42" s="54">
        <f t="shared" ref="F42:K42" si="19">F43+F45+F44</f>
        <v>1868.4</v>
      </c>
      <c r="G42" s="55">
        <f t="shared" si="16"/>
        <v>0.88971428571428579</v>
      </c>
      <c r="H42" s="54">
        <f>H43+H45+H44</f>
        <v>2238</v>
      </c>
      <c r="I42" s="56">
        <f t="shared" si="19"/>
        <v>2100</v>
      </c>
      <c r="J42" s="54">
        <f t="shared" si="19"/>
        <v>0</v>
      </c>
      <c r="K42" s="238">
        <f t="shared" si="19"/>
        <v>2100</v>
      </c>
      <c r="L42" s="34">
        <f t="shared" si="3"/>
        <v>1</v>
      </c>
    </row>
    <row r="43" spans="1:12" ht="22.5" x14ac:dyDescent="0.2">
      <c r="A43" s="572"/>
      <c r="B43" s="22"/>
      <c r="C43" s="23" t="s">
        <v>89</v>
      </c>
      <c r="D43" s="24" t="s">
        <v>90</v>
      </c>
      <c r="E43" s="25" t="s">
        <v>91</v>
      </c>
      <c r="F43" s="26">
        <v>1300</v>
      </c>
      <c r="G43" s="27">
        <f t="shared" si="16"/>
        <v>0.8666666666666667</v>
      </c>
      <c r="H43" s="28">
        <v>1500</v>
      </c>
      <c r="I43" s="29">
        <v>1500</v>
      </c>
      <c r="J43" s="28"/>
      <c r="K43" s="533">
        <f>I43+J43</f>
        <v>1500</v>
      </c>
      <c r="L43" s="31">
        <f t="shared" si="3"/>
        <v>1</v>
      </c>
    </row>
    <row r="44" spans="1:12" x14ac:dyDescent="0.2">
      <c r="A44" s="572"/>
      <c r="B44" s="22"/>
      <c r="C44" s="35" t="s">
        <v>40</v>
      </c>
      <c r="D44" s="49" t="s">
        <v>41</v>
      </c>
      <c r="E44" s="25">
        <v>0</v>
      </c>
      <c r="F44" s="26">
        <v>58</v>
      </c>
      <c r="G44" s="27">
        <v>0</v>
      </c>
      <c r="H44" s="28">
        <v>58</v>
      </c>
      <c r="I44" s="29"/>
      <c r="J44" s="28"/>
      <c r="K44" s="533">
        <f t="shared" ref="K44:K45" si="20">I44+J44</f>
        <v>0</v>
      </c>
      <c r="L44" s="31">
        <v>0</v>
      </c>
    </row>
    <row r="45" spans="1:12" x14ac:dyDescent="0.2">
      <c r="A45" s="572"/>
      <c r="B45" s="22"/>
      <c r="C45" s="23" t="s">
        <v>92</v>
      </c>
      <c r="D45" s="24" t="s">
        <v>93</v>
      </c>
      <c r="E45" s="25" t="s">
        <v>94</v>
      </c>
      <c r="F45" s="26">
        <v>510.4</v>
      </c>
      <c r="G45" s="27">
        <f t="shared" si="16"/>
        <v>0.85066666666666668</v>
      </c>
      <c r="H45" s="28">
        <v>680</v>
      </c>
      <c r="I45" s="29">
        <v>600</v>
      </c>
      <c r="J45" s="28"/>
      <c r="K45" s="533">
        <f t="shared" si="20"/>
        <v>600</v>
      </c>
      <c r="L45" s="31">
        <f t="shared" si="3"/>
        <v>1</v>
      </c>
    </row>
    <row r="46" spans="1:12" ht="33.75" x14ac:dyDescent="0.2">
      <c r="A46" s="574" t="s">
        <v>95</v>
      </c>
      <c r="B46" s="39"/>
      <c r="C46" s="39"/>
      <c r="D46" s="40" t="s">
        <v>96</v>
      </c>
      <c r="E46" s="41" t="str">
        <f>E47</f>
        <v>15 857,00</v>
      </c>
      <c r="F46" s="41">
        <f t="shared" ref="F46:K47" si="21">F47</f>
        <v>14986</v>
      </c>
      <c r="G46" s="42">
        <f t="shared" si="16"/>
        <v>0.94507157722141644</v>
      </c>
      <c r="H46" s="41">
        <f t="shared" si="21"/>
        <v>15857</v>
      </c>
      <c r="I46" s="43">
        <f t="shared" si="21"/>
        <v>0</v>
      </c>
      <c r="J46" s="41">
        <f t="shared" si="21"/>
        <v>3491</v>
      </c>
      <c r="K46" s="206">
        <f t="shared" si="21"/>
        <v>3491</v>
      </c>
      <c r="L46" s="37">
        <f t="shared" si="3"/>
        <v>0.22015513653276156</v>
      </c>
    </row>
    <row r="47" spans="1:12" ht="22.5" x14ac:dyDescent="0.2">
      <c r="A47" s="571"/>
      <c r="B47" s="15" t="s">
        <v>97</v>
      </c>
      <c r="C47" s="16"/>
      <c r="D47" s="17" t="s">
        <v>98</v>
      </c>
      <c r="E47" s="18" t="str">
        <f>E48</f>
        <v>15 857,00</v>
      </c>
      <c r="F47" s="18">
        <f t="shared" si="21"/>
        <v>14986</v>
      </c>
      <c r="G47" s="19">
        <f t="shared" si="16"/>
        <v>0.94507157722141644</v>
      </c>
      <c r="H47" s="18">
        <f t="shared" si="21"/>
        <v>15857</v>
      </c>
      <c r="I47" s="20">
        <f t="shared" si="21"/>
        <v>0</v>
      </c>
      <c r="J47" s="18">
        <f t="shared" si="21"/>
        <v>3491</v>
      </c>
      <c r="K47" s="209">
        <f t="shared" si="21"/>
        <v>3491</v>
      </c>
      <c r="L47" s="34">
        <f t="shared" si="3"/>
        <v>0.22015513653276156</v>
      </c>
    </row>
    <row r="48" spans="1:12" ht="56.25" x14ac:dyDescent="0.2">
      <c r="A48" s="572"/>
      <c r="B48" s="22"/>
      <c r="C48" s="23" t="s">
        <v>28</v>
      </c>
      <c r="D48" s="24" t="s">
        <v>29</v>
      </c>
      <c r="E48" s="25" t="s">
        <v>99</v>
      </c>
      <c r="F48" s="26">
        <v>14986</v>
      </c>
      <c r="G48" s="27">
        <f t="shared" si="16"/>
        <v>0.94507157722141644</v>
      </c>
      <c r="H48" s="28">
        <v>15857</v>
      </c>
      <c r="I48" s="29"/>
      <c r="J48" s="28">
        <v>3491</v>
      </c>
      <c r="K48" s="533">
        <f>I48+J48</f>
        <v>3491</v>
      </c>
      <c r="L48" s="31">
        <f t="shared" si="3"/>
        <v>0.22015513653276156</v>
      </c>
    </row>
    <row r="49" spans="1:12" ht="22.5" x14ac:dyDescent="0.2">
      <c r="A49" s="574" t="s">
        <v>100</v>
      </c>
      <c r="B49" s="39"/>
      <c r="C49" s="39"/>
      <c r="D49" s="40" t="s">
        <v>101</v>
      </c>
      <c r="E49" s="41">
        <f>E50</f>
        <v>78100</v>
      </c>
      <c r="F49" s="41">
        <f t="shared" ref="F49:K49" si="22">F50</f>
        <v>78061.63</v>
      </c>
      <c r="G49" s="42">
        <f t="shared" si="16"/>
        <v>0.99950870678617165</v>
      </c>
      <c r="H49" s="41">
        <f t="shared" si="22"/>
        <v>78100.11</v>
      </c>
      <c r="I49" s="43">
        <f t="shared" si="22"/>
        <v>1000</v>
      </c>
      <c r="J49" s="41">
        <f t="shared" si="22"/>
        <v>0</v>
      </c>
      <c r="K49" s="206">
        <f t="shared" si="22"/>
        <v>1000</v>
      </c>
      <c r="L49" s="37">
        <f t="shared" si="3"/>
        <v>1.2804097311139564E-2</v>
      </c>
    </row>
    <row r="50" spans="1:12" ht="15" x14ac:dyDescent="0.2">
      <c r="A50" s="571"/>
      <c r="B50" s="15" t="s">
        <v>102</v>
      </c>
      <c r="C50" s="16"/>
      <c r="D50" s="17" t="s">
        <v>103</v>
      </c>
      <c r="E50" s="18">
        <f>E51+E52</f>
        <v>78100</v>
      </c>
      <c r="F50" s="18">
        <f t="shared" ref="F50:K50" si="23">F51+F52</f>
        <v>78061.63</v>
      </c>
      <c r="G50" s="19">
        <f t="shared" si="16"/>
        <v>0.99950870678617165</v>
      </c>
      <c r="H50" s="18">
        <f t="shared" si="23"/>
        <v>78100.11</v>
      </c>
      <c r="I50" s="20">
        <f t="shared" si="23"/>
        <v>1000</v>
      </c>
      <c r="J50" s="18">
        <f t="shared" si="23"/>
        <v>0</v>
      </c>
      <c r="K50" s="209">
        <f t="shared" si="23"/>
        <v>1000</v>
      </c>
      <c r="L50" s="34">
        <f t="shared" si="3"/>
        <v>1.2804097311139564E-2</v>
      </c>
    </row>
    <row r="51" spans="1:12" x14ac:dyDescent="0.2">
      <c r="A51" s="572"/>
      <c r="B51" s="22"/>
      <c r="C51" s="23" t="s">
        <v>76</v>
      </c>
      <c r="D51" s="24" t="s">
        <v>77</v>
      </c>
      <c r="E51" s="25" t="s">
        <v>104</v>
      </c>
      <c r="F51" s="26">
        <v>961.52</v>
      </c>
      <c r="G51" s="27">
        <f t="shared" si="16"/>
        <v>0.96151999999999993</v>
      </c>
      <c r="H51" s="28">
        <v>1000</v>
      </c>
      <c r="I51" s="29">
        <v>1000</v>
      </c>
      <c r="J51" s="28"/>
      <c r="K51" s="533">
        <f>I51+J51</f>
        <v>1000</v>
      </c>
      <c r="L51" s="31">
        <f t="shared" si="3"/>
        <v>1</v>
      </c>
    </row>
    <row r="52" spans="1:12" ht="56.25" x14ac:dyDescent="0.2">
      <c r="A52" s="572"/>
      <c r="B52" s="22"/>
      <c r="C52" s="23" t="s">
        <v>55</v>
      </c>
      <c r="D52" s="24" t="s">
        <v>56</v>
      </c>
      <c r="E52" s="25" t="s">
        <v>105</v>
      </c>
      <c r="F52" s="26">
        <v>77100.11</v>
      </c>
      <c r="G52" s="27">
        <f t="shared" si="16"/>
        <v>1.0000014267185473</v>
      </c>
      <c r="H52" s="28">
        <v>77100.11</v>
      </c>
      <c r="I52" s="29"/>
      <c r="J52" s="28"/>
      <c r="K52" s="533">
        <f>I52+J52</f>
        <v>0</v>
      </c>
      <c r="L52" s="31">
        <f t="shared" si="3"/>
        <v>0</v>
      </c>
    </row>
    <row r="53" spans="1:12" ht="45" x14ac:dyDescent="0.2">
      <c r="A53" s="574" t="s">
        <v>106</v>
      </c>
      <c r="B53" s="39"/>
      <c r="C53" s="39"/>
      <c r="D53" s="40" t="s">
        <v>107</v>
      </c>
      <c r="E53" s="41">
        <f>E54+E57+E66+E76+E82</f>
        <v>21215948.809999999</v>
      </c>
      <c r="F53" s="41">
        <f t="shared" ref="F53:K53" si="24">F54+F57+F66+F76+F82</f>
        <v>15491163.079999998</v>
      </c>
      <c r="G53" s="42">
        <f t="shared" si="16"/>
        <v>0.7301659340683524</v>
      </c>
      <c r="H53" s="41">
        <f t="shared" si="24"/>
        <v>20962834.09</v>
      </c>
      <c r="I53" s="43">
        <f t="shared" si="24"/>
        <v>22185850.670000002</v>
      </c>
      <c r="J53" s="41">
        <f t="shared" si="24"/>
        <v>480000</v>
      </c>
      <c r="K53" s="206">
        <f t="shared" si="24"/>
        <v>22665850.670000002</v>
      </c>
      <c r="L53" s="37">
        <f t="shared" si="3"/>
        <v>1.0683401846876912</v>
      </c>
    </row>
    <row r="54" spans="1:12" ht="22.5" x14ac:dyDescent="0.2">
      <c r="A54" s="571"/>
      <c r="B54" s="15" t="s">
        <v>108</v>
      </c>
      <c r="C54" s="16"/>
      <c r="D54" s="17" t="s">
        <v>109</v>
      </c>
      <c r="E54" s="18">
        <f>E55+E56</f>
        <v>30000</v>
      </c>
      <c r="F54" s="18">
        <f t="shared" ref="F54:K54" si="25">F55+F56</f>
        <v>42117.35</v>
      </c>
      <c r="G54" s="19">
        <f t="shared" si="16"/>
        <v>1.4039116666666667</v>
      </c>
      <c r="H54" s="18">
        <f t="shared" si="25"/>
        <v>59834.35</v>
      </c>
      <c r="I54" s="20">
        <f t="shared" si="25"/>
        <v>30000</v>
      </c>
      <c r="J54" s="18">
        <f t="shared" si="25"/>
        <v>30000</v>
      </c>
      <c r="K54" s="209">
        <f t="shared" si="25"/>
        <v>60000</v>
      </c>
      <c r="L54" s="34">
        <f t="shared" si="3"/>
        <v>2</v>
      </c>
    </row>
    <row r="55" spans="1:12" ht="22.5" x14ac:dyDescent="0.2">
      <c r="A55" s="572"/>
      <c r="B55" s="22"/>
      <c r="C55" s="23" t="s">
        <v>110</v>
      </c>
      <c r="D55" s="24" t="s">
        <v>111</v>
      </c>
      <c r="E55" s="44" t="s">
        <v>112</v>
      </c>
      <c r="F55" s="45">
        <v>41955.21</v>
      </c>
      <c r="G55" s="46">
        <f t="shared" si="16"/>
        <v>1.3985069999999999</v>
      </c>
      <c r="H55" s="47">
        <v>59672.21</v>
      </c>
      <c r="I55" s="48">
        <v>30000</v>
      </c>
      <c r="J55" s="47">
        <f>20000+10000</f>
        <v>30000</v>
      </c>
      <c r="K55" s="534">
        <f>I55+J55</f>
        <v>60000</v>
      </c>
      <c r="L55" s="31">
        <f t="shared" si="3"/>
        <v>2</v>
      </c>
    </row>
    <row r="56" spans="1:12" ht="22.5" x14ac:dyDescent="0.2">
      <c r="A56" s="572"/>
      <c r="B56" s="22"/>
      <c r="C56" s="35" t="s">
        <v>49</v>
      </c>
      <c r="D56" s="49" t="s">
        <v>50</v>
      </c>
      <c r="E56" s="50">
        <v>0</v>
      </c>
      <c r="F56" s="26">
        <v>162.13999999999999</v>
      </c>
      <c r="G56" s="27">
        <v>0</v>
      </c>
      <c r="H56" s="28">
        <v>162.13999999999999</v>
      </c>
      <c r="I56" s="29">
        <v>0</v>
      </c>
      <c r="J56" s="28"/>
      <c r="K56" s="533">
        <f>I56+J56</f>
        <v>0</v>
      </c>
      <c r="L56" s="31">
        <v>0</v>
      </c>
    </row>
    <row r="57" spans="1:12" ht="45" x14ac:dyDescent="0.2">
      <c r="A57" s="571"/>
      <c r="B57" s="15" t="s">
        <v>113</v>
      </c>
      <c r="C57" s="16"/>
      <c r="D57" s="17" t="s">
        <v>114</v>
      </c>
      <c r="E57" s="54">
        <f>E58+E59+E60+E61+E62+E63+E65+E64</f>
        <v>6437344.8099999996</v>
      </c>
      <c r="F57" s="54">
        <f t="shared" ref="F57:K57" si="26">F58+F59+F60+F61+F62+F63+F65+F64</f>
        <v>4725391.67</v>
      </c>
      <c r="G57" s="55">
        <f t="shared" si="16"/>
        <v>0.73405912056464784</v>
      </c>
      <c r="H57" s="54">
        <f t="shared" si="26"/>
        <v>6558543.0800000001</v>
      </c>
      <c r="I57" s="56">
        <f t="shared" si="26"/>
        <v>6719310.9500000002</v>
      </c>
      <c r="J57" s="54">
        <f t="shared" si="26"/>
        <v>24000</v>
      </c>
      <c r="K57" s="238">
        <f t="shared" si="26"/>
        <v>6743310.9500000002</v>
      </c>
      <c r="L57" s="34">
        <f t="shared" si="3"/>
        <v>1.0475298665879607</v>
      </c>
    </row>
    <row r="58" spans="1:12" x14ac:dyDescent="0.2">
      <c r="A58" s="572"/>
      <c r="B58" s="22"/>
      <c r="C58" s="23" t="s">
        <v>115</v>
      </c>
      <c r="D58" s="24" t="s">
        <v>116</v>
      </c>
      <c r="E58" s="25">
        <v>5540255.8099999996</v>
      </c>
      <c r="F58" s="26">
        <v>4222995.96</v>
      </c>
      <c r="G58" s="27">
        <f t="shared" si="16"/>
        <v>0.76223844256029039</v>
      </c>
      <c r="H58" s="28">
        <v>5720205.04</v>
      </c>
      <c r="I58" s="29">
        <v>5820836.9500000002</v>
      </c>
      <c r="J58" s="28"/>
      <c r="K58" s="533">
        <f>I58+J58</f>
        <v>5820836.9500000002</v>
      </c>
      <c r="L58" s="31">
        <f t="shared" si="3"/>
        <v>1.0506440766676441</v>
      </c>
    </row>
    <row r="59" spans="1:12" x14ac:dyDescent="0.2">
      <c r="A59" s="572"/>
      <c r="B59" s="22"/>
      <c r="C59" s="23" t="s">
        <v>117</v>
      </c>
      <c r="D59" s="24" t="s">
        <v>118</v>
      </c>
      <c r="E59" s="25" t="s">
        <v>119</v>
      </c>
      <c r="F59" s="26">
        <v>69511.600000000006</v>
      </c>
      <c r="G59" s="27">
        <f t="shared" si="16"/>
        <v>0.71854041761422371</v>
      </c>
      <c r="H59" s="28">
        <v>84540.6</v>
      </c>
      <c r="I59" s="29">
        <v>110962</v>
      </c>
      <c r="J59" s="28"/>
      <c r="K59" s="533">
        <f t="shared" ref="K59:K65" si="27">I59+J59</f>
        <v>110962</v>
      </c>
      <c r="L59" s="31">
        <f t="shared" si="3"/>
        <v>1.1470126111225967</v>
      </c>
    </row>
    <row r="60" spans="1:12" x14ac:dyDescent="0.2">
      <c r="A60" s="572"/>
      <c r="B60" s="22"/>
      <c r="C60" s="23" t="s">
        <v>120</v>
      </c>
      <c r="D60" s="24" t="s">
        <v>121</v>
      </c>
      <c r="E60" s="25" t="s">
        <v>122</v>
      </c>
      <c r="F60" s="26">
        <v>121356</v>
      </c>
      <c r="G60" s="27">
        <f t="shared" si="16"/>
        <v>0.73840424949345596</v>
      </c>
      <c r="H60" s="28">
        <v>161474</v>
      </c>
      <c r="I60" s="29">
        <v>160000</v>
      </c>
      <c r="J60" s="28"/>
      <c r="K60" s="533">
        <f t="shared" si="27"/>
        <v>160000</v>
      </c>
      <c r="L60" s="31">
        <f t="shared" si="3"/>
        <v>0.97353801970197562</v>
      </c>
    </row>
    <row r="61" spans="1:12" x14ac:dyDescent="0.2">
      <c r="A61" s="572"/>
      <c r="B61" s="22"/>
      <c r="C61" s="23" t="s">
        <v>123</v>
      </c>
      <c r="D61" s="24" t="s">
        <v>124</v>
      </c>
      <c r="E61" s="25" t="s">
        <v>125</v>
      </c>
      <c r="F61" s="26">
        <v>32563.1</v>
      </c>
      <c r="G61" s="27">
        <f t="shared" si="16"/>
        <v>0.511998427672956</v>
      </c>
      <c r="H61" s="28">
        <v>33600</v>
      </c>
      <c r="I61" s="29">
        <v>79512</v>
      </c>
      <c r="J61" s="28"/>
      <c r="K61" s="533">
        <f t="shared" si="27"/>
        <v>79512</v>
      </c>
      <c r="L61" s="31">
        <f t="shared" si="3"/>
        <v>1.250188679245283</v>
      </c>
    </row>
    <row r="62" spans="1:12" x14ac:dyDescent="0.2">
      <c r="A62" s="572"/>
      <c r="B62" s="22"/>
      <c r="C62" s="23" t="s">
        <v>126</v>
      </c>
      <c r="D62" s="24" t="s">
        <v>127</v>
      </c>
      <c r="E62" s="25" t="s">
        <v>128</v>
      </c>
      <c r="F62" s="26">
        <v>10946.57</v>
      </c>
      <c r="G62" s="27">
        <f t="shared" si="16"/>
        <v>0.72977133333333333</v>
      </c>
      <c r="H62" s="28">
        <v>10983</v>
      </c>
      <c r="I62" s="29">
        <v>10000</v>
      </c>
      <c r="J62" s="28">
        <v>1000</v>
      </c>
      <c r="K62" s="533">
        <f t="shared" si="27"/>
        <v>11000</v>
      </c>
      <c r="L62" s="31">
        <f t="shared" si="3"/>
        <v>0.73333333333333328</v>
      </c>
    </row>
    <row r="63" spans="1:12" x14ac:dyDescent="0.2">
      <c r="A63" s="572"/>
      <c r="B63" s="22"/>
      <c r="C63" s="23" t="s">
        <v>40</v>
      </c>
      <c r="D63" s="24" t="s">
        <v>41</v>
      </c>
      <c r="E63" s="25" t="s">
        <v>129</v>
      </c>
      <c r="F63" s="26">
        <v>313.2</v>
      </c>
      <c r="G63" s="27">
        <f t="shared" si="16"/>
        <v>0.78299999999999992</v>
      </c>
      <c r="H63" s="28">
        <v>313.2</v>
      </c>
      <c r="I63" s="29"/>
      <c r="J63" s="28"/>
      <c r="K63" s="533">
        <f t="shared" si="27"/>
        <v>0</v>
      </c>
      <c r="L63" s="31">
        <f t="shared" si="3"/>
        <v>0</v>
      </c>
    </row>
    <row r="64" spans="1:12" ht="22.5" x14ac:dyDescent="0.2">
      <c r="A64" s="572"/>
      <c r="B64" s="22"/>
      <c r="C64" s="35" t="s">
        <v>49</v>
      </c>
      <c r="D64" s="49" t="s">
        <v>50</v>
      </c>
      <c r="E64" s="25">
        <v>0</v>
      </c>
      <c r="F64" s="26">
        <v>2066.2399999999998</v>
      </c>
      <c r="G64" s="27">
        <v>0</v>
      </c>
      <c r="H64" s="28">
        <v>2066.2399999999998</v>
      </c>
      <c r="I64" s="29"/>
      <c r="J64" s="28">
        <v>2000</v>
      </c>
      <c r="K64" s="533">
        <f t="shared" si="27"/>
        <v>2000</v>
      </c>
      <c r="L64" s="31">
        <v>0</v>
      </c>
    </row>
    <row r="65" spans="1:12" ht="22.5" x14ac:dyDescent="0.2">
      <c r="A65" s="572"/>
      <c r="B65" s="22"/>
      <c r="C65" s="23" t="s">
        <v>130</v>
      </c>
      <c r="D65" s="24" t="s">
        <v>131</v>
      </c>
      <c r="E65" s="25" t="s">
        <v>132</v>
      </c>
      <c r="F65" s="26">
        <v>265639</v>
      </c>
      <c r="G65" s="27">
        <f t="shared" si="16"/>
        <v>0.47691023339317773</v>
      </c>
      <c r="H65" s="28">
        <v>545361</v>
      </c>
      <c r="I65" s="29">
        <v>538000</v>
      </c>
      <c r="J65" s="28">
        <v>21000</v>
      </c>
      <c r="K65" s="533">
        <f t="shared" si="27"/>
        <v>559000</v>
      </c>
      <c r="L65" s="31">
        <f t="shared" si="3"/>
        <v>1.0035906642728905</v>
      </c>
    </row>
    <row r="66" spans="1:12" ht="45" x14ac:dyDescent="0.2">
      <c r="A66" s="571"/>
      <c r="B66" s="15" t="s">
        <v>133</v>
      </c>
      <c r="C66" s="16"/>
      <c r="D66" s="17" t="s">
        <v>134</v>
      </c>
      <c r="E66" s="18">
        <f>E67+E68+E69+E70+E71+E72+E73+E74+E75</f>
        <v>4486246</v>
      </c>
      <c r="F66" s="18">
        <f t="shared" ref="F66:K66" si="28">F67+F68+F69+F70+F71+F72+F73+F74+F75</f>
        <v>3391998.3400000003</v>
      </c>
      <c r="G66" s="19">
        <f>F66/E66</f>
        <v>0.75608835092859383</v>
      </c>
      <c r="H66" s="18">
        <f t="shared" si="28"/>
        <v>4398550.6899999995</v>
      </c>
      <c r="I66" s="20">
        <f t="shared" si="28"/>
        <v>4285101.7200000007</v>
      </c>
      <c r="J66" s="18">
        <f t="shared" si="28"/>
        <v>221000</v>
      </c>
      <c r="K66" s="209">
        <f t="shared" si="28"/>
        <v>4506101.7200000007</v>
      </c>
      <c r="L66" s="34">
        <f t="shared" si="3"/>
        <v>1.0044259097695492</v>
      </c>
    </row>
    <row r="67" spans="1:12" x14ac:dyDescent="0.2">
      <c r="A67" s="572"/>
      <c r="B67" s="22"/>
      <c r="C67" s="23" t="s">
        <v>115</v>
      </c>
      <c r="D67" s="24" t="s">
        <v>116</v>
      </c>
      <c r="E67" s="25">
        <v>2871120</v>
      </c>
      <c r="F67" s="26">
        <v>2115935.86</v>
      </c>
      <c r="G67" s="27">
        <f>F67/E67</f>
        <v>0.7369722825935523</v>
      </c>
      <c r="H67" s="28">
        <v>2854931.9</v>
      </c>
      <c r="I67" s="29">
        <v>2823043.72</v>
      </c>
      <c r="J67" s="28">
        <v>20000</v>
      </c>
      <c r="K67" s="533">
        <f>I67+J67</f>
        <v>2843043.72</v>
      </c>
      <c r="L67" s="31">
        <f t="shared" si="3"/>
        <v>0.99022114018222862</v>
      </c>
    </row>
    <row r="68" spans="1:12" x14ac:dyDescent="0.2">
      <c r="A68" s="572"/>
      <c r="B68" s="22"/>
      <c r="C68" s="23" t="s">
        <v>117</v>
      </c>
      <c r="D68" s="24" t="s">
        <v>118</v>
      </c>
      <c r="E68" s="25" t="s">
        <v>135</v>
      </c>
      <c r="F68" s="26">
        <v>465063.61</v>
      </c>
      <c r="G68" s="27">
        <f t="shared" ref="G68:G75" si="29">F68/E68</f>
        <v>0.69421389909749609</v>
      </c>
      <c r="H68" s="28">
        <v>600913.91</v>
      </c>
      <c r="I68" s="29">
        <v>667834</v>
      </c>
      <c r="J68" s="28"/>
      <c r="K68" s="533">
        <f t="shared" ref="K68:K75" si="30">I68+J68</f>
        <v>667834</v>
      </c>
      <c r="L68" s="31">
        <f t="shared" si="3"/>
        <v>0.9968951238517183</v>
      </c>
    </row>
    <row r="69" spans="1:12" x14ac:dyDescent="0.2">
      <c r="A69" s="572"/>
      <c r="B69" s="22"/>
      <c r="C69" s="23" t="s">
        <v>120</v>
      </c>
      <c r="D69" s="24" t="s">
        <v>121</v>
      </c>
      <c r="E69" s="25" t="s">
        <v>136</v>
      </c>
      <c r="F69" s="26">
        <v>7021.9</v>
      </c>
      <c r="G69" s="27">
        <f t="shared" si="29"/>
        <v>0.8942817116658176</v>
      </c>
      <c r="H69" s="28">
        <v>8652.9</v>
      </c>
      <c r="I69" s="29">
        <v>8000</v>
      </c>
      <c r="J69" s="28"/>
      <c r="K69" s="533">
        <f t="shared" si="30"/>
        <v>8000</v>
      </c>
      <c r="L69" s="31">
        <f t="shared" si="3"/>
        <v>1.0188487009679064</v>
      </c>
    </row>
    <row r="70" spans="1:12" x14ac:dyDescent="0.2">
      <c r="A70" s="572"/>
      <c r="B70" s="22"/>
      <c r="C70" s="23" t="s">
        <v>123</v>
      </c>
      <c r="D70" s="24" t="s">
        <v>124</v>
      </c>
      <c r="E70" s="25" t="s">
        <v>137</v>
      </c>
      <c r="F70" s="26">
        <v>250148.26</v>
      </c>
      <c r="G70" s="27">
        <f t="shared" si="29"/>
        <v>0.75719899503571864</v>
      </c>
      <c r="H70" s="28">
        <v>300148.26</v>
      </c>
      <c r="I70" s="29">
        <v>366224</v>
      </c>
      <c r="J70" s="28"/>
      <c r="K70" s="533">
        <f t="shared" si="30"/>
        <v>366224</v>
      </c>
      <c r="L70" s="31">
        <f t="shared" si="3"/>
        <v>1.1085603583969004</v>
      </c>
    </row>
    <row r="71" spans="1:12" x14ac:dyDescent="0.2">
      <c r="A71" s="572"/>
      <c r="B71" s="22"/>
      <c r="C71" s="23" t="s">
        <v>138</v>
      </c>
      <c r="D71" s="24" t="s">
        <v>139</v>
      </c>
      <c r="E71" s="25" t="s">
        <v>140</v>
      </c>
      <c r="F71" s="26">
        <v>29865.93</v>
      </c>
      <c r="G71" s="27">
        <f t="shared" si="29"/>
        <v>1.1486896153846153</v>
      </c>
      <c r="H71" s="28">
        <v>35157</v>
      </c>
      <c r="I71" s="29">
        <v>20000</v>
      </c>
      <c r="J71" s="28">
        <v>10000</v>
      </c>
      <c r="K71" s="533">
        <f t="shared" si="30"/>
        <v>30000</v>
      </c>
      <c r="L71" s="31">
        <f t="shared" ref="L71:L137" si="31">K71/E71</f>
        <v>1.1538461538461537</v>
      </c>
    </row>
    <row r="72" spans="1:12" x14ac:dyDescent="0.2">
      <c r="A72" s="572"/>
      <c r="B72" s="22"/>
      <c r="C72" s="23" t="s">
        <v>141</v>
      </c>
      <c r="D72" s="24" t="s">
        <v>142</v>
      </c>
      <c r="E72" s="25" t="s">
        <v>143</v>
      </c>
      <c r="F72" s="26">
        <v>35247</v>
      </c>
      <c r="G72" s="27">
        <f t="shared" si="29"/>
        <v>0.35247000000000001</v>
      </c>
      <c r="H72" s="28">
        <v>46996</v>
      </c>
      <c r="I72" s="29"/>
      <c r="J72" s="28">
        <v>50000</v>
      </c>
      <c r="K72" s="533">
        <f t="shared" si="30"/>
        <v>50000</v>
      </c>
      <c r="L72" s="31">
        <f t="shared" si="31"/>
        <v>0.5</v>
      </c>
    </row>
    <row r="73" spans="1:12" x14ac:dyDescent="0.2">
      <c r="A73" s="572"/>
      <c r="B73" s="22"/>
      <c r="C73" s="23" t="s">
        <v>126</v>
      </c>
      <c r="D73" s="24" t="s">
        <v>127</v>
      </c>
      <c r="E73" s="25" t="s">
        <v>144</v>
      </c>
      <c r="F73" s="26">
        <v>453468.68</v>
      </c>
      <c r="G73" s="27">
        <f t="shared" si="29"/>
        <v>1.0306106363636363</v>
      </c>
      <c r="H73" s="28">
        <v>507915</v>
      </c>
      <c r="I73" s="29">
        <v>400000</v>
      </c>
      <c r="J73" s="28">
        <v>100000</v>
      </c>
      <c r="K73" s="533">
        <f t="shared" si="30"/>
        <v>500000</v>
      </c>
      <c r="L73" s="31">
        <f t="shared" si="31"/>
        <v>1.1363636363636365</v>
      </c>
    </row>
    <row r="74" spans="1:12" x14ac:dyDescent="0.2">
      <c r="A74" s="572"/>
      <c r="B74" s="22"/>
      <c r="C74" s="23" t="s">
        <v>40</v>
      </c>
      <c r="D74" s="24" t="s">
        <v>41</v>
      </c>
      <c r="E74" s="25" t="s">
        <v>145</v>
      </c>
      <c r="F74" s="26">
        <v>11370.31</v>
      </c>
      <c r="G74" s="27">
        <f t="shared" si="29"/>
        <v>1.0336645454545454</v>
      </c>
      <c r="H74" s="28">
        <v>12000</v>
      </c>
      <c r="I74" s="29">
        <v>0</v>
      </c>
      <c r="J74" s="28">
        <v>11000</v>
      </c>
      <c r="K74" s="533">
        <f t="shared" si="30"/>
        <v>11000</v>
      </c>
      <c r="L74" s="31">
        <f t="shared" si="31"/>
        <v>1</v>
      </c>
    </row>
    <row r="75" spans="1:12" ht="22.5" x14ac:dyDescent="0.2">
      <c r="A75" s="572"/>
      <c r="B75" s="22"/>
      <c r="C75" s="23" t="s">
        <v>49</v>
      </c>
      <c r="D75" s="24" t="s">
        <v>50</v>
      </c>
      <c r="E75" s="25" t="s">
        <v>112</v>
      </c>
      <c r="F75" s="26">
        <v>23876.79</v>
      </c>
      <c r="G75" s="27">
        <f t="shared" si="29"/>
        <v>0.79589300000000007</v>
      </c>
      <c r="H75" s="28">
        <v>31835.72</v>
      </c>
      <c r="I75" s="29">
        <v>0</v>
      </c>
      <c r="J75" s="28">
        <v>30000</v>
      </c>
      <c r="K75" s="533">
        <f t="shared" si="30"/>
        <v>30000</v>
      </c>
      <c r="L75" s="31">
        <f t="shared" si="31"/>
        <v>1</v>
      </c>
    </row>
    <row r="76" spans="1:12" ht="33.75" x14ac:dyDescent="0.2">
      <c r="A76" s="571"/>
      <c r="B76" s="15" t="s">
        <v>146</v>
      </c>
      <c r="C76" s="16"/>
      <c r="D76" s="17" t="s">
        <v>147</v>
      </c>
      <c r="E76" s="18">
        <f>E77+E78+E79+E80+E81</f>
        <v>337000</v>
      </c>
      <c r="F76" s="18">
        <f t="shared" ref="F76:K76" si="32">F77+F78+F79+F80+F81</f>
        <v>363843.16999999993</v>
      </c>
      <c r="G76" s="19">
        <f>F76/E76</f>
        <v>1.0796533234421364</v>
      </c>
      <c r="H76" s="18">
        <f t="shared" si="32"/>
        <v>367772.56999999995</v>
      </c>
      <c r="I76" s="20">
        <f t="shared" si="32"/>
        <v>350000</v>
      </c>
      <c r="J76" s="18">
        <f t="shared" si="32"/>
        <v>5000</v>
      </c>
      <c r="K76" s="209">
        <f t="shared" si="32"/>
        <v>355000</v>
      </c>
      <c r="L76" s="34">
        <f t="shared" si="31"/>
        <v>1.0534124629080119</v>
      </c>
    </row>
    <row r="77" spans="1:12" x14ac:dyDescent="0.2">
      <c r="A77" s="572"/>
      <c r="B77" s="22"/>
      <c r="C77" s="23" t="s">
        <v>148</v>
      </c>
      <c r="D77" s="24" t="s">
        <v>149</v>
      </c>
      <c r="E77" s="25" t="s">
        <v>150</v>
      </c>
      <c r="F77" s="26">
        <v>43297.4</v>
      </c>
      <c r="G77" s="27">
        <f>F77/E77</f>
        <v>0.92122127659574471</v>
      </c>
      <c r="H77" s="28">
        <v>47000</v>
      </c>
      <c r="I77" s="29">
        <v>50000</v>
      </c>
      <c r="J77" s="28"/>
      <c r="K77" s="533">
        <f>I77+J77</f>
        <v>50000</v>
      </c>
      <c r="L77" s="31">
        <f t="shared" si="31"/>
        <v>1.0638297872340425</v>
      </c>
    </row>
    <row r="78" spans="1:12" ht="22.5" x14ac:dyDescent="0.2">
      <c r="A78" s="572"/>
      <c r="B78" s="22"/>
      <c r="C78" s="23" t="s">
        <v>151</v>
      </c>
      <c r="D78" s="24" t="s">
        <v>152</v>
      </c>
      <c r="E78" s="25" t="s">
        <v>153</v>
      </c>
      <c r="F78" s="26">
        <v>315452.46999999997</v>
      </c>
      <c r="G78" s="27">
        <f t="shared" ref="G78:G99" si="33">F78/E78</f>
        <v>1.1068507719298244</v>
      </c>
      <c r="H78" s="28">
        <v>315452.46999999997</v>
      </c>
      <c r="I78" s="29">
        <v>300000</v>
      </c>
      <c r="J78" s="28"/>
      <c r="K78" s="533">
        <f t="shared" ref="K78:K81" si="34">I78+J78</f>
        <v>300000</v>
      </c>
      <c r="L78" s="31">
        <f t="shared" si="31"/>
        <v>1.0526315789473684</v>
      </c>
    </row>
    <row r="79" spans="1:12" ht="33.75" x14ac:dyDescent="0.2">
      <c r="A79" s="572"/>
      <c r="B79" s="22"/>
      <c r="C79" s="23" t="s">
        <v>46</v>
      </c>
      <c r="D79" s="24" t="s">
        <v>47</v>
      </c>
      <c r="E79" s="44" t="s">
        <v>78</v>
      </c>
      <c r="F79" s="45">
        <v>4557.1000000000004</v>
      </c>
      <c r="G79" s="27">
        <f t="shared" si="33"/>
        <v>0.91142000000000012</v>
      </c>
      <c r="H79" s="47">
        <v>4783.8999999999996</v>
      </c>
      <c r="I79" s="48">
        <v>0</v>
      </c>
      <c r="J79" s="47">
        <v>5000</v>
      </c>
      <c r="K79" s="533">
        <f t="shared" si="34"/>
        <v>5000</v>
      </c>
      <c r="L79" s="31">
        <f t="shared" si="31"/>
        <v>1</v>
      </c>
    </row>
    <row r="80" spans="1:12" x14ac:dyDescent="0.2">
      <c r="A80" s="572"/>
      <c r="B80" s="22"/>
      <c r="C80" s="23" t="s">
        <v>40</v>
      </c>
      <c r="D80" s="49" t="s">
        <v>41</v>
      </c>
      <c r="E80" s="50">
        <v>0</v>
      </c>
      <c r="F80" s="26">
        <v>11.6</v>
      </c>
      <c r="G80" s="27">
        <v>0</v>
      </c>
      <c r="H80" s="28">
        <v>11.6</v>
      </c>
      <c r="I80" s="29">
        <v>0</v>
      </c>
      <c r="J80" s="28"/>
      <c r="K80" s="533">
        <f t="shared" si="34"/>
        <v>0</v>
      </c>
      <c r="L80" s="31">
        <v>0</v>
      </c>
    </row>
    <row r="81" spans="1:12" ht="22.5" x14ac:dyDescent="0.2">
      <c r="A81" s="572"/>
      <c r="B81" s="22"/>
      <c r="C81" s="23" t="s">
        <v>49</v>
      </c>
      <c r="D81" s="49" t="s">
        <v>50</v>
      </c>
      <c r="E81" s="50">
        <v>0</v>
      </c>
      <c r="F81" s="26">
        <v>524.6</v>
      </c>
      <c r="G81" s="27">
        <v>0</v>
      </c>
      <c r="H81" s="28">
        <v>524.6</v>
      </c>
      <c r="I81" s="29">
        <v>0</v>
      </c>
      <c r="J81" s="28"/>
      <c r="K81" s="533">
        <f t="shared" si="34"/>
        <v>0</v>
      </c>
      <c r="L81" s="31">
        <v>0</v>
      </c>
    </row>
    <row r="82" spans="1:12" ht="22.5" x14ac:dyDescent="0.2">
      <c r="A82" s="571"/>
      <c r="B82" s="15" t="s">
        <v>154</v>
      </c>
      <c r="C82" s="16"/>
      <c r="D82" s="17" t="s">
        <v>155</v>
      </c>
      <c r="E82" s="54">
        <f>E83+E84</f>
        <v>9925358</v>
      </c>
      <c r="F82" s="54">
        <f t="shared" ref="F82:K82" si="35">F83+F84</f>
        <v>6967812.5499999998</v>
      </c>
      <c r="G82" s="55">
        <f t="shared" si="33"/>
        <v>0.70202128225500782</v>
      </c>
      <c r="H82" s="54">
        <f t="shared" si="35"/>
        <v>9578133.4000000004</v>
      </c>
      <c r="I82" s="56">
        <f t="shared" si="35"/>
        <v>10801438</v>
      </c>
      <c r="J82" s="54">
        <f t="shared" si="35"/>
        <v>200000</v>
      </c>
      <c r="K82" s="238">
        <f t="shared" si="35"/>
        <v>11001438</v>
      </c>
      <c r="L82" s="34">
        <f t="shared" si="31"/>
        <v>1.108417248022691</v>
      </c>
    </row>
    <row r="83" spans="1:12" ht="22.5" x14ac:dyDescent="0.2">
      <c r="A83" s="572"/>
      <c r="B83" s="22"/>
      <c r="C83" s="23" t="s">
        <v>156</v>
      </c>
      <c r="D83" s="24" t="s">
        <v>109</v>
      </c>
      <c r="E83" s="25">
        <v>8525358</v>
      </c>
      <c r="F83" s="26">
        <v>6138850</v>
      </c>
      <c r="G83" s="27">
        <f t="shared" si="33"/>
        <v>0.72006946805049121</v>
      </c>
      <c r="H83" s="28">
        <v>8472850</v>
      </c>
      <c r="I83" s="29">
        <v>9801438</v>
      </c>
      <c r="J83" s="28"/>
      <c r="K83" s="533">
        <f>I83+J83</f>
        <v>9801438</v>
      </c>
      <c r="L83" s="31">
        <f t="shared" si="31"/>
        <v>1.149680517815205</v>
      </c>
    </row>
    <row r="84" spans="1:12" x14ac:dyDescent="0.2">
      <c r="A84" s="572"/>
      <c r="B84" s="22"/>
      <c r="C84" s="23" t="s">
        <v>157</v>
      </c>
      <c r="D84" s="24" t="s">
        <v>158</v>
      </c>
      <c r="E84" s="25">
        <v>1400000</v>
      </c>
      <c r="F84" s="26">
        <v>828962.55</v>
      </c>
      <c r="G84" s="27">
        <f t="shared" si="33"/>
        <v>0.59211610714285723</v>
      </c>
      <c r="H84" s="28">
        <v>1105283.3999999999</v>
      </c>
      <c r="I84" s="29">
        <v>1000000</v>
      </c>
      <c r="J84" s="28">
        <v>200000</v>
      </c>
      <c r="K84" s="533">
        <f>I84+J84</f>
        <v>1200000</v>
      </c>
      <c r="L84" s="31">
        <f t="shared" si="31"/>
        <v>0.8571428571428571</v>
      </c>
    </row>
    <row r="85" spans="1:12" x14ac:dyDescent="0.2">
      <c r="A85" s="574" t="s">
        <v>159</v>
      </c>
      <c r="B85" s="39"/>
      <c r="C85" s="39"/>
      <c r="D85" s="40" t="s">
        <v>160</v>
      </c>
      <c r="E85" s="41">
        <f>E86+E88+E90+E100</f>
        <v>17614735.530000001</v>
      </c>
      <c r="F85" s="41">
        <f t="shared" ref="F85:K85" si="36">F86+F88+F90+F100</f>
        <v>14738161.57</v>
      </c>
      <c r="G85" s="42">
        <f t="shared" si="33"/>
        <v>0.83669502416877894</v>
      </c>
      <c r="H85" s="41">
        <f t="shared" si="36"/>
        <v>17602576.52</v>
      </c>
      <c r="I85" s="43">
        <f t="shared" si="36"/>
        <v>18140958</v>
      </c>
      <c r="J85" s="41">
        <f t="shared" si="36"/>
        <v>30000</v>
      </c>
      <c r="K85" s="206">
        <f t="shared" si="36"/>
        <v>18170958</v>
      </c>
      <c r="L85" s="37">
        <f t="shared" si="31"/>
        <v>1.0315771116207044</v>
      </c>
    </row>
    <row r="86" spans="1:12" ht="22.5" x14ac:dyDescent="0.2">
      <c r="A86" s="571"/>
      <c r="B86" s="15" t="s">
        <v>161</v>
      </c>
      <c r="C86" s="16"/>
      <c r="D86" s="17" t="s">
        <v>162</v>
      </c>
      <c r="E86" s="18" t="str">
        <f>E87</f>
        <v>13 383 829,00</v>
      </c>
      <c r="F86" s="18">
        <f t="shared" ref="F86:K86" si="37">F87</f>
        <v>11326010</v>
      </c>
      <c r="G86" s="19">
        <f t="shared" si="33"/>
        <v>0.84624586880182051</v>
      </c>
      <c r="H86" s="18">
        <f t="shared" si="37"/>
        <v>13383829</v>
      </c>
      <c r="I86" s="20">
        <f t="shared" si="37"/>
        <v>13690449</v>
      </c>
      <c r="J86" s="18">
        <f t="shared" si="37"/>
        <v>0</v>
      </c>
      <c r="K86" s="209">
        <f t="shared" si="37"/>
        <v>13690449</v>
      </c>
      <c r="L86" s="34">
        <f t="shared" si="31"/>
        <v>1.0229097368174682</v>
      </c>
    </row>
    <row r="87" spans="1:12" x14ac:dyDescent="0.2">
      <c r="A87" s="572"/>
      <c r="B87" s="22"/>
      <c r="C87" s="23" t="s">
        <v>163</v>
      </c>
      <c r="D87" s="24" t="s">
        <v>164</v>
      </c>
      <c r="E87" s="25" t="s">
        <v>165</v>
      </c>
      <c r="F87" s="26">
        <v>11326010</v>
      </c>
      <c r="G87" s="27">
        <f t="shared" si="33"/>
        <v>0.84624586880182051</v>
      </c>
      <c r="H87" s="28">
        <v>13383829</v>
      </c>
      <c r="I87" s="29">
        <v>13690449</v>
      </c>
      <c r="J87" s="28"/>
      <c r="K87" s="533">
        <f>I87+J87</f>
        <v>13690449</v>
      </c>
      <c r="L87" s="31">
        <f t="shared" si="31"/>
        <v>1.0229097368174682</v>
      </c>
    </row>
    <row r="88" spans="1:12" ht="15" x14ac:dyDescent="0.2">
      <c r="A88" s="571"/>
      <c r="B88" s="15" t="s">
        <v>166</v>
      </c>
      <c r="C88" s="16"/>
      <c r="D88" s="17" t="s">
        <v>167</v>
      </c>
      <c r="E88" s="18" t="str">
        <f>E89</f>
        <v>2 853 224,00</v>
      </c>
      <c r="F88" s="57">
        <f t="shared" ref="F88:K88" si="38">F89</f>
        <v>2139921</v>
      </c>
      <c r="G88" s="58">
        <f t="shared" si="33"/>
        <v>0.75000105144215812</v>
      </c>
      <c r="H88" s="57">
        <f t="shared" si="38"/>
        <v>2853224</v>
      </c>
      <c r="I88" s="59">
        <f t="shared" si="38"/>
        <v>4101188</v>
      </c>
      <c r="J88" s="57">
        <f t="shared" si="38"/>
        <v>0</v>
      </c>
      <c r="K88" s="535">
        <f t="shared" si="38"/>
        <v>4101188</v>
      </c>
      <c r="L88" s="34">
        <f t="shared" si="31"/>
        <v>1.4373873204487275</v>
      </c>
    </row>
    <row r="89" spans="1:12" x14ac:dyDescent="0.2">
      <c r="A89" s="572"/>
      <c r="B89" s="22"/>
      <c r="C89" s="23" t="s">
        <v>163</v>
      </c>
      <c r="D89" s="24" t="s">
        <v>164</v>
      </c>
      <c r="E89" s="25" t="s">
        <v>168</v>
      </c>
      <c r="F89" s="26">
        <v>2139921</v>
      </c>
      <c r="G89" s="27">
        <f t="shared" si="33"/>
        <v>0.75000105144215812</v>
      </c>
      <c r="H89" s="28">
        <v>2853224</v>
      </c>
      <c r="I89" s="29">
        <v>4101188</v>
      </c>
      <c r="J89" s="28"/>
      <c r="K89" s="533">
        <f>I89+J89</f>
        <v>4101188</v>
      </c>
      <c r="L89" s="31">
        <f t="shared" si="31"/>
        <v>1.4373873204487275</v>
      </c>
    </row>
    <row r="90" spans="1:12" ht="15" x14ac:dyDescent="0.2">
      <c r="A90" s="571"/>
      <c r="B90" s="15" t="s">
        <v>169</v>
      </c>
      <c r="C90" s="16"/>
      <c r="D90" s="17" t="s">
        <v>170</v>
      </c>
      <c r="E90" s="60">
        <f>E93+E94+E95+E97+E98+E99+E91+E92+E96</f>
        <v>1098007.53</v>
      </c>
      <c r="F90" s="60">
        <f>F93+F94+F95+F97+F98+F99+F91+F92+F96</f>
        <v>1062476.57</v>
      </c>
      <c r="G90" s="61">
        <f t="shared" si="33"/>
        <v>0.96764051335786383</v>
      </c>
      <c r="H90" s="62">
        <f>H93+H94+H95+H97+H98+H99+H91+H92+H96</f>
        <v>1085848.52</v>
      </c>
      <c r="I90" s="63">
        <f t="shared" ref="I90:K90" si="39">I93+I94+I95+I97+I98+I99+I91+I92+I96</f>
        <v>80000</v>
      </c>
      <c r="J90" s="62">
        <f t="shared" si="39"/>
        <v>30000</v>
      </c>
      <c r="K90" s="536">
        <f t="shared" si="39"/>
        <v>110000</v>
      </c>
      <c r="L90" s="34">
        <f t="shared" si="31"/>
        <v>0.10018146232567275</v>
      </c>
    </row>
    <row r="91" spans="1:12" s="71" customFormat="1" ht="15" x14ac:dyDescent="0.2">
      <c r="A91" s="575"/>
      <c r="B91" s="64"/>
      <c r="C91" s="65" t="s">
        <v>40</v>
      </c>
      <c r="D91" s="49" t="s">
        <v>41</v>
      </c>
      <c r="E91" s="66">
        <v>0</v>
      </c>
      <c r="F91" s="67">
        <v>21.55</v>
      </c>
      <c r="G91" s="68">
        <v>0</v>
      </c>
      <c r="H91" s="69">
        <v>21.55</v>
      </c>
      <c r="I91" s="70"/>
      <c r="J91" s="69"/>
      <c r="K91" s="537">
        <f>I91+J91</f>
        <v>0</v>
      </c>
      <c r="L91" s="36">
        <v>0</v>
      </c>
    </row>
    <row r="92" spans="1:12" s="71" customFormat="1" ht="56.25" x14ac:dyDescent="0.2">
      <c r="A92" s="575"/>
      <c r="B92" s="64"/>
      <c r="C92" s="65" t="s">
        <v>171</v>
      </c>
      <c r="D92" s="24" t="s">
        <v>172</v>
      </c>
      <c r="E92" s="66">
        <v>0</v>
      </c>
      <c r="F92" s="67">
        <v>585.23</v>
      </c>
      <c r="G92" s="68">
        <v>0</v>
      </c>
      <c r="H92" s="69">
        <v>585.23</v>
      </c>
      <c r="I92" s="70"/>
      <c r="J92" s="69"/>
      <c r="K92" s="537">
        <f t="shared" ref="K92:K99" si="40">I92+J92</f>
        <v>0</v>
      </c>
      <c r="L92" s="36">
        <v>0</v>
      </c>
    </row>
    <row r="93" spans="1:12" x14ac:dyDescent="0.2">
      <c r="A93" s="572"/>
      <c r="B93" s="22"/>
      <c r="C93" s="23" t="s">
        <v>26</v>
      </c>
      <c r="D93" s="24" t="s">
        <v>27</v>
      </c>
      <c r="E93" s="72" t="s">
        <v>173</v>
      </c>
      <c r="F93" s="73">
        <v>68482.36</v>
      </c>
      <c r="G93" s="74">
        <f t="shared" si="33"/>
        <v>0.8560295</v>
      </c>
      <c r="H93" s="75">
        <v>91309.81</v>
      </c>
      <c r="I93" s="76">
        <v>80000</v>
      </c>
      <c r="J93" s="75"/>
      <c r="K93" s="537">
        <f t="shared" si="40"/>
        <v>80000</v>
      </c>
      <c r="L93" s="31">
        <f t="shared" si="31"/>
        <v>1</v>
      </c>
    </row>
    <row r="94" spans="1:12" x14ac:dyDescent="0.2">
      <c r="A94" s="572"/>
      <c r="B94" s="22"/>
      <c r="C94" s="23" t="s">
        <v>92</v>
      </c>
      <c r="D94" s="24" t="s">
        <v>93</v>
      </c>
      <c r="E94" s="25" t="s">
        <v>174</v>
      </c>
      <c r="F94" s="26">
        <v>711817.69</v>
      </c>
      <c r="G94" s="27">
        <f t="shared" si="33"/>
        <v>0.9490902533333333</v>
      </c>
      <c r="H94" s="28">
        <v>712362.19</v>
      </c>
      <c r="I94" s="29">
        <v>0</v>
      </c>
      <c r="J94" s="28">
        <f>10000+20000</f>
        <v>30000</v>
      </c>
      <c r="K94" s="537">
        <f t="shared" si="40"/>
        <v>30000</v>
      </c>
      <c r="L94" s="31">
        <f t="shared" si="31"/>
        <v>0.04</v>
      </c>
    </row>
    <row r="95" spans="1:12" ht="33.75" x14ac:dyDescent="0.2">
      <c r="A95" s="572"/>
      <c r="B95" s="22"/>
      <c r="C95" s="23" t="s">
        <v>175</v>
      </c>
      <c r="D95" s="24" t="s">
        <v>176</v>
      </c>
      <c r="E95" s="25" t="s">
        <v>177</v>
      </c>
      <c r="F95" s="26">
        <v>93198.18</v>
      </c>
      <c r="G95" s="27">
        <f t="shared" si="33"/>
        <v>1</v>
      </c>
      <c r="H95" s="28">
        <v>93198.18</v>
      </c>
      <c r="I95" s="29"/>
      <c r="J95" s="28"/>
      <c r="K95" s="537">
        <f t="shared" si="40"/>
        <v>0</v>
      </c>
      <c r="L95" s="31">
        <f t="shared" si="31"/>
        <v>0</v>
      </c>
    </row>
    <row r="96" spans="1:12" ht="56.25" x14ac:dyDescent="0.2">
      <c r="A96" s="572"/>
      <c r="B96" s="22"/>
      <c r="C96" s="23" t="s">
        <v>55</v>
      </c>
      <c r="D96" s="24" t="s">
        <v>56</v>
      </c>
      <c r="E96" s="25">
        <v>0</v>
      </c>
      <c r="F96" s="26">
        <v>13562.21</v>
      </c>
      <c r="G96" s="27">
        <v>0</v>
      </c>
      <c r="H96" s="28">
        <v>13562.21</v>
      </c>
      <c r="I96" s="29"/>
      <c r="J96" s="28"/>
      <c r="K96" s="537">
        <f t="shared" si="40"/>
        <v>0</v>
      </c>
      <c r="L96" s="31">
        <v>0</v>
      </c>
    </row>
    <row r="97" spans="1:12" ht="33.75" x14ac:dyDescent="0.2">
      <c r="A97" s="572"/>
      <c r="B97" s="22"/>
      <c r="C97" s="23" t="s">
        <v>178</v>
      </c>
      <c r="D97" s="24" t="s">
        <v>179</v>
      </c>
      <c r="E97" s="25" t="s">
        <v>180</v>
      </c>
      <c r="F97" s="26">
        <v>1200</v>
      </c>
      <c r="G97" s="27">
        <f t="shared" si="33"/>
        <v>1</v>
      </c>
      <c r="H97" s="28">
        <v>1200</v>
      </c>
      <c r="I97" s="29"/>
      <c r="J97" s="28"/>
      <c r="K97" s="537">
        <f t="shared" si="40"/>
        <v>0</v>
      </c>
      <c r="L97" s="31">
        <f t="shared" si="31"/>
        <v>0</v>
      </c>
    </row>
    <row r="98" spans="1:12" ht="45" x14ac:dyDescent="0.2">
      <c r="A98" s="572"/>
      <c r="B98" s="22"/>
      <c r="C98" s="23" t="s">
        <v>181</v>
      </c>
      <c r="D98" s="24" t="s">
        <v>182</v>
      </c>
      <c r="E98" s="25" t="s">
        <v>183</v>
      </c>
      <c r="F98" s="26">
        <v>3200</v>
      </c>
      <c r="G98" s="27">
        <f t="shared" si="33"/>
        <v>1</v>
      </c>
      <c r="H98" s="28">
        <v>3200</v>
      </c>
      <c r="I98" s="29"/>
      <c r="J98" s="28"/>
      <c r="K98" s="537">
        <f t="shared" si="40"/>
        <v>0</v>
      </c>
      <c r="L98" s="31">
        <f t="shared" si="31"/>
        <v>0</v>
      </c>
    </row>
    <row r="99" spans="1:12" ht="33.75" x14ac:dyDescent="0.2">
      <c r="A99" s="572"/>
      <c r="B99" s="22"/>
      <c r="C99" s="23" t="s">
        <v>184</v>
      </c>
      <c r="D99" s="24" t="s">
        <v>179</v>
      </c>
      <c r="E99" s="25" t="s">
        <v>185</v>
      </c>
      <c r="F99" s="26">
        <v>170409.35</v>
      </c>
      <c r="G99" s="27">
        <f t="shared" si="33"/>
        <v>1</v>
      </c>
      <c r="H99" s="28">
        <v>170409.35</v>
      </c>
      <c r="I99" s="29"/>
      <c r="J99" s="28"/>
      <c r="K99" s="537">
        <f t="shared" si="40"/>
        <v>0</v>
      </c>
      <c r="L99" s="31">
        <f t="shared" si="31"/>
        <v>0</v>
      </c>
    </row>
    <row r="100" spans="1:12" ht="15" x14ac:dyDescent="0.2">
      <c r="A100" s="571"/>
      <c r="B100" s="15" t="s">
        <v>186</v>
      </c>
      <c r="C100" s="16"/>
      <c r="D100" s="17" t="s">
        <v>187</v>
      </c>
      <c r="E100" s="18" t="str">
        <f>E101</f>
        <v>279 675,00</v>
      </c>
      <c r="F100" s="18">
        <f t="shared" ref="F100:K100" si="41">F101</f>
        <v>209754</v>
      </c>
      <c r="G100" s="19">
        <f>F100/E100</f>
        <v>0.74999195494770721</v>
      </c>
      <c r="H100" s="18">
        <f t="shared" si="41"/>
        <v>279675</v>
      </c>
      <c r="I100" s="20">
        <f t="shared" si="41"/>
        <v>269321</v>
      </c>
      <c r="J100" s="18">
        <f t="shared" si="41"/>
        <v>0</v>
      </c>
      <c r="K100" s="209">
        <f t="shared" si="41"/>
        <v>269321</v>
      </c>
      <c r="L100" s="34">
        <f t="shared" si="31"/>
        <v>0.96297845713774921</v>
      </c>
    </row>
    <row r="101" spans="1:12" x14ac:dyDescent="0.2">
      <c r="A101" s="572"/>
      <c r="B101" s="22"/>
      <c r="C101" s="23" t="s">
        <v>163</v>
      </c>
      <c r="D101" s="24" t="s">
        <v>164</v>
      </c>
      <c r="E101" s="25" t="s">
        <v>188</v>
      </c>
      <c r="F101" s="26">
        <v>209754</v>
      </c>
      <c r="G101" s="27">
        <f>F101/E101</f>
        <v>0.74999195494770721</v>
      </c>
      <c r="H101" s="28">
        <v>279675</v>
      </c>
      <c r="I101" s="29">
        <v>269321</v>
      </c>
      <c r="J101" s="28"/>
      <c r="K101" s="533">
        <f>I101+J101</f>
        <v>269321</v>
      </c>
      <c r="L101" s="31">
        <f t="shared" si="31"/>
        <v>0.96297845713774921</v>
      </c>
    </row>
    <row r="102" spans="1:12" x14ac:dyDescent="0.2">
      <c r="A102" s="574" t="s">
        <v>189</v>
      </c>
      <c r="B102" s="39"/>
      <c r="C102" s="39"/>
      <c r="D102" s="40" t="s">
        <v>190</v>
      </c>
      <c r="E102" s="41">
        <f>E103+E108+E111+E118+E121+E124</f>
        <v>1625520.28</v>
      </c>
      <c r="F102" s="77">
        <f t="shared" ref="F102:K102" si="42">F103+F108+F111+F118+F121+F124</f>
        <v>1173480.3099999998</v>
      </c>
      <c r="G102" s="78">
        <f>F102/E102</f>
        <v>0.72191059345011666</v>
      </c>
      <c r="H102" s="77">
        <f t="shared" si="42"/>
        <v>1562642.59</v>
      </c>
      <c r="I102" s="79">
        <f t="shared" si="42"/>
        <v>795090</v>
      </c>
      <c r="J102" s="77">
        <f t="shared" si="42"/>
        <v>825546</v>
      </c>
      <c r="K102" s="538">
        <f t="shared" si="42"/>
        <v>1620636</v>
      </c>
      <c r="L102" s="37">
        <f t="shared" si="31"/>
        <v>0.99699525126810473</v>
      </c>
    </row>
    <row r="103" spans="1:12" ht="15" x14ac:dyDescent="0.2">
      <c r="A103" s="571"/>
      <c r="B103" s="15" t="s">
        <v>191</v>
      </c>
      <c r="C103" s="16"/>
      <c r="D103" s="17" t="s">
        <v>192</v>
      </c>
      <c r="E103" s="60">
        <f>E105+E106+E107+E104</f>
        <v>104700.83</v>
      </c>
      <c r="F103" s="60">
        <f t="shared" ref="F103:K103" si="43">F105+F106+F107+F104</f>
        <v>106583.59</v>
      </c>
      <c r="G103" s="80">
        <f>F103/E103</f>
        <v>1.0179822834260244</v>
      </c>
      <c r="H103" s="60">
        <f t="shared" si="43"/>
        <v>106867.72</v>
      </c>
      <c r="I103" s="81">
        <f t="shared" si="43"/>
        <v>30000</v>
      </c>
      <c r="J103" s="60">
        <f t="shared" si="43"/>
        <v>0</v>
      </c>
      <c r="K103" s="292">
        <f t="shared" si="43"/>
        <v>30000</v>
      </c>
      <c r="L103" s="34">
        <f t="shared" si="31"/>
        <v>0.28653067984274816</v>
      </c>
    </row>
    <row r="104" spans="1:12" ht="22.5" x14ac:dyDescent="0.2">
      <c r="A104" s="571"/>
      <c r="B104" s="64"/>
      <c r="C104" s="23" t="s">
        <v>89</v>
      </c>
      <c r="D104" s="49" t="s">
        <v>90</v>
      </c>
      <c r="E104" s="66">
        <v>0</v>
      </c>
      <c r="F104" s="66">
        <v>0</v>
      </c>
      <c r="G104" s="82">
        <v>0</v>
      </c>
      <c r="H104" s="83">
        <v>0</v>
      </c>
      <c r="I104" s="84"/>
      <c r="J104" s="83"/>
      <c r="K104" s="298">
        <f>I104+J104</f>
        <v>0</v>
      </c>
      <c r="L104" s="31">
        <v>0</v>
      </c>
    </row>
    <row r="105" spans="1:12" ht="56.25" x14ac:dyDescent="0.2">
      <c r="A105" s="572"/>
      <c r="B105" s="22"/>
      <c r="C105" s="23" t="s">
        <v>23</v>
      </c>
      <c r="D105" s="24" t="s">
        <v>24</v>
      </c>
      <c r="E105" s="72" t="s">
        <v>193</v>
      </c>
      <c r="F105" s="73">
        <v>21755.17</v>
      </c>
      <c r="G105" s="82">
        <f t="shared" ref="G105:G107" si="44">F105/E105</f>
        <v>1.0947649959742349</v>
      </c>
      <c r="H105" s="75">
        <v>22039.3</v>
      </c>
      <c r="I105" s="85">
        <v>30000</v>
      </c>
      <c r="J105" s="299"/>
      <c r="K105" s="298">
        <f t="shared" ref="K105:K107" si="45">I105+J105</f>
        <v>30000</v>
      </c>
      <c r="L105" s="31">
        <f t="shared" si="31"/>
        <v>1.5096618357487923</v>
      </c>
    </row>
    <row r="106" spans="1:12" x14ac:dyDescent="0.2">
      <c r="A106" s="572"/>
      <c r="B106" s="22"/>
      <c r="C106" s="23" t="s">
        <v>92</v>
      </c>
      <c r="D106" s="24" t="s">
        <v>93</v>
      </c>
      <c r="E106" s="25" t="s">
        <v>194</v>
      </c>
      <c r="F106" s="26">
        <v>1044.5899999999999</v>
      </c>
      <c r="G106" s="82">
        <f t="shared" si="44"/>
        <v>0.99960765550239228</v>
      </c>
      <c r="H106" s="28">
        <v>1044.5899999999999</v>
      </c>
      <c r="I106" s="87"/>
      <c r="J106" s="519"/>
      <c r="K106" s="298">
        <f t="shared" si="45"/>
        <v>0</v>
      </c>
      <c r="L106" s="31">
        <f t="shared" si="31"/>
        <v>0</v>
      </c>
    </row>
    <row r="107" spans="1:12" ht="56.25" x14ac:dyDescent="0.2">
      <c r="A107" s="572"/>
      <c r="B107" s="22"/>
      <c r="C107" s="23" t="s">
        <v>28</v>
      </c>
      <c r="D107" s="24" t="s">
        <v>29</v>
      </c>
      <c r="E107" s="25" t="s">
        <v>195</v>
      </c>
      <c r="F107" s="26">
        <v>83783.83</v>
      </c>
      <c r="G107" s="82">
        <f t="shared" si="44"/>
        <v>1</v>
      </c>
      <c r="H107" s="28">
        <v>83783.83</v>
      </c>
      <c r="I107" s="87"/>
      <c r="J107" s="519"/>
      <c r="K107" s="298">
        <f t="shared" si="45"/>
        <v>0</v>
      </c>
      <c r="L107" s="31">
        <f t="shared" si="31"/>
        <v>0</v>
      </c>
    </row>
    <row r="108" spans="1:12" ht="15" x14ac:dyDescent="0.2">
      <c r="A108" s="571"/>
      <c r="B108" s="15" t="s">
        <v>196</v>
      </c>
      <c r="C108" s="16"/>
      <c r="D108" s="17" t="s">
        <v>197</v>
      </c>
      <c r="E108" s="18">
        <f>E109+E110</f>
        <v>177326</v>
      </c>
      <c r="F108" s="18">
        <f t="shared" ref="F108:K108" si="46">F109+F110</f>
        <v>135560.98000000001</v>
      </c>
      <c r="G108" s="19">
        <f>F108/E108</f>
        <v>0.76447323009598145</v>
      </c>
      <c r="H108" s="18">
        <f t="shared" si="46"/>
        <v>177685.98</v>
      </c>
      <c r="I108" s="20">
        <f t="shared" si="46"/>
        <v>0</v>
      </c>
      <c r="J108" s="18">
        <f t="shared" si="46"/>
        <v>181968</v>
      </c>
      <c r="K108" s="209">
        <f t="shared" si="46"/>
        <v>181968</v>
      </c>
      <c r="L108" s="34">
        <f t="shared" si="31"/>
        <v>1.0261777742688607</v>
      </c>
    </row>
    <row r="109" spans="1:12" x14ac:dyDescent="0.2">
      <c r="A109" s="572"/>
      <c r="B109" s="22"/>
      <c r="C109" s="23" t="s">
        <v>92</v>
      </c>
      <c r="D109" s="24" t="s">
        <v>93</v>
      </c>
      <c r="E109" s="25" t="s">
        <v>198</v>
      </c>
      <c r="F109" s="26">
        <v>9175.98</v>
      </c>
      <c r="G109" s="27">
        <f>F109/E109</f>
        <v>1.0408325771324864</v>
      </c>
      <c r="H109" s="28">
        <v>9175.98</v>
      </c>
      <c r="I109" s="29"/>
      <c r="J109" s="28"/>
      <c r="K109" s="533">
        <f>I109+J109</f>
        <v>0</v>
      </c>
      <c r="L109" s="31">
        <f t="shared" si="31"/>
        <v>0</v>
      </c>
    </row>
    <row r="110" spans="1:12" ht="33.75" x14ac:dyDescent="0.2">
      <c r="A110" s="572"/>
      <c r="B110" s="22"/>
      <c r="C110" s="23" t="s">
        <v>175</v>
      </c>
      <c r="D110" s="24" t="s">
        <v>176</v>
      </c>
      <c r="E110" s="25" t="s">
        <v>199</v>
      </c>
      <c r="F110" s="26">
        <v>126385</v>
      </c>
      <c r="G110" s="27">
        <f>F110/E110</f>
        <v>0.75001483591478246</v>
      </c>
      <c r="H110" s="28">
        <v>168510</v>
      </c>
      <c r="I110" s="29"/>
      <c r="J110" s="28">
        <v>181968</v>
      </c>
      <c r="K110" s="533">
        <f>I110+J110</f>
        <v>181968</v>
      </c>
      <c r="L110" s="31">
        <f t="shared" si="31"/>
        <v>1.0798646964571836</v>
      </c>
    </row>
    <row r="111" spans="1:12" ht="15" x14ac:dyDescent="0.2">
      <c r="A111" s="571"/>
      <c r="B111" s="15" t="s">
        <v>200</v>
      </c>
      <c r="C111" s="16"/>
      <c r="D111" s="17" t="s">
        <v>201</v>
      </c>
      <c r="E111" s="18">
        <f>E112+E113+E114+E115+E116+E117</f>
        <v>1004195</v>
      </c>
      <c r="F111" s="18">
        <f t="shared" ref="F111:K111" si="47">F112+F113+F114+F115+F116+F117</f>
        <v>712323.04999999993</v>
      </c>
      <c r="G111" s="19">
        <f>F111/E111</f>
        <v>0.70934733791743632</v>
      </c>
      <c r="H111" s="18">
        <f t="shared" si="47"/>
        <v>978025.55</v>
      </c>
      <c r="I111" s="20">
        <f t="shared" si="47"/>
        <v>498090</v>
      </c>
      <c r="J111" s="18">
        <f t="shared" si="47"/>
        <v>643578</v>
      </c>
      <c r="K111" s="209">
        <f t="shared" si="47"/>
        <v>1141668</v>
      </c>
      <c r="L111" s="34">
        <f t="shared" si="31"/>
        <v>1.1368987099119194</v>
      </c>
    </row>
    <row r="112" spans="1:12" ht="22.5" x14ac:dyDescent="0.2">
      <c r="A112" s="572"/>
      <c r="B112" s="22"/>
      <c r="C112" s="23" t="s">
        <v>202</v>
      </c>
      <c r="D112" s="24" t="s">
        <v>203</v>
      </c>
      <c r="E112" s="25" t="s">
        <v>204</v>
      </c>
      <c r="F112" s="26">
        <v>69080</v>
      </c>
      <c r="G112" s="27">
        <f>F112/E112</f>
        <v>0.61132743362831854</v>
      </c>
      <c r="H112" s="28">
        <v>108685.71</v>
      </c>
      <c r="I112" s="29">
        <v>134300</v>
      </c>
      <c r="J112" s="28"/>
      <c r="K112" s="533">
        <f>I112+J112</f>
        <v>134300</v>
      </c>
      <c r="L112" s="31">
        <f t="shared" si="31"/>
        <v>1.1884955752212389</v>
      </c>
    </row>
    <row r="113" spans="1:12" ht="33.75" x14ac:dyDescent="0.2">
      <c r="A113" s="572"/>
      <c r="B113" s="22"/>
      <c r="C113" s="23" t="s">
        <v>205</v>
      </c>
      <c r="D113" s="24" t="s">
        <v>206</v>
      </c>
      <c r="E113" s="25" t="s">
        <v>207</v>
      </c>
      <c r="F113" s="26">
        <v>197374.94</v>
      </c>
      <c r="G113" s="27">
        <f t="shared" ref="G113:G153" si="48">F113/E113</f>
        <v>0.66906759322033904</v>
      </c>
      <c r="H113" s="28">
        <v>281964.2</v>
      </c>
      <c r="I113" s="29">
        <v>355000</v>
      </c>
      <c r="J113" s="28"/>
      <c r="K113" s="533">
        <f t="shared" ref="K113:K117" si="49">I113+J113</f>
        <v>355000</v>
      </c>
      <c r="L113" s="31">
        <f t="shared" si="31"/>
        <v>1.2033898305084745</v>
      </c>
    </row>
    <row r="114" spans="1:12" ht="56.25" x14ac:dyDescent="0.2">
      <c r="A114" s="572"/>
      <c r="B114" s="22"/>
      <c r="C114" s="23" t="s">
        <v>23</v>
      </c>
      <c r="D114" s="24" t="s">
        <v>24</v>
      </c>
      <c r="E114" s="25" t="s">
        <v>208</v>
      </c>
      <c r="F114" s="26">
        <v>3206.61</v>
      </c>
      <c r="G114" s="27">
        <f t="shared" si="48"/>
        <v>0.7500842105263158</v>
      </c>
      <c r="H114" s="28">
        <v>4275.4799999999996</v>
      </c>
      <c r="I114" s="29">
        <v>4290</v>
      </c>
      <c r="J114" s="28"/>
      <c r="K114" s="533">
        <f t="shared" si="49"/>
        <v>4290</v>
      </c>
      <c r="L114" s="31">
        <f t="shared" si="31"/>
        <v>1.0035087719298246</v>
      </c>
    </row>
    <row r="115" spans="1:12" x14ac:dyDescent="0.2">
      <c r="A115" s="572"/>
      <c r="B115" s="22"/>
      <c r="C115" s="23" t="s">
        <v>92</v>
      </c>
      <c r="D115" s="24" t="s">
        <v>93</v>
      </c>
      <c r="E115" s="25" t="s">
        <v>209</v>
      </c>
      <c r="F115" s="26">
        <v>2439.1799999999998</v>
      </c>
      <c r="G115" s="27">
        <f t="shared" si="48"/>
        <v>0.55435909090909086</v>
      </c>
      <c r="H115" s="28">
        <v>3252.24</v>
      </c>
      <c r="I115" s="29">
        <v>4500</v>
      </c>
      <c r="J115" s="28"/>
      <c r="K115" s="533">
        <f t="shared" si="49"/>
        <v>4500</v>
      </c>
      <c r="L115" s="31">
        <f t="shared" si="31"/>
        <v>1.0227272727272727</v>
      </c>
    </row>
    <row r="116" spans="1:12" ht="33.75" x14ac:dyDescent="0.2">
      <c r="A116" s="572"/>
      <c r="B116" s="22"/>
      <c r="C116" s="23" t="s">
        <v>175</v>
      </c>
      <c r="D116" s="24" t="s">
        <v>176</v>
      </c>
      <c r="E116" s="25" t="s">
        <v>210</v>
      </c>
      <c r="F116" s="26">
        <v>406890</v>
      </c>
      <c r="G116" s="27">
        <f t="shared" si="48"/>
        <v>0.75</v>
      </c>
      <c r="H116" s="28">
        <v>542520</v>
      </c>
      <c r="I116" s="29"/>
      <c r="J116" s="28">
        <v>643578</v>
      </c>
      <c r="K116" s="533">
        <f t="shared" si="49"/>
        <v>643578</v>
      </c>
      <c r="L116" s="31">
        <f t="shared" si="31"/>
        <v>1.1862751603627517</v>
      </c>
    </row>
    <row r="117" spans="1:12" ht="33.75" x14ac:dyDescent="0.2">
      <c r="A117" s="572"/>
      <c r="B117" s="22"/>
      <c r="C117" s="23" t="s">
        <v>211</v>
      </c>
      <c r="D117" s="24" t="s">
        <v>212</v>
      </c>
      <c r="E117" s="25" t="s">
        <v>213</v>
      </c>
      <c r="F117" s="26">
        <v>33332.32</v>
      </c>
      <c r="G117" s="27">
        <f t="shared" si="48"/>
        <v>0.74071822222222217</v>
      </c>
      <c r="H117" s="28">
        <v>37327.919999999998</v>
      </c>
      <c r="I117" s="29"/>
      <c r="J117" s="28"/>
      <c r="K117" s="533">
        <f t="shared" si="49"/>
        <v>0</v>
      </c>
      <c r="L117" s="31">
        <f t="shared" si="31"/>
        <v>0</v>
      </c>
    </row>
    <row r="118" spans="1:12" ht="15" x14ac:dyDescent="0.2">
      <c r="A118" s="571"/>
      <c r="B118" s="15" t="s">
        <v>214</v>
      </c>
      <c r="C118" s="16"/>
      <c r="D118" s="17" t="s">
        <v>215</v>
      </c>
      <c r="E118" s="18">
        <f>E119+E120</f>
        <v>53123.47</v>
      </c>
      <c r="F118" s="18">
        <f t="shared" ref="F118:K118" si="50">F119+F120</f>
        <v>51905.71</v>
      </c>
      <c r="G118" s="19">
        <f t="shared" si="48"/>
        <v>0.97707679863533003</v>
      </c>
      <c r="H118" s="18">
        <f t="shared" si="50"/>
        <v>52699.79</v>
      </c>
      <c r="I118" s="20">
        <f t="shared" si="50"/>
        <v>4000</v>
      </c>
      <c r="J118" s="18">
        <f t="shared" si="50"/>
        <v>0</v>
      </c>
      <c r="K118" s="209">
        <f t="shared" si="50"/>
        <v>4000</v>
      </c>
      <c r="L118" s="34">
        <f t="shared" si="31"/>
        <v>7.5296286180100813E-2</v>
      </c>
    </row>
    <row r="119" spans="1:12" ht="56.25" x14ac:dyDescent="0.2">
      <c r="A119" s="572"/>
      <c r="B119" s="22"/>
      <c r="C119" s="23" t="s">
        <v>23</v>
      </c>
      <c r="D119" s="24" t="s">
        <v>24</v>
      </c>
      <c r="E119" s="25" t="s">
        <v>216</v>
      </c>
      <c r="F119" s="26">
        <v>2382.2399999999998</v>
      </c>
      <c r="G119" s="27">
        <f t="shared" si="48"/>
        <v>0.66173333333333328</v>
      </c>
      <c r="H119" s="28">
        <v>3176.32</v>
      </c>
      <c r="I119" s="29">
        <v>4000</v>
      </c>
      <c r="J119" s="28"/>
      <c r="K119" s="533">
        <f>I119+J119</f>
        <v>4000</v>
      </c>
      <c r="L119" s="31">
        <f t="shared" si="31"/>
        <v>1.1111111111111112</v>
      </c>
    </row>
    <row r="120" spans="1:12" ht="56.25" x14ac:dyDescent="0.2">
      <c r="A120" s="572"/>
      <c r="B120" s="22"/>
      <c r="C120" s="23" t="s">
        <v>28</v>
      </c>
      <c r="D120" s="24" t="s">
        <v>29</v>
      </c>
      <c r="E120" s="25" t="s">
        <v>217</v>
      </c>
      <c r="F120" s="26">
        <v>49523.47</v>
      </c>
      <c r="G120" s="27">
        <f t="shared" si="48"/>
        <v>1</v>
      </c>
      <c r="H120" s="28">
        <v>49523.47</v>
      </c>
      <c r="I120" s="29"/>
      <c r="J120" s="28"/>
      <c r="K120" s="533">
        <f>I120+J120</f>
        <v>0</v>
      </c>
      <c r="L120" s="31">
        <f t="shared" si="31"/>
        <v>0</v>
      </c>
    </row>
    <row r="121" spans="1:12" ht="15" x14ac:dyDescent="0.2">
      <c r="A121" s="571"/>
      <c r="B121" s="15" t="s">
        <v>218</v>
      </c>
      <c r="C121" s="16"/>
      <c r="D121" s="17" t="s">
        <v>219</v>
      </c>
      <c r="E121" s="18">
        <f>E122+E123</f>
        <v>286000</v>
      </c>
      <c r="F121" s="18">
        <f t="shared" ref="F121:K121" si="51">F122+F123</f>
        <v>166932</v>
      </c>
      <c r="G121" s="19">
        <f t="shared" si="48"/>
        <v>0.58367832167832168</v>
      </c>
      <c r="H121" s="18">
        <f t="shared" si="51"/>
        <v>247188.57</v>
      </c>
      <c r="I121" s="20">
        <f t="shared" si="51"/>
        <v>263000</v>
      </c>
      <c r="J121" s="18">
        <f t="shared" si="51"/>
        <v>0</v>
      </c>
      <c r="K121" s="209">
        <f t="shared" si="51"/>
        <v>263000</v>
      </c>
      <c r="L121" s="34">
        <f t="shared" si="31"/>
        <v>0.91958041958041958</v>
      </c>
    </row>
    <row r="122" spans="1:12" x14ac:dyDescent="0.2">
      <c r="A122" s="572"/>
      <c r="B122" s="22"/>
      <c r="C122" s="23" t="s">
        <v>76</v>
      </c>
      <c r="D122" s="24" t="s">
        <v>77</v>
      </c>
      <c r="E122" s="25" t="s">
        <v>220</v>
      </c>
      <c r="F122" s="26">
        <v>153432</v>
      </c>
      <c r="G122" s="27">
        <f t="shared" si="48"/>
        <v>0.57250746268656716</v>
      </c>
      <c r="H122" s="28">
        <v>229188.57</v>
      </c>
      <c r="I122" s="29">
        <v>257600</v>
      </c>
      <c r="J122" s="28"/>
      <c r="K122" s="533">
        <f>I122+J122</f>
        <v>257600</v>
      </c>
      <c r="L122" s="31">
        <f t="shared" si="31"/>
        <v>0.96119402985074631</v>
      </c>
    </row>
    <row r="123" spans="1:12" ht="56.25" x14ac:dyDescent="0.2">
      <c r="A123" s="572"/>
      <c r="B123" s="22"/>
      <c r="C123" s="23" t="s">
        <v>221</v>
      </c>
      <c r="D123" s="24" t="s">
        <v>222</v>
      </c>
      <c r="E123" s="25" t="s">
        <v>223</v>
      </c>
      <c r="F123" s="26">
        <v>13500</v>
      </c>
      <c r="G123" s="27">
        <f t="shared" si="48"/>
        <v>0.75</v>
      </c>
      <c r="H123" s="28">
        <v>18000</v>
      </c>
      <c r="I123" s="29">
        <v>5400</v>
      </c>
      <c r="J123" s="28"/>
      <c r="K123" s="533">
        <f>I123+J123</f>
        <v>5400</v>
      </c>
      <c r="L123" s="31">
        <f t="shared" si="31"/>
        <v>0.3</v>
      </c>
    </row>
    <row r="124" spans="1:12" ht="56.25" x14ac:dyDescent="0.2">
      <c r="A124" s="571"/>
      <c r="B124" s="15" t="s">
        <v>224</v>
      </c>
      <c r="C124" s="16"/>
      <c r="D124" s="17" t="s">
        <v>225</v>
      </c>
      <c r="E124" s="18" t="str">
        <f>E125</f>
        <v>174,98</v>
      </c>
      <c r="F124" s="57">
        <f t="shared" ref="F124:K124" si="52">F125</f>
        <v>174.98</v>
      </c>
      <c r="G124" s="58">
        <f t="shared" si="48"/>
        <v>1</v>
      </c>
      <c r="H124" s="57">
        <f t="shared" si="52"/>
        <v>174.98</v>
      </c>
      <c r="I124" s="59">
        <f t="shared" si="52"/>
        <v>0</v>
      </c>
      <c r="J124" s="57">
        <f t="shared" si="52"/>
        <v>0</v>
      </c>
      <c r="K124" s="535">
        <f t="shared" si="52"/>
        <v>0</v>
      </c>
      <c r="L124" s="34">
        <f t="shared" si="31"/>
        <v>0</v>
      </c>
    </row>
    <row r="125" spans="1:12" ht="56.25" x14ac:dyDescent="0.2">
      <c r="A125" s="572"/>
      <c r="B125" s="22"/>
      <c r="C125" s="23" t="s">
        <v>28</v>
      </c>
      <c r="D125" s="24" t="s">
        <v>29</v>
      </c>
      <c r="E125" s="25" t="s">
        <v>226</v>
      </c>
      <c r="F125" s="26">
        <v>174.98</v>
      </c>
      <c r="G125" s="27">
        <f t="shared" si="48"/>
        <v>1</v>
      </c>
      <c r="H125" s="28">
        <v>174.98</v>
      </c>
      <c r="I125" s="29"/>
      <c r="J125" s="28"/>
      <c r="K125" s="533">
        <f>I125+J125</f>
        <v>0</v>
      </c>
      <c r="L125" s="31">
        <f t="shared" si="31"/>
        <v>0</v>
      </c>
    </row>
    <row r="126" spans="1:12" x14ac:dyDescent="0.2">
      <c r="A126" s="574" t="s">
        <v>227</v>
      </c>
      <c r="B126" s="39"/>
      <c r="C126" s="39"/>
      <c r="D126" s="40" t="s">
        <v>228</v>
      </c>
      <c r="E126" s="41">
        <f>E127+E129+E131+E136+E140+E143+E145+E148+E150+E156</f>
        <v>17761273</v>
      </c>
      <c r="F126" s="41">
        <f>F127+F129+F131+F136+F140+F143+F145+F148+F150+F156</f>
        <v>14179086.5</v>
      </c>
      <c r="G126" s="42">
        <f t="shared" si="48"/>
        <v>0.79831476606434681</v>
      </c>
      <c r="H126" s="41">
        <f>H127+H129+H131+H136+H140+H143+H145+H148+H150+H156</f>
        <v>17768328.370000001</v>
      </c>
      <c r="I126" s="43">
        <f>I127+I129+I131+I136+I140+I143+I145+I148+I150+I156</f>
        <v>1108759</v>
      </c>
      <c r="J126" s="41">
        <f>J127+J129+J131+J136+J140+J143+J145+J148+J150+J156</f>
        <v>-417093</v>
      </c>
      <c r="K126" s="206">
        <f>K127+K129+K131+K136+K140+K143+K145+K148+K150+K156</f>
        <v>691666</v>
      </c>
      <c r="L126" s="37">
        <f t="shared" si="31"/>
        <v>3.8942366349529113E-2</v>
      </c>
    </row>
    <row r="127" spans="1:12" ht="15" x14ac:dyDescent="0.2">
      <c r="A127" s="571"/>
      <c r="B127" s="15" t="s">
        <v>229</v>
      </c>
      <c r="C127" s="16"/>
      <c r="D127" s="17" t="s">
        <v>230</v>
      </c>
      <c r="E127" s="18" t="str">
        <f>E128</f>
        <v>39 356,00</v>
      </c>
      <c r="F127" s="88">
        <f t="shared" ref="F127:K127" si="53">F128</f>
        <v>39356</v>
      </c>
      <c r="G127" s="89">
        <f t="shared" si="48"/>
        <v>1</v>
      </c>
      <c r="H127" s="88">
        <f t="shared" si="53"/>
        <v>39356</v>
      </c>
      <c r="I127" s="90">
        <f t="shared" si="53"/>
        <v>0</v>
      </c>
      <c r="J127" s="88">
        <f t="shared" si="53"/>
        <v>0</v>
      </c>
      <c r="K127" s="136">
        <f t="shared" si="53"/>
        <v>0</v>
      </c>
      <c r="L127" s="34">
        <f t="shared" si="31"/>
        <v>0</v>
      </c>
    </row>
    <row r="128" spans="1:12" ht="33.75" x14ac:dyDescent="0.2">
      <c r="A128" s="572"/>
      <c r="B128" s="22"/>
      <c r="C128" s="23" t="s">
        <v>175</v>
      </c>
      <c r="D128" s="24" t="s">
        <v>176</v>
      </c>
      <c r="E128" s="25" t="s">
        <v>231</v>
      </c>
      <c r="F128" s="26">
        <v>39356</v>
      </c>
      <c r="G128" s="27">
        <f t="shared" si="48"/>
        <v>1</v>
      </c>
      <c r="H128" s="28">
        <v>39356</v>
      </c>
      <c r="I128" s="29"/>
      <c r="J128" s="28"/>
      <c r="K128" s="533">
        <f>I128+J128</f>
        <v>0</v>
      </c>
      <c r="L128" s="31">
        <f t="shared" si="31"/>
        <v>0</v>
      </c>
    </row>
    <row r="129" spans="1:12" ht="15" x14ac:dyDescent="0.2">
      <c r="A129" s="571"/>
      <c r="B129" s="15" t="s">
        <v>232</v>
      </c>
      <c r="C129" s="16"/>
      <c r="D129" s="17" t="s">
        <v>233</v>
      </c>
      <c r="E129" s="18" t="str">
        <f>E130</f>
        <v>9 409 796,00</v>
      </c>
      <c r="F129" s="57">
        <f t="shared" ref="F129:K129" si="54">F130</f>
        <v>7308000</v>
      </c>
      <c r="G129" s="58">
        <f t="shared" si="48"/>
        <v>0.77663745313926036</v>
      </c>
      <c r="H129" s="57">
        <f t="shared" si="54"/>
        <v>9409796</v>
      </c>
      <c r="I129" s="59">
        <f t="shared" si="54"/>
        <v>0</v>
      </c>
      <c r="J129" s="57">
        <f t="shared" si="54"/>
        <v>0</v>
      </c>
      <c r="K129" s="535">
        <f t="shared" si="54"/>
        <v>0</v>
      </c>
      <c r="L129" s="34">
        <f t="shared" si="31"/>
        <v>0</v>
      </c>
    </row>
    <row r="130" spans="1:12" ht="90" x14ac:dyDescent="0.2">
      <c r="A130" s="572"/>
      <c r="B130" s="22"/>
      <c r="C130" s="23" t="s">
        <v>234</v>
      </c>
      <c r="D130" s="24" t="s">
        <v>235</v>
      </c>
      <c r="E130" s="25" t="s">
        <v>236</v>
      </c>
      <c r="F130" s="26">
        <v>7308000</v>
      </c>
      <c r="G130" s="27">
        <f t="shared" si="48"/>
        <v>0.77663745313926036</v>
      </c>
      <c r="H130" s="28">
        <v>9409796</v>
      </c>
      <c r="I130" s="29"/>
      <c r="J130" s="28"/>
      <c r="K130" s="533">
        <f>I130+J130</f>
        <v>0</v>
      </c>
      <c r="L130" s="31">
        <f t="shared" si="31"/>
        <v>0</v>
      </c>
    </row>
    <row r="131" spans="1:12" ht="33.75" x14ac:dyDescent="0.2">
      <c r="A131" s="571"/>
      <c r="B131" s="15" t="s">
        <v>237</v>
      </c>
      <c r="C131" s="16"/>
      <c r="D131" s="17" t="s">
        <v>238</v>
      </c>
      <c r="E131" s="18">
        <f>E132+E133+E134+E135</f>
        <v>7204508</v>
      </c>
      <c r="F131" s="57">
        <f t="shared" ref="F131:K131" si="55">F132+F133+F134+F135</f>
        <v>5978702.9900000002</v>
      </c>
      <c r="G131" s="58">
        <f t="shared" si="48"/>
        <v>0.82985583331991586</v>
      </c>
      <c r="H131" s="57">
        <f t="shared" si="55"/>
        <v>7195115.9500000002</v>
      </c>
      <c r="I131" s="59">
        <f t="shared" si="55"/>
        <v>0</v>
      </c>
      <c r="J131" s="57">
        <f t="shared" si="55"/>
        <v>0</v>
      </c>
      <c r="K131" s="535">
        <f t="shared" si="55"/>
        <v>0</v>
      </c>
      <c r="L131" s="34">
        <f t="shared" si="31"/>
        <v>0</v>
      </c>
    </row>
    <row r="132" spans="1:12" ht="56.25" x14ac:dyDescent="0.2">
      <c r="A132" s="572"/>
      <c r="B132" s="22"/>
      <c r="C132" s="23" t="s">
        <v>171</v>
      </c>
      <c r="D132" s="24" t="s">
        <v>172</v>
      </c>
      <c r="E132" s="25" t="s">
        <v>239</v>
      </c>
      <c r="F132" s="26">
        <v>2848.05</v>
      </c>
      <c r="G132" s="27">
        <f t="shared" si="48"/>
        <v>0.35161111111111115</v>
      </c>
      <c r="H132" s="28">
        <v>2848.05</v>
      </c>
      <c r="I132" s="29"/>
      <c r="J132" s="28"/>
      <c r="K132" s="533">
        <f>I132+J132</f>
        <v>0</v>
      </c>
      <c r="L132" s="31">
        <f t="shared" si="31"/>
        <v>0</v>
      </c>
    </row>
    <row r="133" spans="1:12" ht="56.25" x14ac:dyDescent="0.2">
      <c r="A133" s="572"/>
      <c r="B133" s="22"/>
      <c r="C133" s="23" t="s">
        <v>28</v>
      </c>
      <c r="D133" s="24" t="s">
        <v>29</v>
      </c>
      <c r="E133" s="25" t="s">
        <v>240</v>
      </c>
      <c r="F133" s="26">
        <v>5916786.6600000001</v>
      </c>
      <c r="G133" s="27">
        <f t="shared" si="48"/>
        <v>0.83096174545054158</v>
      </c>
      <c r="H133" s="28">
        <v>7120408</v>
      </c>
      <c r="I133" s="29"/>
      <c r="J133" s="28"/>
      <c r="K133" s="533">
        <f t="shared" ref="K133:K135" si="56">I133+J133</f>
        <v>0</v>
      </c>
      <c r="L133" s="31">
        <f t="shared" si="31"/>
        <v>0</v>
      </c>
    </row>
    <row r="134" spans="1:12" ht="33.75" x14ac:dyDescent="0.2">
      <c r="A134" s="572"/>
      <c r="B134" s="22"/>
      <c r="C134" s="23" t="s">
        <v>85</v>
      </c>
      <c r="D134" s="24" t="s">
        <v>86</v>
      </c>
      <c r="E134" s="25" t="s">
        <v>241</v>
      </c>
      <c r="F134" s="26">
        <v>49980.88</v>
      </c>
      <c r="G134" s="27">
        <f t="shared" si="48"/>
        <v>0.80614322580645159</v>
      </c>
      <c r="H134" s="28">
        <v>62000</v>
      </c>
      <c r="I134" s="29"/>
      <c r="J134" s="28"/>
      <c r="K134" s="533">
        <f t="shared" si="56"/>
        <v>0</v>
      </c>
      <c r="L134" s="31">
        <f t="shared" si="31"/>
        <v>0</v>
      </c>
    </row>
    <row r="135" spans="1:12" ht="56.25" x14ac:dyDescent="0.2">
      <c r="A135" s="572"/>
      <c r="B135" s="22"/>
      <c r="C135" s="23" t="s">
        <v>55</v>
      </c>
      <c r="D135" s="24" t="s">
        <v>56</v>
      </c>
      <c r="E135" s="25" t="s">
        <v>242</v>
      </c>
      <c r="F135" s="26">
        <v>9087.4</v>
      </c>
      <c r="G135" s="27">
        <f t="shared" si="48"/>
        <v>0.64910000000000001</v>
      </c>
      <c r="H135" s="28">
        <v>9859.9</v>
      </c>
      <c r="I135" s="29"/>
      <c r="J135" s="28"/>
      <c r="K135" s="533">
        <f t="shared" si="56"/>
        <v>0</v>
      </c>
      <c r="L135" s="31">
        <f t="shared" si="31"/>
        <v>0</v>
      </c>
    </row>
    <row r="136" spans="1:12" ht="45" x14ac:dyDescent="0.2">
      <c r="A136" s="571"/>
      <c r="B136" s="15" t="s">
        <v>243</v>
      </c>
      <c r="C136" s="16"/>
      <c r="D136" s="17" t="s">
        <v>244</v>
      </c>
      <c r="E136" s="18">
        <f>E137+E138+E139</f>
        <v>73472</v>
      </c>
      <c r="F136" s="57">
        <f t="shared" ref="F136:K136" si="57">F137+F138+F139</f>
        <v>63872</v>
      </c>
      <c r="G136" s="58">
        <f t="shared" si="48"/>
        <v>0.86933797909407662</v>
      </c>
      <c r="H136" s="57">
        <f t="shared" si="57"/>
        <v>73222</v>
      </c>
      <c r="I136" s="59">
        <f t="shared" si="57"/>
        <v>84250</v>
      </c>
      <c r="J136" s="57">
        <f t="shared" si="57"/>
        <v>-699</v>
      </c>
      <c r="K136" s="535">
        <f t="shared" si="57"/>
        <v>83551</v>
      </c>
      <c r="L136" s="34">
        <f t="shared" si="31"/>
        <v>1.1371815113240418</v>
      </c>
    </row>
    <row r="137" spans="1:12" ht="56.25" x14ac:dyDescent="0.2">
      <c r="A137" s="572"/>
      <c r="B137" s="22"/>
      <c r="C137" s="23" t="s">
        <v>28</v>
      </c>
      <c r="D137" s="24" t="s">
        <v>29</v>
      </c>
      <c r="E137" s="25" t="s">
        <v>245</v>
      </c>
      <c r="F137" s="26">
        <v>38050</v>
      </c>
      <c r="G137" s="27">
        <f t="shared" si="48"/>
        <v>0.81303418803418803</v>
      </c>
      <c r="H137" s="28">
        <v>46800</v>
      </c>
      <c r="I137" s="29">
        <v>48000</v>
      </c>
      <c r="J137" s="28">
        <v>-117</v>
      </c>
      <c r="K137" s="533">
        <f>I137+J137</f>
        <v>47883</v>
      </c>
      <c r="L137" s="31">
        <f t="shared" si="31"/>
        <v>1.0231410256410256</v>
      </c>
    </row>
    <row r="138" spans="1:12" ht="33.75" x14ac:dyDescent="0.2">
      <c r="A138" s="572"/>
      <c r="B138" s="22"/>
      <c r="C138" s="23" t="s">
        <v>175</v>
      </c>
      <c r="D138" s="24" t="s">
        <v>176</v>
      </c>
      <c r="E138" s="25" t="s">
        <v>246</v>
      </c>
      <c r="F138" s="26">
        <v>25822</v>
      </c>
      <c r="G138" s="27">
        <f t="shared" si="48"/>
        <v>0.97729165089697978</v>
      </c>
      <c r="H138" s="28">
        <v>26422</v>
      </c>
      <c r="I138" s="29">
        <v>36000</v>
      </c>
      <c r="J138" s="28">
        <v>-582</v>
      </c>
      <c r="K138" s="533">
        <f t="shared" ref="K138:K139" si="58">I138+J138</f>
        <v>35418</v>
      </c>
      <c r="L138" s="31">
        <f t="shared" ref="L138:L203" si="59">K138/E138</f>
        <v>1.340473847551283</v>
      </c>
    </row>
    <row r="139" spans="1:12" ht="56.25" x14ac:dyDescent="0.2">
      <c r="A139" s="572"/>
      <c r="B139" s="22"/>
      <c r="C139" s="23" t="s">
        <v>55</v>
      </c>
      <c r="D139" s="24" t="s">
        <v>56</v>
      </c>
      <c r="E139" s="25" t="s">
        <v>247</v>
      </c>
      <c r="F139" s="26">
        <v>0</v>
      </c>
      <c r="G139" s="27">
        <f t="shared" si="48"/>
        <v>0</v>
      </c>
      <c r="H139" s="28">
        <v>0</v>
      </c>
      <c r="I139" s="29">
        <v>250</v>
      </c>
      <c r="J139" s="28"/>
      <c r="K139" s="533">
        <f t="shared" si="58"/>
        <v>250</v>
      </c>
      <c r="L139" s="31">
        <f t="shared" si="59"/>
        <v>1</v>
      </c>
    </row>
    <row r="140" spans="1:12" ht="22.5" x14ac:dyDescent="0.2">
      <c r="A140" s="571"/>
      <c r="B140" s="15" t="s">
        <v>248</v>
      </c>
      <c r="C140" s="16"/>
      <c r="D140" s="17" t="s">
        <v>249</v>
      </c>
      <c r="E140" s="18">
        <f>E141+E142</f>
        <v>94876</v>
      </c>
      <c r="F140" s="57">
        <f t="shared" ref="F140:K140" si="60">F141+F142</f>
        <v>76624</v>
      </c>
      <c r="G140" s="58">
        <f t="shared" si="48"/>
        <v>0.80762258105316409</v>
      </c>
      <c r="H140" s="57">
        <f t="shared" si="60"/>
        <v>94876</v>
      </c>
      <c r="I140" s="59">
        <f t="shared" si="60"/>
        <v>180000</v>
      </c>
      <c r="J140" s="57">
        <f t="shared" si="60"/>
        <v>-130343</v>
      </c>
      <c r="K140" s="535">
        <f t="shared" si="60"/>
        <v>49657</v>
      </c>
      <c r="L140" s="34">
        <f t="shared" si="59"/>
        <v>0.52338842278342257</v>
      </c>
    </row>
    <row r="141" spans="1:12" ht="22.5" x14ac:dyDescent="0.2">
      <c r="A141" s="572"/>
      <c r="B141" s="22"/>
      <c r="C141" s="23" t="s">
        <v>250</v>
      </c>
      <c r="D141" s="24" t="s">
        <v>251</v>
      </c>
      <c r="E141" s="25" t="s">
        <v>31</v>
      </c>
      <c r="F141" s="26">
        <v>20000</v>
      </c>
      <c r="G141" s="27">
        <f t="shared" si="48"/>
        <v>1</v>
      </c>
      <c r="H141" s="28">
        <v>20000</v>
      </c>
      <c r="I141" s="29"/>
      <c r="J141" s="28"/>
      <c r="K141" s="533">
        <f>I141+J141</f>
        <v>0</v>
      </c>
      <c r="L141" s="31">
        <f t="shared" si="59"/>
        <v>0</v>
      </c>
    </row>
    <row r="142" spans="1:12" ht="33.75" x14ac:dyDescent="0.2">
      <c r="A142" s="572"/>
      <c r="B142" s="22"/>
      <c r="C142" s="23" t="s">
        <v>175</v>
      </c>
      <c r="D142" s="24" t="s">
        <v>176</v>
      </c>
      <c r="E142" s="25" t="s">
        <v>252</v>
      </c>
      <c r="F142" s="26">
        <v>56624</v>
      </c>
      <c r="G142" s="27">
        <f t="shared" si="48"/>
        <v>0.75623697847107219</v>
      </c>
      <c r="H142" s="28">
        <v>74876</v>
      </c>
      <c r="I142" s="29">
        <v>180000</v>
      </c>
      <c r="J142" s="28">
        <v>-130343</v>
      </c>
      <c r="K142" s="533">
        <f>I142+J142</f>
        <v>49657</v>
      </c>
      <c r="L142" s="31">
        <f t="shared" si="59"/>
        <v>0.66318980714781772</v>
      </c>
    </row>
    <row r="143" spans="1:12" ht="15" x14ac:dyDescent="0.2">
      <c r="A143" s="571"/>
      <c r="B143" s="15" t="s">
        <v>253</v>
      </c>
      <c r="C143" s="16"/>
      <c r="D143" s="17" t="s">
        <v>254</v>
      </c>
      <c r="E143" s="18" t="str">
        <f>E144</f>
        <v>11 500,00</v>
      </c>
      <c r="F143" s="57">
        <f t="shared" ref="F143:K143" si="61">F144</f>
        <v>10900</v>
      </c>
      <c r="G143" s="58">
        <f t="shared" si="48"/>
        <v>0.94782608695652171</v>
      </c>
      <c r="H143" s="57">
        <f t="shared" si="61"/>
        <v>11500</v>
      </c>
      <c r="I143" s="59">
        <f t="shared" si="61"/>
        <v>0</v>
      </c>
      <c r="J143" s="57">
        <f t="shared" si="61"/>
        <v>0</v>
      </c>
      <c r="K143" s="535">
        <f t="shared" si="61"/>
        <v>0</v>
      </c>
      <c r="L143" s="34">
        <f t="shared" si="59"/>
        <v>0</v>
      </c>
    </row>
    <row r="144" spans="1:12" ht="56.25" x14ac:dyDescent="0.2">
      <c r="A144" s="572"/>
      <c r="B144" s="22"/>
      <c r="C144" s="23" t="s">
        <v>28</v>
      </c>
      <c r="D144" s="24" t="s">
        <v>29</v>
      </c>
      <c r="E144" s="25" t="s">
        <v>255</v>
      </c>
      <c r="F144" s="26">
        <v>10900</v>
      </c>
      <c r="G144" s="27">
        <f t="shared" si="48"/>
        <v>0.94782608695652171</v>
      </c>
      <c r="H144" s="28">
        <v>11500</v>
      </c>
      <c r="I144" s="29"/>
      <c r="J144" s="28"/>
      <c r="K144" s="533">
        <f>I144+J144</f>
        <v>0</v>
      </c>
      <c r="L144" s="31">
        <f t="shared" si="59"/>
        <v>0</v>
      </c>
    </row>
    <row r="145" spans="1:12" ht="15" x14ac:dyDescent="0.2">
      <c r="A145" s="571"/>
      <c r="B145" s="15" t="s">
        <v>256</v>
      </c>
      <c r="C145" s="16"/>
      <c r="D145" s="17" t="s">
        <v>257</v>
      </c>
      <c r="E145" s="18">
        <f>E146+E147</f>
        <v>289824</v>
      </c>
      <c r="F145" s="57">
        <f t="shared" ref="F145:K145" si="62">F146+F147</f>
        <v>269508.06</v>
      </c>
      <c r="G145" s="58">
        <f t="shared" si="48"/>
        <v>0.92990249254720103</v>
      </c>
      <c r="H145" s="57">
        <f t="shared" si="62"/>
        <v>289508.06</v>
      </c>
      <c r="I145" s="59">
        <f t="shared" si="62"/>
        <v>300500</v>
      </c>
      <c r="J145" s="57">
        <f t="shared" si="62"/>
        <v>-129196</v>
      </c>
      <c r="K145" s="535">
        <f t="shared" si="62"/>
        <v>171304</v>
      </c>
      <c r="L145" s="34">
        <f t="shared" si="59"/>
        <v>0.59106216186375182</v>
      </c>
    </row>
    <row r="146" spans="1:12" ht="33.75" x14ac:dyDescent="0.2">
      <c r="A146" s="572"/>
      <c r="B146" s="22"/>
      <c r="C146" s="23" t="s">
        <v>175</v>
      </c>
      <c r="D146" s="24" t="s">
        <v>176</v>
      </c>
      <c r="E146" s="25" t="s">
        <v>258</v>
      </c>
      <c r="F146" s="26">
        <v>269324</v>
      </c>
      <c r="G146" s="27">
        <f t="shared" si="48"/>
        <v>0.93087334614480655</v>
      </c>
      <c r="H146" s="28">
        <v>289324</v>
      </c>
      <c r="I146" s="29">
        <v>300000</v>
      </c>
      <c r="J146" s="28">
        <v>-129196</v>
      </c>
      <c r="K146" s="533">
        <f>I146+J146</f>
        <v>170804</v>
      </c>
      <c r="L146" s="31">
        <f t="shared" si="59"/>
        <v>0.59035544925412342</v>
      </c>
    </row>
    <row r="147" spans="1:12" ht="56.25" x14ac:dyDescent="0.2">
      <c r="A147" s="572"/>
      <c r="B147" s="22"/>
      <c r="C147" s="23" t="s">
        <v>55</v>
      </c>
      <c r="D147" s="24" t="s">
        <v>56</v>
      </c>
      <c r="E147" s="25" t="s">
        <v>259</v>
      </c>
      <c r="F147" s="26">
        <v>184.06</v>
      </c>
      <c r="G147" s="27">
        <f t="shared" si="48"/>
        <v>0.36812</v>
      </c>
      <c r="H147" s="28">
        <v>184.06</v>
      </c>
      <c r="I147" s="29">
        <v>500</v>
      </c>
      <c r="J147" s="28"/>
      <c r="K147" s="533">
        <f>I147+J147</f>
        <v>500</v>
      </c>
      <c r="L147" s="31">
        <f t="shared" si="59"/>
        <v>1</v>
      </c>
    </row>
    <row r="148" spans="1:12" ht="15" x14ac:dyDescent="0.2">
      <c r="A148" s="571"/>
      <c r="B148" s="15" t="s">
        <v>260</v>
      </c>
      <c r="C148" s="16"/>
      <c r="D148" s="17" t="s">
        <v>261</v>
      </c>
      <c r="E148" s="18" t="str">
        <f>E149</f>
        <v>156 404,00</v>
      </c>
      <c r="F148" s="57">
        <f t="shared" ref="F148:K148" si="63">F149</f>
        <v>120310</v>
      </c>
      <c r="G148" s="58">
        <f t="shared" si="48"/>
        <v>0.76922585100125318</v>
      </c>
      <c r="H148" s="57">
        <f t="shared" si="63"/>
        <v>156404</v>
      </c>
      <c r="I148" s="59">
        <f t="shared" si="63"/>
        <v>163002</v>
      </c>
      <c r="J148" s="57">
        <f t="shared" si="63"/>
        <v>-9023</v>
      </c>
      <c r="K148" s="535">
        <f t="shared" si="63"/>
        <v>153979</v>
      </c>
      <c r="L148" s="34">
        <f t="shared" si="59"/>
        <v>0.98449528145060228</v>
      </c>
    </row>
    <row r="149" spans="1:12" ht="33.75" x14ac:dyDescent="0.2">
      <c r="A149" s="572"/>
      <c r="B149" s="22"/>
      <c r="C149" s="23" t="s">
        <v>175</v>
      </c>
      <c r="D149" s="24" t="s">
        <v>176</v>
      </c>
      <c r="E149" s="25" t="s">
        <v>262</v>
      </c>
      <c r="F149" s="26">
        <v>120310</v>
      </c>
      <c r="G149" s="27">
        <f t="shared" si="48"/>
        <v>0.76922585100125318</v>
      </c>
      <c r="H149" s="28">
        <v>156404</v>
      </c>
      <c r="I149" s="29">
        <v>163002</v>
      </c>
      <c r="J149" s="28">
        <v>-9023</v>
      </c>
      <c r="K149" s="533">
        <f>I149+J149</f>
        <v>153979</v>
      </c>
      <c r="L149" s="31">
        <f t="shared" si="59"/>
        <v>0.98449528145060228</v>
      </c>
    </row>
    <row r="150" spans="1:12" ht="15" x14ac:dyDescent="0.2">
      <c r="A150" s="571"/>
      <c r="B150" s="15" t="s">
        <v>263</v>
      </c>
      <c r="C150" s="16"/>
      <c r="D150" s="17" t="s">
        <v>264</v>
      </c>
      <c r="E150" s="18">
        <f>E151+E152+E153</f>
        <v>281125</v>
      </c>
      <c r="F150" s="57">
        <f t="shared" ref="F150:K150" si="64">F151+F152+F153</f>
        <v>187000.53</v>
      </c>
      <c r="G150" s="58">
        <f t="shared" si="48"/>
        <v>0.66518641173855042</v>
      </c>
      <c r="H150" s="57">
        <f t="shared" si="64"/>
        <v>298137.44</v>
      </c>
      <c r="I150" s="59">
        <f t="shared" si="64"/>
        <v>381007</v>
      </c>
      <c r="J150" s="57">
        <f t="shared" si="64"/>
        <v>-147832</v>
      </c>
      <c r="K150" s="535">
        <f t="shared" si="64"/>
        <v>233175</v>
      </c>
      <c r="L150" s="34">
        <f t="shared" si="59"/>
        <v>0.82943530457981329</v>
      </c>
    </row>
    <row r="151" spans="1:12" x14ac:dyDescent="0.2">
      <c r="A151" s="572"/>
      <c r="B151" s="22"/>
      <c r="C151" s="23" t="s">
        <v>76</v>
      </c>
      <c r="D151" s="24" t="s">
        <v>77</v>
      </c>
      <c r="E151" s="25" t="s">
        <v>265</v>
      </c>
      <c r="F151" s="26">
        <v>35470.199999999997</v>
      </c>
      <c r="G151" s="27">
        <f t="shared" si="48"/>
        <v>1.1441999999999999</v>
      </c>
      <c r="H151" s="28">
        <v>47293</v>
      </c>
      <c r="I151" s="29">
        <v>35000</v>
      </c>
      <c r="J151" s="28"/>
      <c r="K151" s="533">
        <f>I151+J151</f>
        <v>35000</v>
      </c>
      <c r="L151" s="31">
        <f t="shared" si="59"/>
        <v>1.1290322580645162</v>
      </c>
    </row>
    <row r="152" spans="1:12" ht="56.25" x14ac:dyDescent="0.2">
      <c r="A152" s="572"/>
      <c r="B152" s="22"/>
      <c r="C152" s="23" t="s">
        <v>28</v>
      </c>
      <c r="D152" s="24" t="s">
        <v>29</v>
      </c>
      <c r="E152" s="25" t="s">
        <v>266</v>
      </c>
      <c r="F152" s="26">
        <v>150900</v>
      </c>
      <c r="G152" s="27">
        <f t="shared" si="48"/>
        <v>0.60360000000000003</v>
      </c>
      <c r="H152" s="28">
        <v>250000</v>
      </c>
      <c r="I152" s="29">
        <v>346007</v>
      </c>
      <c r="J152" s="28">
        <v>-147957</v>
      </c>
      <c r="K152" s="533">
        <f t="shared" ref="K152:K153" si="65">I152+J152</f>
        <v>198050</v>
      </c>
      <c r="L152" s="31">
        <f t="shared" si="59"/>
        <v>0.79220000000000002</v>
      </c>
    </row>
    <row r="153" spans="1:12" ht="33.75" x14ac:dyDescent="0.2">
      <c r="A153" s="572"/>
      <c r="B153" s="582"/>
      <c r="C153" s="583" t="s">
        <v>85</v>
      </c>
      <c r="D153" s="584" t="s">
        <v>86</v>
      </c>
      <c r="E153" s="585" t="s">
        <v>267</v>
      </c>
      <c r="F153" s="26">
        <v>630.33000000000004</v>
      </c>
      <c r="G153" s="27">
        <f t="shared" si="48"/>
        <v>5.0426400000000005</v>
      </c>
      <c r="H153" s="30">
        <v>844.44</v>
      </c>
      <c r="I153" s="29"/>
      <c r="J153" s="28">
        <v>125</v>
      </c>
      <c r="K153" s="533">
        <f t="shared" si="65"/>
        <v>125</v>
      </c>
      <c r="L153" s="31">
        <f t="shared" si="59"/>
        <v>1</v>
      </c>
    </row>
    <row r="154" spans="1:12" x14ac:dyDescent="0.2">
      <c r="A154" s="576"/>
      <c r="B154" s="93" t="s">
        <v>268</v>
      </c>
      <c r="C154" s="93"/>
      <c r="D154" s="94" t="s">
        <v>269</v>
      </c>
      <c r="E154" s="95">
        <f>E155</f>
        <v>0</v>
      </c>
      <c r="F154" s="95">
        <f>F155</f>
        <v>0</v>
      </c>
      <c r="G154" s="96">
        <v>0</v>
      </c>
      <c r="H154" s="97">
        <f>H155</f>
        <v>0</v>
      </c>
      <c r="I154" s="98">
        <f>I155</f>
        <v>0</v>
      </c>
      <c r="J154" s="97">
        <f t="shared" ref="J154:K154" si="66">J155</f>
        <v>0</v>
      </c>
      <c r="K154" s="539">
        <f t="shared" si="66"/>
        <v>0</v>
      </c>
      <c r="L154" s="34">
        <v>0</v>
      </c>
    </row>
    <row r="155" spans="1:12" ht="33.75" x14ac:dyDescent="0.2">
      <c r="A155" s="572"/>
      <c r="B155" s="22"/>
      <c r="C155" s="99" t="s">
        <v>175</v>
      </c>
      <c r="D155" s="24" t="s">
        <v>176</v>
      </c>
      <c r="E155" s="72">
        <v>0</v>
      </c>
      <c r="F155" s="26">
        <v>0</v>
      </c>
      <c r="G155" s="27">
        <v>0</v>
      </c>
      <c r="H155" s="28">
        <v>0</v>
      </c>
      <c r="I155" s="29">
        <v>0</v>
      </c>
      <c r="J155" s="28">
        <v>0</v>
      </c>
      <c r="K155" s="533">
        <f>I155+J155</f>
        <v>0</v>
      </c>
      <c r="L155" s="31">
        <v>0</v>
      </c>
    </row>
    <row r="156" spans="1:12" ht="15" x14ac:dyDescent="0.2">
      <c r="A156" s="571"/>
      <c r="B156" s="15" t="s">
        <v>270</v>
      </c>
      <c r="C156" s="16"/>
      <c r="D156" s="17" t="s">
        <v>22</v>
      </c>
      <c r="E156" s="18">
        <f>E157+E158+E159</f>
        <v>200412</v>
      </c>
      <c r="F156" s="18">
        <f>F157+F158+F159</f>
        <v>124812.92</v>
      </c>
      <c r="G156" s="100">
        <f t="shared" ref="G156" si="67">G157+G158</f>
        <v>1.6123076923076924</v>
      </c>
      <c r="H156" s="101">
        <f>H157+H158+H159</f>
        <v>200412.92</v>
      </c>
      <c r="I156" s="102">
        <f>I157+I158+I159</f>
        <v>0</v>
      </c>
      <c r="J156" s="101">
        <f>J157+J158+J159</f>
        <v>0</v>
      </c>
      <c r="K156" s="540">
        <f>K157+K158+K159</f>
        <v>0</v>
      </c>
      <c r="L156" s="34">
        <f t="shared" si="59"/>
        <v>0</v>
      </c>
    </row>
    <row r="157" spans="1:12" ht="56.25" x14ac:dyDescent="0.2">
      <c r="A157" s="572"/>
      <c r="B157" s="22"/>
      <c r="C157" s="23" t="s">
        <v>28</v>
      </c>
      <c r="D157" s="24" t="s">
        <v>29</v>
      </c>
      <c r="E157" s="25" t="s">
        <v>271</v>
      </c>
      <c r="F157" s="26">
        <v>5412</v>
      </c>
      <c r="G157" s="27">
        <f t="shared" ref="G157:G190" si="68">F157/E157</f>
        <v>1</v>
      </c>
      <c r="H157" s="28">
        <v>5412</v>
      </c>
      <c r="I157" s="29"/>
      <c r="J157" s="28"/>
      <c r="K157" s="533">
        <f>I157+J157</f>
        <v>0</v>
      </c>
      <c r="L157" s="31">
        <f t="shared" si="59"/>
        <v>0</v>
      </c>
    </row>
    <row r="158" spans="1:12" ht="33.75" x14ac:dyDescent="0.2">
      <c r="A158" s="572"/>
      <c r="B158" s="22"/>
      <c r="C158" s="23" t="s">
        <v>175</v>
      </c>
      <c r="D158" s="24" t="s">
        <v>176</v>
      </c>
      <c r="E158" s="44" t="s">
        <v>272</v>
      </c>
      <c r="F158" s="45">
        <v>119400</v>
      </c>
      <c r="G158" s="46">
        <f t="shared" si="68"/>
        <v>0.61230769230769233</v>
      </c>
      <c r="H158" s="47">
        <v>195000</v>
      </c>
      <c r="I158" s="48"/>
      <c r="J158" s="47"/>
      <c r="K158" s="533">
        <f t="shared" ref="K158:K159" si="69">I158+J158</f>
        <v>0</v>
      </c>
      <c r="L158" s="31">
        <f t="shared" si="59"/>
        <v>0</v>
      </c>
    </row>
    <row r="159" spans="1:12" ht="33.75" x14ac:dyDescent="0.2">
      <c r="A159" s="572"/>
      <c r="B159" s="22"/>
      <c r="C159" s="91" t="s">
        <v>85</v>
      </c>
      <c r="D159" s="103" t="s">
        <v>86</v>
      </c>
      <c r="E159" s="50">
        <v>0</v>
      </c>
      <c r="F159" s="26">
        <v>0.92</v>
      </c>
      <c r="G159" s="27">
        <v>0</v>
      </c>
      <c r="H159" s="28">
        <v>0.92</v>
      </c>
      <c r="I159" s="29"/>
      <c r="J159" s="28"/>
      <c r="K159" s="533">
        <f t="shared" si="69"/>
        <v>0</v>
      </c>
      <c r="L159" s="31">
        <v>0</v>
      </c>
    </row>
    <row r="160" spans="1:12" x14ac:dyDescent="0.2">
      <c r="A160" s="574" t="s">
        <v>273</v>
      </c>
      <c r="B160" s="39"/>
      <c r="C160" s="39"/>
      <c r="D160" s="40" t="s">
        <v>274</v>
      </c>
      <c r="E160" s="51">
        <f>E161</f>
        <v>153972</v>
      </c>
      <c r="F160" s="104">
        <f t="shared" ref="F160:K160" si="70">F161</f>
        <v>153972</v>
      </c>
      <c r="G160" s="105">
        <f t="shared" si="68"/>
        <v>1</v>
      </c>
      <c r="H160" s="104">
        <f t="shared" si="70"/>
        <v>153972</v>
      </c>
      <c r="I160" s="106">
        <f t="shared" si="70"/>
        <v>0</v>
      </c>
      <c r="J160" s="104">
        <f t="shared" si="70"/>
        <v>0</v>
      </c>
      <c r="K160" s="541">
        <f t="shared" si="70"/>
        <v>0</v>
      </c>
      <c r="L160" s="37">
        <f t="shared" si="59"/>
        <v>0</v>
      </c>
    </row>
    <row r="161" spans="1:12" ht="15" x14ac:dyDescent="0.2">
      <c r="A161" s="571"/>
      <c r="B161" s="15" t="s">
        <v>275</v>
      </c>
      <c r="C161" s="16"/>
      <c r="D161" s="17" t="s">
        <v>276</v>
      </c>
      <c r="E161" s="18">
        <f>E162+E163</f>
        <v>153972</v>
      </c>
      <c r="F161" s="88">
        <f t="shared" ref="F161:K161" si="71">F162+F163</f>
        <v>153972</v>
      </c>
      <c r="G161" s="89">
        <f t="shared" si="68"/>
        <v>1</v>
      </c>
      <c r="H161" s="88">
        <f t="shared" si="71"/>
        <v>153972</v>
      </c>
      <c r="I161" s="90">
        <f t="shared" si="71"/>
        <v>0</v>
      </c>
      <c r="J161" s="88">
        <f t="shared" si="71"/>
        <v>0</v>
      </c>
      <c r="K161" s="136">
        <f t="shared" si="71"/>
        <v>0</v>
      </c>
      <c r="L161" s="34">
        <f t="shared" si="59"/>
        <v>0</v>
      </c>
    </row>
    <row r="162" spans="1:12" ht="33.75" x14ac:dyDescent="0.2">
      <c r="A162" s="572"/>
      <c r="B162" s="22"/>
      <c r="C162" s="23" t="s">
        <v>175</v>
      </c>
      <c r="D162" s="24" t="s">
        <v>176</v>
      </c>
      <c r="E162" s="25" t="s">
        <v>277</v>
      </c>
      <c r="F162" s="26">
        <v>153027</v>
      </c>
      <c r="G162" s="27">
        <f t="shared" si="68"/>
        <v>1</v>
      </c>
      <c r="H162" s="28">
        <v>153027</v>
      </c>
      <c r="I162" s="29"/>
      <c r="J162" s="28"/>
      <c r="K162" s="533">
        <f>I162+J162</f>
        <v>0</v>
      </c>
      <c r="L162" s="31">
        <f t="shared" si="59"/>
        <v>0</v>
      </c>
    </row>
    <row r="163" spans="1:12" ht="56.25" x14ac:dyDescent="0.2">
      <c r="A163" s="572"/>
      <c r="B163" s="22"/>
      <c r="C163" s="91" t="s">
        <v>278</v>
      </c>
      <c r="D163" s="92" t="s">
        <v>279</v>
      </c>
      <c r="E163" s="44" t="s">
        <v>280</v>
      </c>
      <c r="F163" s="45">
        <v>945</v>
      </c>
      <c r="G163" s="27">
        <f t="shared" si="68"/>
        <v>1</v>
      </c>
      <c r="H163" s="47">
        <v>945</v>
      </c>
      <c r="I163" s="48"/>
      <c r="J163" s="47"/>
      <c r="K163" s="533">
        <f>I163+J163</f>
        <v>0</v>
      </c>
      <c r="L163" s="31">
        <f t="shared" si="59"/>
        <v>0</v>
      </c>
    </row>
    <row r="164" spans="1:12" x14ac:dyDescent="0.2">
      <c r="A164" s="107" t="s">
        <v>281</v>
      </c>
      <c r="B164" s="107"/>
      <c r="C164" s="107"/>
      <c r="D164" s="108" t="s">
        <v>282</v>
      </c>
      <c r="E164" s="109">
        <f>E165+E167+E172+E174+E176+E178+E180+E183</f>
        <v>0</v>
      </c>
      <c r="F164" s="109">
        <f>F165+F167+F172+F174+F176+F178+F180+F183</f>
        <v>0</v>
      </c>
      <c r="G164" s="110">
        <v>0</v>
      </c>
      <c r="H164" s="111">
        <f>H165+H167+H172+H174+H176+H178+H180+H183</f>
        <v>0</v>
      </c>
      <c r="I164" s="112">
        <f>I165+I167+I172+I174+I176+I178+I180+I183</f>
        <v>17589134</v>
      </c>
      <c r="J164" s="111">
        <f>J165+J167+J172+J174+J176+J178+J180+J183</f>
        <v>2167355</v>
      </c>
      <c r="K164" s="271">
        <f>K165+K167+K172+K174+K176+K178+K180+K183</f>
        <v>19756489</v>
      </c>
      <c r="L164" s="37">
        <v>0</v>
      </c>
    </row>
    <row r="165" spans="1:12" x14ac:dyDescent="0.2">
      <c r="A165" s="644"/>
      <c r="B165" s="93" t="s">
        <v>283</v>
      </c>
      <c r="C165" s="93"/>
      <c r="D165" s="94" t="s">
        <v>284</v>
      </c>
      <c r="E165" s="95">
        <f>E166</f>
        <v>0</v>
      </c>
      <c r="F165" s="95">
        <f t="shared" ref="F165:K165" si="72">F166</f>
        <v>0</v>
      </c>
      <c r="G165" s="113">
        <v>0</v>
      </c>
      <c r="H165" s="114">
        <f t="shared" si="72"/>
        <v>0</v>
      </c>
      <c r="I165" s="115">
        <f t="shared" si="72"/>
        <v>10904661</v>
      </c>
      <c r="J165" s="114">
        <f t="shared" si="72"/>
        <v>1139878</v>
      </c>
      <c r="K165" s="118">
        <f t="shared" si="72"/>
        <v>12044539</v>
      </c>
      <c r="L165" s="34">
        <v>0</v>
      </c>
    </row>
    <row r="166" spans="1:12" ht="78.75" x14ac:dyDescent="0.2">
      <c r="A166" s="645"/>
      <c r="B166" s="116"/>
      <c r="C166" s="116" t="s">
        <v>234</v>
      </c>
      <c r="D166" s="24" t="s">
        <v>987</v>
      </c>
      <c r="E166" s="117">
        <v>0</v>
      </c>
      <c r="F166" s="26">
        <v>0</v>
      </c>
      <c r="G166" s="27">
        <v>0</v>
      </c>
      <c r="H166" s="28">
        <v>0</v>
      </c>
      <c r="I166" s="29">
        <v>10904661</v>
      </c>
      <c r="J166" s="28">
        <v>1139878</v>
      </c>
      <c r="K166" s="533">
        <f>I166+J166</f>
        <v>12044539</v>
      </c>
      <c r="L166" s="31">
        <v>0</v>
      </c>
    </row>
    <row r="167" spans="1:12" ht="33.75" x14ac:dyDescent="0.2">
      <c r="A167" s="645"/>
      <c r="B167" s="93" t="s">
        <v>285</v>
      </c>
      <c r="C167" s="93"/>
      <c r="D167" s="94" t="s">
        <v>238</v>
      </c>
      <c r="E167" s="95">
        <f>E169+E168+E171+E170</f>
        <v>0</v>
      </c>
      <c r="F167" s="95">
        <f>F169+F168+F171+F170</f>
        <v>0</v>
      </c>
      <c r="G167" s="113">
        <v>0</v>
      </c>
      <c r="H167" s="114">
        <f>H169+H168+H171+H170</f>
        <v>0</v>
      </c>
      <c r="I167" s="32">
        <f>I169+I168+I171+I170</f>
        <v>6684473</v>
      </c>
      <c r="J167" s="32">
        <f t="shared" ref="J167:K167" si="73">J169+J168+J171+J170</f>
        <v>1027477</v>
      </c>
      <c r="K167" s="118">
        <f t="shared" si="73"/>
        <v>7711950</v>
      </c>
      <c r="L167" s="34">
        <v>0</v>
      </c>
    </row>
    <row r="168" spans="1:12" s="71" customFormat="1" ht="56.25" x14ac:dyDescent="0.2">
      <c r="A168" s="645"/>
      <c r="B168" s="647"/>
      <c r="C168" s="23" t="s">
        <v>171</v>
      </c>
      <c r="D168" s="24" t="s">
        <v>172</v>
      </c>
      <c r="E168" s="66">
        <v>0</v>
      </c>
      <c r="F168" s="66">
        <v>0</v>
      </c>
      <c r="G168" s="82">
        <v>0</v>
      </c>
      <c r="H168" s="83">
        <v>0</v>
      </c>
      <c r="I168" s="84">
        <v>1500</v>
      </c>
      <c r="J168" s="83"/>
      <c r="K168" s="298">
        <f>I168+J168</f>
        <v>1500</v>
      </c>
      <c r="L168" s="36">
        <v>0</v>
      </c>
    </row>
    <row r="169" spans="1:12" ht="56.25" x14ac:dyDescent="0.2">
      <c r="A169" s="645"/>
      <c r="B169" s="648"/>
      <c r="C169" s="116" t="s">
        <v>28</v>
      </c>
      <c r="D169" s="24" t="s">
        <v>29</v>
      </c>
      <c r="E169" s="50">
        <v>0</v>
      </c>
      <c r="F169" s="26">
        <v>0</v>
      </c>
      <c r="G169" s="27">
        <v>0</v>
      </c>
      <c r="H169" s="28">
        <v>0</v>
      </c>
      <c r="I169" s="29">
        <v>6673973</v>
      </c>
      <c r="J169" s="28">
        <v>965477</v>
      </c>
      <c r="K169" s="298">
        <f t="shared" ref="K169:K185" si="74">I169+J169</f>
        <v>7639450</v>
      </c>
      <c r="L169" s="31">
        <v>0</v>
      </c>
    </row>
    <row r="170" spans="1:12" ht="33.75" x14ac:dyDescent="0.2">
      <c r="A170" s="645"/>
      <c r="B170" s="648"/>
      <c r="C170" s="119" t="s">
        <v>85</v>
      </c>
      <c r="D170" s="92" t="s">
        <v>86</v>
      </c>
      <c r="E170" s="120">
        <v>0</v>
      </c>
      <c r="F170" s="26">
        <v>0</v>
      </c>
      <c r="G170" s="27">
        <v>0</v>
      </c>
      <c r="H170" s="28">
        <v>0</v>
      </c>
      <c r="I170" s="29">
        <v>0</v>
      </c>
      <c r="J170" s="28">
        <v>62000</v>
      </c>
      <c r="K170" s="298">
        <f>I170+J170</f>
        <v>62000</v>
      </c>
      <c r="L170" s="31">
        <v>0</v>
      </c>
    </row>
    <row r="171" spans="1:12" ht="56.25" x14ac:dyDescent="0.2">
      <c r="A171" s="645"/>
      <c r="B171" s="649"/>
      <c r="C171" s="23" t="s">
        <v>55</v>
      </c>
      <c r="D171" s="24" t="s">
        <v>56</v>
      </c>
      <c r="E171" s="25">
        <v>0</v>
      </c>
      <c r="F171" s="26">
        <v>0</v>
      </c>
      <c r="G171" s="27">
        <v>0</v>
      </c>
      <c r="H171" s="28">
        <v>0</v>
      </c>
      <c r="I171" s="29">
        <v>9000</v>
      </c>
      <c r="J171" s="28"/>
      <c r="K171" s="298">
        <f t="shared" si="74"/>
        <v>9000</v>
      </c>
      <c r="L171" s="31">
        <v>0</v>
      </c>
    </row>
    <row r="172" spans="1:12" hidden="1" x14ac:dyDescent="0.2">
      <c r="A172" s="645"/>
      <c r="B172" s="93" t="s">
        <v>286</v>
      </c>
      <c r="C172" s="93"/>
      <c r="D172" s="94" t="s">
        <v>287</v>
      </c>
      <c r="E172" s="95">
        <f>E173</f>
        <v>0</v>
      </c>
      <c r="F172" s="95">
        <f t="shared" ref="F172:J172" si="75">F173</f>
        <v>0</v>
      </c>
      <c r="G172" s="113">
        <v>0</v>
      </c>
      <c r="H172" s="114">
        <f t="shared" si="75"/>
        <v>0</v>
      </c>
      <c r="I172" s="115">
        <f t="shared" si="75"/>
        <v>0</v>
      </c>
      <c r="J172" s="114">
        <f t="shared" si="75"/>
        <v>0</v>
      </c>
      <c r="K172" s="298">
        <f t="shared" si="74"/>
        <v>0</v>
      </c>
      <c r="L172" s="34" t="e">
        <f t="shared" si="59"/>
        <v>#DIV/0!</v>
      </c>
    </row>
    <row r="173" spans="1:12" ht="56.25" hidden="1" x14ac:dyDescent="0.2">
      <c r="A173" s="645"/>
      <c r="B173" s="116"/>
      <c r="C173" s="116" t="s">
        <v>28</v>
      </c>
      <c r="D173" s="24" t="s">
        <v>29</v>
      </c>
      <c r="E173" s="50">
        <v>0</v>
      </c>
      <c r="F173" s="26"/>
      <c r="G173" s="27">
        <v>0</v>
      </c>
      <c r="H173" s="28"/>
      <c r="I173" s="29"/>
      <c r="J173" s="28"/>
      <c r="K173" s="298">
        <f t="shared" si="74"/>
        <v>0</v>
      </c>
      <c r="L173" s="31" t="e">
        <f t="shared" si="59"/>
        <v>#DIV/0!</v>
      </c>
    </row>
    <row r="174" spans="1:12" hidden="1" x14ac:dyDescent="0.2">
      <c r="A174" s="645"/>
      <c r="B174" s="93" t="s">
        <v>288</v>
      </c>
      <c r="C174" s="93"/>
      <c r="D174" s="94" t="s">
        <v>230</v>
      </c>
      <c r="E174" s="95">
        <f>E175</f>
        <v>0</v>
      </c>
      <c r="F174" s="95">
        <f t="shared" ref="F174:J174" si="76">F175</f>
        <v>0</v>
      </c>
      <c r="G174" s="113">
        <v>0</v>
      </c>
      <c r="H174" s="114">
        <f t="shared" si="76"/>
        <v>0</v>
      </c>
      <c r="I174" s="115">
        <f t="shared" si="76"/>
        <v>0</v>
      </c>
      <c r="J174" s="114">
        <f t="shared" si="76"/>
        <v>0</v>
      </c>
      <c r="K174" s="298">
        <f t="shared" si="74"/>
        <v>0</v>
      </c>
      <c r="L174" s="34" t="e">
        <f t="shared" si="59"/>
        <v>#DIV/0!</v>
      </c>
    </row>
    <row r="175" spans="1:12" ht="33.75" hidden="1" x14ac:dyDescent="0.2">
      <c r="A175" s="645"/>
      <c r="B175" s="116"/>
      <c r="C175" s="23" t="s">
        <v>175</v>
      </c>
      <c r="D175" s="24" t="s">
        <v>176</v>
      </c>
      <c r="E175" s="50">
        <v>0</v>
      </c>
      <c r="F175" s="26"/>
      <c r="G175" s="27">
        <v>0</v>
      </c>
      <c r="H175" s="28"/>
      <c r="I175" s="29"/>
      <c r="J175" s="28"/>
      <c r="K175" s="298">
        <f t="shared" si="74"/>
        <v>0</v>
      </c>
      <c r="L175" s="31" t="e">
        <f t="shared" si="59"/>
        <v>#DIV/0!</v>
      </c>
    </row>
    <row r="176" spans="1:12" hidden="1" x14ac:dyDescent="0.2">
      <c r="A176" s="645"/>
      <c r="B176" s="93" t="s">
        <v>289</v>
      </c>
      <c r="C176" s="93"/>
      <c r="D176" s="94" t="s">
        <v>290</v>
      </c>
      <c r="E176" s="95">
        <f>E177</f>
        <v>0</v>
      </c>
      <c r="F176" s="95">
        <f t="shared" ref="F176:J176" si="77">F177</f>
        <v>0</v>
      </c>
      <c r="G176" s="113">
        <v>0</v>
      </c>
      <c r="H176" s="114">
        <f t="shared" si="77"/>
        <v>0</v>
      </c>
      <c r="I176" s="115">
        <f t="shared" si="77"/>
        <v>0</v>
      </c>
      <c r="J176" s="114">
        <f t="shared" si="77"/>
        <v>0</v>
      </c>
      <c r="K176" s="298">
        <f t="shared" si="74"/>
        <v>0</v>
      </c>
      <c r="L176" s="34" t="e">
        <f t="shared" si="59"/>
        <v>#DIV/0!</v>
      </c>
    </row>
    <row r="177" spans="1:12" hidden="1" x14ac:dyDescent="0.2">
      <c r="A177" s="645"/>
      <c r="B177" s="116"/>
      <c r="C177" s="116"/>
      <c r="D177" s="121"/>
      <c r="E177" s="50">
        <v>0</v>
      </c>
      <c r="F177" s="26"/>
      <c r="G177" s="27">
        <v>0</v>
      </c>
      <c r="H177" s="28"/>
      <c r="I177" s="29"/>
      <c r="J177" s="28"/>
      <c r="K177" s="298">
        <f t="shared" si="74"/>
        <v>0</v>
      </c>
      <c r="L177" s="31" t="e">
        <f t="shared" si="59"/>
        <v>#DIV/0!</v>
      </c>
    </row>
    <row r="178" spans="1:12" hidden="1" x14ac:dyDescent="0.2">
      <c r="A178" s="645"/>
      <c r="B178" s="93" t="s">
        <v>291</v>
      </c>
      <c r="C178" s="93"/>
      <c r="D178" s="94" t="s">
        <v>292</v>
      </c>
      <c r="E178" s="95">
        <f>E179</f>
        <v>0</v>
      </c>
      <c r="F178" s="95">
        <f t="shared" ref="F178:J178" si="78">F179</f>
        <v>0</v>
      </c>
      <c r="G178" s="113">
        <v>0</v>
      </c>
      <c r="H178" s="114">
        <f t="shared" si="78"/>
        <v>0</v>
      </c>
      <c r="I178" s="115">
        <f t="shared" si="78"/>
        <v>0</v>
      </c>
      <c r="J178" s="114">
        <f t="shared" si="78"/>
        <v>0</v>
      </c>
      <c r="K178" s="298">
        <f t="shared" si="74"/>
        <v>0</v>
      </c>
      <c r="L178" s="34" t="e">
        <f t="shared" si="59"/>
        <v>#DIV/0!</v>
      </c>
    </row>
    <row r="179" spans="1:12" hidden="1" x14ac:dyDescent="0.2">
      <c r="A179" s="645"/>
      <c r="B179" s="122"/>
      <c r="C179" s="122"/>
      <c r="D179" s="123"/>
      <c r="E179" s="66">
        <v>0</v>
      </c>
      <c r="F179" s="124"/>
      <c r="G179" s="125">
        <v>0</v>
      </c>
      <c r="H179" s="126"/>
      <c r="I179" s="127"/>
      <c r="J179" s="126"/>
      <c r="K179" s="298">
        <f t="shared" si="74"/>
        <v>0</v>
      </c>
      <c r="L179" s="31" t="e">
        <f t="shared" si="59"/>
        <v>#DIV/0!</v>
      </c>
    </row>
    <row r="180" spans="1:12" ht="33.75" hidden="1" x14ac:dyDescent="0.2">
      <c r="A180" s="645"/>
      <c r="B180" s="93" t="s">
        <v>293</v>
      </c>
      <c r="C180" s="93"/>
      <c r="D180" s="94" t="s">
        <v>294</v>
      </c>
      <c r="E180" s="95">
        <f>E181+E182</f>
        <v>0</v>
      </c>
      <c r="F180" s="95">
        <f t="shared" ref="F180:J180" si="79">F181+F182</f>
        <v>0</v>
      </c>
      <c r="G180" s="113">
        <v>0</v>
      </c>
      <c r="H180" s="114">
        <f t="shared" si="79"/>
        <v>0</v>
      </c>
      <c r="I180" s="115">
        <f t="shared" si="79"/>
        <v>0</v>
      </c>
      <c r="J180" s="114">
        <f t="shared" si="79"/>
        <v>0</v>
      </c>
      <c r="K180" s="298">
        <f t="shared" si="74"/>
        <v>0</v>
      </c>
      <c r="L180" s="34" t="e">
        <f t="shared" si="59"/>
        <v>#DIV/0!</v>
      </c>
    </row>
    <row r="181" spans="1:12" hidden="1" x14ac:dyDescent="0.2">
      <c r="A181" s="645"/>
      <c r="B181" s="116"/>
      <c r="C181" s="116"/>
      <c r="D181" s="121"/>
      <c r="E181" s="50">
        <v>0</v>
      </c>
      <c r="F181" s="26"/>
      <c r="G181" s="27">
        <v>0</v>
      </c>
      <c r="H181" s="28"/>
      <c r="I181" s="29"/>
      <c r="J181" s="28"/>
      <c r="K181" s="298">
        <f t="shared" si="74"/>
        <v>0</v>
      </c>
      <c r="L181" s="31" t="e">
        <f t="shared" si="59"/>
        <v>#DIV/0!</v>
      </c>
    </row>
    <row r="182" spans="1:12" hidden="1" x14ac:dyDescent="0.2">
      <c r="A182" s="645"/>
      <c r="B182" s="116"/>
      <c r="C182" s="116"/>
      <c r="D182" s="121"/>
      <c r="E182" s="50">
        <v>0</v>
      </c>
      <c r="F182" s="26"/>
      <c r="G182" s="27">
        <v>0</v>
      </c>
      <c r="H182" s="28"/>
      <c r="I182" s="29"/>
      <c r="J182" s="28"/>
      <c r="K182" s="298">
        <f t="shared" si="74"/>
        <v>0</v>
      </c>
      <c r="L182" s="31" t="e">
        <f t="shared" si="59"/>
        <v>#DIV/0!</v>
      </c>
    </row>
    <row r="183" spans="1:12" hidden="1" x14ac:dyDescent="0.2">
      <c r="A183" s="645"/>
      <c r="B183" s="93" t="s">
        <v>295</v>
      </c>
      <c r="C183" s="93"/>
      <c r="D183" s="94" t="s">
        <v>296</v>
      </c>
      <c r="E183" s="95">
        <f>E184+E185</f>
        <v>0</v>
      </c>
      <c r="F183" s="95">
        <f t="shared" ref="F183:J183" si="80">F184+F185</f>
        <v>0</v>
      </c>
      <c r="G183" s="113">
        <v>0</v>
      </c>
      <c r="H183" s="114">
        <f t="shared" si="80"/>
        <v>0</v>
      </c>
      <c r="I183" s="115">
        <f t="shared" si="80"/>
        <v>0</v>
      </c>
      <c r="J183" s="114">
        <f t="shared" si="80"/>
        <v>0</v>
      </c>
      <c r="K183" s="298">
        <f t="shared" si="74"/>
        <v>0</v>
      </c>
      <c r="L183" s="34" t="e">
        <f t="shared" si="59"/>
        <v>#DIV/0!</v>
      </c>
    </row>
    <row r="184" spans="1:12" hidden="1" x14ac:dyDescent="0.2">
      <c r="A184" s="645"/>
      <c r="B184" s="116"/>
      <c r="C184" s="116" t="s">
        <v>28</v>
      </c>
      <c r="D184" s="121"/>
      <c r="E184" s="50">
        <v>0</v>
      </c>
      <c r="F184" s="26"/>
      <c r="G184" s="27">
        <v>0</v>
      </c>
      <c r="H184" s="28"/>
      <c r="I184" s="29"/>
      <c r="J184" s="28"/>
      <c r="K184" s="298">
        <f t="shared" si="74"/>
        <v>0</v>
      </c>
      <c r="L184" s="31" t="e">
        <f t="shared" si="59"/>
        <v>#DIV/0!</v>
      </c>
    </row>
    <row r="185" spans="1:12" hidden="1" x14ac:dyDescent="0.2">
      <c r="A185" s="646"/>
      <c r="B185" s="116"/>
      <c r="C185" s="116" t="s">
        <v>85</v>
      </c>
      <c r="D185" s="121"/>
      <c r="E185" s="50">
        <v>0</v>
      </c>
      <c r="F185" s="26"/>
      <c r="G185" s="27">
        <v>0</v>
      </c>
      <c r="H185" s="28"/>
      <c r="I185" s="29"/>
      <c r="J185" s="28"/>
      <c r="K185" s="298">
        <f t="shared" si="74"/>
        <v>0</v>
      </c>
      <c r="L185" s="31" t="e">
        <f t="shared" si="59"/>
        <v>#DIV/0!</v>
      </c>
    </row>
    <row r="186" spans="1:12" x14ac:dyDescent="0.2">
      <c r="A186" s="637" t="s">
        <v>297</v>
      </c>
      <c r="B186" s="128"/>
      <c r="C186" s="128"/>
      <c r="D186" s="129" t="s">
        <v>298</v>
      </c>
      <c r="E186" s="51">
        <f>E187+E193+E195</f>
        <v>2093864</v>
      </c>
      <c r="F186" s="104">
        <f t="shared" ref="F186:K186" si="81">F187+F193+F195</f>
        <v>1682011.29</v>
      </c>
      <c r="G186" s="105">
        <f t="shared" si="68"/>
        <v>0.8033049376654835</v>
      </c>
      <c r="H186" s="104">
        <f t="shared" si="81"/>
        <v>2080917.64</v>
      </c>
      <c r="I186" s="106">
        <f t="shared" si="81"/>
        <v>2134276</v>
      </c>
      <c r="J186" s="104">
        <f t="shared" si="81"/>
        <v>448.91</v>
      </c>
      <c r="K186" s="541">
        <f t="shared" si="81"/>
        <v>2134724.91</v>
      </c>
      <c r="L186" s="37">
        <f t="shared" si="59"/>
        <v>1.0195145959814009</v>
      </c>
    </row>
    <row r="187" spans="1:12" ht="15" x14ac:dyDescent="0.2">
      <c r="A187" s="571"/>
      <c r="B187" s="15" t="s">
        <v>299</v>
      </c>
      <c r="C187" s="16"/>
      <c r="D187" s="17" t="s">
        <v>300</v>
      </c>
      <c r="E187" s="18">
        <f>E188+E190+E189+E191+E192</f>
        <v>1844700</v>
      </c>
      <c r="F187" s="88">
        <f t="shared" ref="F187:K187" si="82">F188+F190+F189+F191+F192</f>
        <v>1238543.69</v>
      </c>
      <c r="G187" s="89">
        <f t="shared" si="68"/>
        <v>0.67140656475307636</v>
      </c>
      <c r="H187" s="88">
        <f t="shared" si="82"/>
        <v>1625176.95</v>
      </c>
      <c r="I187" s="90">
        <f t="shared" si="82"/>
        <v>1824276</v>
      </c>
      <c r="J187" s="88">
        <f t="shared" si="82"/>
        <v>0</v>
      </c>
      <c r="K187" s="136">
        <f t="shared" si="82"/>
        <v>1824276</v>
      </c>
      <c r="L187" s="34">
        <f t="shared" si="59"/>
        <v>0.98892828102130426</v>
      </c>
    </row>
    <row r="188" spans="1:12" ht="33.75" x14ac:dyDescent="0.2">
      <c r="A188" s="572"/>
      <c r="B188" s="22"/>
      <c r="C188" s="23" t="s">
        <v>46</v>
      </c>
      <c r="D188" s="24" t="s">
        <v>47</v>
      </c>
      <c r="E188" s="25" t="s">
        <v>301</v>
      </c>
      <c r="F188" s="26">
        <v>1233831.78</v>
      </c>
      <c r="G188" s="27">
        <f t="shared" si="68"/>
        <v>0.67030574238061613</v>
      </c>
      <c r="H188" s="28">
        <v>1619558.24</v>
      </c>
      <c r="I188" s="29">
        <v>1820276</v>
      </c>
      <c r="J188" s="28"/>
      <c r="K188" s="533">
        <f>I188+J188</f>
        <v>1820276</v>
      </c>
      <c r="L188" s="31">
        <f t="shared" si="59"/>
        <v>0.98890422122018795</v>
      </c>
    </row>
    <row r="189" spans="1:12" ht="22.5" x14ac:dyDescent="0.2">
      <c r="A189" s="572"/>
      <c r="B189" s="22"/>
      <c r="C189" s="35" t="s">
        <v>302</v>
      </c>
      <c r="D189" s="24" t="s">
        <v>303</v>
      </c>
      <c r="E189" s="25">
        <v>0</v>
      </c>
      <c r="F189" s="26">
        <v>1500</v>
      </c>
      <c r="G189" s="27">
        <v>0</v>
      </c>
      <c r="H189" s="28">
        <v>1500</v>
      </c>
      <c r="I189" s="29"/>
      <c r="J189" s="28"/>
      <c r="K189" s="533">
        <f t="shared" ref="K189:K192" si="83">I189+J189</f>
        <v>0</v>
      </c>
      <c r="L189" s="31">
        <v>0</v>
      </c>
    </row>
    <row r="190" spans="1:12" x14ac:dyDescent="0.2">
      <c r="A190" s="572"/>
      <c r="B190" s="22"/>
      <c r="C190" s="23" t="s">
        <v>40</v>
      </c>
      <c r="D190" s="24" t="s">
        <v>41</v>
      </c>
      <c r="E190" s="44" t="s">
        <v>79</v>
      </c>
      <c r="F190" s="45">
        <v>1958.4</v>
      </c>
      <c r="G190" s="27">
        <f t="shared" si="68"/>
        <v>0.48960000000000004</v>
      </c>
      <c r="H190" s="47">
        <v>2611.1999999999998</v>
      </c>
      <c r="I190" s="48">
        <v>4000</v>
      </c>
      <c r="J190" s="47"/>
      <c r="K190" s="533">
        <f t="shared" si="83"/>
        <v>4000</v>
      </c>
      <c r="L190" s="31">
        <f t="shared" si="59"/>
        <v>1</v>
      </c>
    </row>
    <row r="191" spans="1:12" ht="56.25" x14ac:dyDescent="0.2">
      <c r="A191" s="572"/>
      <c r="B191" s="22"/>
      <c r="C191" s="35" t="s">
        <v>23</v>
      </c>
      <c r="D191" s="49" t="s">
        <v>24</v>
      </c>
      <c r="E191" s="50">
        <v>0</v>
      </c>
      <c r="F191" s="26">
        <v>489.51</v>
      </c>
      <c r="G191" s="27">
        <v>0</v>
      </c>
      <c r="H191" s="28">
        <v>489.51</v>
      </c>
      <c r="I191" s="29"/>
      <c r="J191" s="28"/>
      <c r="K191" s="533">
        <f t="shared" si="83"/>
        <v>0</v>
      </c>
      <c r="L191" s="31">
        <v>0</v>
      </c>
    </row>
    <row r="192" spans="1:12" ht="22.5" x14ac:dyDescent="0.2">
      <c r="A192" s="572"/>
      <c r="B192" s="22"/>
      <c r="C192" s="23" t="s">
        <v>49</v>
      </c>
      <c r="D192" s="49" t="s">
        <v>50</v>
      </c>
      <c r="E192" s="50">
        <v>0</v>
      </c>
      <c r="F192" s="26">
        <v>764</v>
      </c>
      <c r="G192" s="27">
        <v>0</v>
      </c>
      <c r="H192" s="28">
        <v>1018</v>
      </c>
      <c r="I192" s="29"/>
      <c r="J192" s="28"/>
      <c r="K192" s="533">
        <f t="shared" si="83"/>
        <v>0</v>
      </c>
      <c r="L192" s="31">
        <v>0</v>
      </c>
    </row>
    <row r="193" spans="1:12" ht="22.5" x14ac:dyDescent="0.2">
      <c r="A193" s="571"/>
      <c r="B193" s="15" t="s">
        <v>304</v>
      </c>
      <c r="C193" s="16"/>
      <c r="D193" s="17" t="s">
        <v>305</v>
      </c>
      <c r="E193" s="54" t="str">
        <f>E194</f>
        <v>225 000,00</v>
      </c>
      <c r="F193" s="130">
        <f t="shared" ref="F193:K193" si="84">F194</f>
        <v>436185.74</v>
      </c>
      <c r="G193" s="131">
        <f>F193/E193</f>
        <v>1.9386032888888889</v>
      </c>
      <c r="H193" s="130">
        <f t="shared" si="84"/>
        <v>436185.74</v>
      </c>
      <c r="I193" s="132">
        <f t="shared" si="84"/>
        <v>300000</v>
      </c>
      <c r="J193" s="130">
        <f t="shared" si="84"/>
        <v>0</v>
      </c>
      <c r="K193" s="542">
        <f t="shared" si="84"/>
        <v>300000</v>
      </c>
      <c r="L193" s="34">
        <f t="shared" si="59"/>
        <v>1.3333333333333333</v>
      </c>
    </row>
    <row r="194" spans="1:12" x14ac:dyDescent="0.2">
      <c r="A194" s="572"/>
      <c r="B194" s="22"/>
      <c r="C194" s="23" t="s">
        <v>40</v>
      </c>
      <c r="D194" s="24" t="s">
        <v>41</v>
      </c>
      <c r="E194" s="25" t="s">
        <v>306</v>
      </c>
      <c r="F194" s="26">
        <v>436185.74</v>
      </c>
      <c r="G194" s="27">
        <f>F194/E194</f>
        <v>1.9386032888888889</v>
      </c>
      <c r="H194" s="28">
        <v>436185.74</v>
      </c>
      <c r="I194" s="29">
        <v>300000</v>
      </c>
      <c r="J194" s="28"/>
      <c r="K194" s="533">
        <f>I194+J194</f>
        <v>300000</v>
      </c>
      <c r="L194" s="31">
        <f t="shared" si="59"/>
        <v>1.3333333333333333</v>
      </c>
    </row>
    <row r="195" spans="1:12" ht="15" x14ac:dyDescent="0.2">
      <c r="A195" s="571"/>
      <c r="B195" s="15" t="s">
        <v>307</v>
      </c>
      <c r="C195" s="16"/>
      <c r="D195" s="17" t="s">
        <v>22</v>
      </c>
      <c r="E195" s="18">
        <f>E196+E197+E198</f>
        <v>24164</v>
      </c>
      <c r="F195" s="88">
        <f t="shared" ref="F195:K195" si="85">F196+F197+F198</f>
        <v>7281.8600000000006</v>
      </c>
      <c r="G195" s="89">
        <f>F195/E195</f>
        <v>0.30135159741764611</v>
      </c>
      <c r="H195" s="88">
        <f t="shared" si="85"/>
        <v>19554.949999999997</v>
      </c>
      <c r="I195" s="90">
        <f t="shared" si="85"/>
        <v>10000</v>
      </c>
      <c r="J195" s="88">
        <f t="shared" si="85"/>
        <v>448.91</v>
      </c>
      <c r="K195" s="136">
        <f t="shared" si="85"/>
        <v>10448.91</v>
      </c>
      <c r="L195" s="34">
        <f t="shared" si="59"/>
        <v>0.43241640456878</v>
      </c>
    </row>
    <row r="196" spans="1:12" x14ac:dyDescent="0.2">
      <c r="A196" s="572"/>
      <c r="B196" s="22"/>
      <c r="C196" s="23" t="s">
        <v>76</v>
      </c>
      <c r="D196" s="24" t="s">
        <v>77</v>
      </c>
      <c r="E196" s="25" t="s">
        <v>128</v>
      </c>
      <c r="F196" s="26">
        <v>7117.89</v>
      </c>
      <c r="G196" s="27">
        <f>F196/E196</f>
        <v>0.474526</v>
      </c>
      <c r="H196" s="28">
        <v>10081.719999999999</v>
      </c>
      <c r="I196" s="29">
        <v>10000</v>
      </c>
      <c r="J196" s="28">
        <v>448.91</v>
      </c>
      <c r="K196" s="533">
        <f>I196+J196</f>
        <v>10448.91</v>
      </c>
      <c r="L196" s="31">
        <f t="shared" si="59"/>
        <v>0.69659399999999994</v>
      </c>
    </row>
    <row r="197" spans="1:12" x14ac:dyDescent="0.2">
      <c r="A197" s="572"/>
      <c r="B197" s="22"/>
      <c r="C197" s="35" t="s">
        <v>26</v>
      </c>
      <c r="D197" s="24" t="s">
        <v>27</v>
      </c>
      <c r="E197" s="25">
        <v>0</v>
      </c>
      <c r="F197" s="26">
        <v>163.97</v>
      </c>
      <c r="G197" s="27">
        <v>0</v>
      </c>
      <c r="H197" s="28">
        <v>309.23</v>
      </c>
      <c r="I197" s="29"/>
      <c r="J197" s="28"/>
      <c r="K197" s="533">
        <f t="shared" ref="K197:K198" si="86">I197+J197</f>
        <v>0</v>
      </c>
      <c r="L197" s="31">
        <v>0</v>
      </c>
    </row>
    <row r="198" spans="1:12" ht="45" x14ac:dyDescent="0.2">
      <c r="A198" s="572"/>
      <c r="B198" s="22"/>
      <c r="C198" s="23" t="s">
        <v>308</v>
      </c>
      <c r="D198" s="24" t="s">
        <v>309</v>
      </c>
      <c r="E198" s="25" t="s">
        <v>310</v>
      </c>
      <c r="F198" s="26">
        <v>0</v>
      </c>
      <c r="G198" s="27">
        <f t="shared" ref="G198:G209" si="87">F198/E198</f>
        <v>0</v>
      </c>
      <c r="H198" s="28">
        <v>9164</v>
      </c>
      <c r="I198" s="29"/>
      <c r="J198" s="28"/>
      <c r="K198" s="533">
        <f t="shared" si="86"/>
        <v>0</v>
      </c>
      <c r="L198" s="31">
        <f t="shared" si="59"/>
        <v>0</v>
      </c>
    </row>
    <row r="199" spans="1:12" x14ac:dyDescent="0.2">
      <c r="A199" s="574" t="s">
        <v>311</v>
      </c>
      <c r="B199" s="39"/>
      <c r="C199" s="39"/>
      <c r="D199" s="40" t="s">
        <v>312</v>
      </c>
      <c r="E199" s="41">
        <f>E200+E202</f>
        <v>34184</v>
      </c>
      <c r="F199" s="133">
        <f t="shared" ref="F199:K199" si="88">F200+F202</f>
        <v>29225.059999999998</v>
      </c>
      <c r="G199" s="134">
        <f t="shared" si="87"/>
        <v>0.85493388719868935</v>
      </c>
      <c r="H199" s="133">
        <f t="shared" si="88"/>
        <v>37821.879999999997</v>
      </c>
      <c r="I199" s="135">
        <f t="shared" si="88"/>
        <v>20000</v>
      </c>
      <c r="J199" s="133">
        <f t="shared" si="88"/>
        <v>0</v>
      </c>
      <c r="K199" s="543">
        <f t="shared" si="88"/>
        <v>20000</v>
      </c>
      <c r="L199" s="37">
        <f t="shared" si="59"/>
        <v>0.58506903814650124</v>
      </c>
    </row>
    <row r="200" spans="1:12" ht="15" x14ac:dyDescent="0.2">
      <c r="A200" s="571"/>
      <c r="B200" s="15" t="s">
        <v>313</v>
      </c>
      <c r="C200" s="16"/>
      <c r="D200" s="17" t="s">
        <v>314</v>
      </c>
      <c r="E200" s="18" t="str">
        <f>E201</f>
        <v>16 184,00</v>
      </c>
      <c r="F200" s="88">
        <f t="shared" ref="F200:K200" si="89">F201</f>
        <v>10551</v>
      </c>
      <c r="G200" s="89">
        <f t="shared" si="87"/>
        <v>0.65194018783984187</v>
      </c>
      <c r="H200" s="88">
        <f t="shared" si="89"/>
        <v>16184</v>
      </c>
      <c r="I200" s="90">
        <f t="shared" si="89"/>
        <v>0</v>
      </c>
      <c r="J200" s="88">
        <f t="shared" si="89"/>
        <v>0</v>
      </c>
      <c r="K200" s="136">
        <f t="shared" si="89"/>
        <v>0</v>
      </c>
      <c r="L200" s="34">
        <f t="shared" si="59"/>
        <v>0</v>
      </c>
    </row>
    <row r="201" spans="1:12" ht="56.25" x14ac:dyDescent="0.2">
      <c r="A201" s="572"/>
      <c r="B201" s="22"/>
      <c r="C201" s="23" t="s">
        <v>221</v>
      </c>
      <c r="D201" s="24" t="s">
        <v>222</v>
      </c>
      <c r="E201" s="25" t="s">
        <v>315</v>
      </c>
      <c r="F201" s="26">
        <v>10551</v>
      </c>
      <c r="G201" s="27">
        <f t="shared" si="87"/>
        <v>0.65194018783984187</v>
      </c>
      <c r="H201" s="28">
        <v>16184</v>
      </c>
      <c r="I201" s="29"/>
      <c r="J201" s="28"/>
      <c r="K201" s="533">
        <f>I201+J201</f>
        <v>0</v>
      </c>
      <c r="L201" s="31">
        <f t="shared" si="59"/>
        <v>0</v>
      </c>
    </row>
    <row r="202" spans="1:12" ht="15" x14ac:dyDescent="0.2">
      <c r="A202" s="571"/>
      <c r="B202" s="15" t="s">
        <v>316</v>
      </c>
      <c r="C202" s="16"/>
      <c r="D202" s="17" t="s">
        <v>317</v>
      </c>
      <c r="E202" s="18">
        <f>E203+E204</f>
        <v>18000</v>
      </c>
      <c r="F202" s="18">
        <f>F203+F204</f>
        <v>18674.059999999998</v>
      </c>
      <c r="G202" s="89">
        <f t="shared" si="87"/>
        <v>1.0374477777777777</v>
      </c>
      <c r="H202" s="88">
        <f>H203+H204</f>
        <v>21637.879999999997</v>
      </c>
      <c r="I202" s="90">
        <f>I203+I204</f>
        <v>20000</v>
      </c>
      <c r="J202" s="90">
        <f t="shared" ref="J202:K202" si="90">J203+J204</f>
        <v>0</v>
      </c>
      <c r="K202" s="136">
        <f t="shared" si="90"/>
        <v>20000</v>
      </c>
      <c r="L202" s="34">
        <f t="shared" si="59"/>
        <v>1.1111111111111112</v>
      </c>
    </row>
    <row r="203" spans="1:12" x14ac:dyDescent="0.2">
      <c r="A203" s="572"/>
      <c r="B203" s="22"/>
      <c r="C203" s="23" t="s">
        <v>76</v>
      </c>
      <c r="D203" s="24" t="s">
        <v>77</v>
      </c>
      <c r="E203" s="25" t="s">
        <v>223</v>
      </c>
      <c r="F203" s="26">
        <v>18658.439999999999</v>
      </c>
      <c r="G203" s="27">
        <f t="shared" si="87"/>
        <v>1.0365799999999998</v>
      </c>
      <c r="H203" s="28">
        <v>21622.26</v>
      </c>
      <c r="I203" s="29">
        <v>20000</v>
      </c>
      <c r="J203" s="28"/>
      <c r="K203" s="533">
        <f>I203+J203</f>
        <v>20000</v>
      </c>
      <c r="L203" s="31">
        <f t="shared" si="59"/>
        <v>1.1111111111111112</v>
      </c>
    </row>
    <row r="204" spans="1:12" x14ac:dyDescent="0.2">
      <c r="A204" s="572"/>
      <c r="B204" s="22"/>
      <c r="C204" s="35" t="s">
        <v>26</v>
      </c>
      <c r="D204" s="24" t="s">
        <v>27</v>
      </c>
      <c r="E204" s="25">
        <v>0</v>
      </c>
      <c r="F204" s="26">
        <v>15.62</v>
      </c>
      <c r="G204" s="27">
        <v>0</v>
      </c>
      <c r="H204" s="28">
        <v>15.62</v>
      </c>
      <c r="I204" s="29"/>
      <c r="J204" s="28"/>
      <c r="K204" s="533">
        <f>I204+J204</f>
        <v>0</v>
      </c>
      <c r="L204" s="31">
        <v>0</v>
      </c>
    </row>
    <row r="205" spans="1:12" x14ac:dyDescent="0.2">
      <c r="A205" s="574" t="s">
        <v>318</v>
      </c>
      <c r="B205" s="39"/>
      <c r="C205" s="39"/>
      <c r="D205" s="40" t="s">
        <v>319</v>
      </c>
      <c r="E205" s="41">
        <f>E206</f>
        <v>13562</v>
      </c>
      <c r="F205" s="137">
        <f t="shared" ref="F205:K205" si="91">F206</f>
        <v>0</v>
      </c>
      <c r="G205" s="138">
        <f t="shared" si="87"/>
        <v>0</v>
      </c>
      <c r="H205" s="139">
        <f t="shared" si="91"/>
        <v>14147.439999999999</v>
      </c>
      <c r="I205" s="140">
        <f t="shared" si="91"/>
        <v>0</v>
      </c>
      <c r="J205" s="139">
        <f t="shared" si="91"/>
        <v>0</v>
      </c>
      <c r="K205" s="544">
        <f t="shared" si="91"/>
        <v>0</v>
      </c>
      <c r="L205" s="37">
        <f t="shared" ref="L205:L220" si="92">K205/E205</f>
        <v>0</v>
      </c>
    </row>
    <row r="206" spans="1:12" ht="15" x14ac:dyDescent="0.2">
      <c r="A206" s="571"/>
      <c r="B206" s="15" t="s">
        <v>320</v>
      </c>
      <c r="C206" s="16"/>
      <c r="D206" s="17" t="s">
        <v>22</v>
      </c>
      <c r="E206" s="60">
        <f>E208+E207</f>
        <v>13562</v>
      </c>
      <c r="F206" s="141">
        <f t="shared" ref="F206:K206" si="93">F208+F207</f>
        <v>0</v>
      </c>
      <c r="G206" s="142">
        <f t="shared" si="87"/>
        <v>0</v>
      </c>
      <c r="H206" s="141">
        <f t="shared" si="93"/>
        <v>14147.439999999999</v>
      </c>
      <c r="I206" s="143">
        <f t="shared" si="93"/>
        <v>0</v>
      </c>
      <c r="J206" s="141">
        <f t="shared" si="93"/>
        <v>0</v>
      </c>
      <c r="K206" s="545">
        <f t="shared" si="93"/>
        <v>0</v>
      </c>
      <c r="L206" s="34">
        <f t="shared" si="92"/>
        <v>0</v>
      </c>
    </row>
    <row r="207" spans="1:12" s="71" customFormat="1" ht="56.25" x14ac:dyDescent="0.2">
      <c r="A207" s="575"/>
      <c r="B207" s="64"/>
      <c r="C207" s="65" t="s">
        <v>171</v>
      </c>
      <c r="D207" s="49" t="s">
        <v>172</v>
      </c>
      <c r="E207" s="67">
        <v>0</v>
      </c>
      <c r="F207" s="144">
        <v>0</v>
      </c>
      <c r="G207" s="145">
        <v>0</v>
      </c>
      <c r="H207" s="146">
        <v>585.23</v>
      </c>
      <c r="I207" s="147"/>
      <c r="J207" s="146"/>
      <c r="K207" s="546">
        <f>I207+J207</f>
        <v>0</v>
      </c>
      <c r="L207" s="31">
        <v>0</v>
      </c>
    </row>
    <row r="208" spans="1:12" ht="56.25" x14ac:dyDescent="0.2">
      <c r="A208" s="572"/>
      <c r="B208" s="22"/>
      <c r="C208" s="23" t="s">
        <v>55</v>
      </c>
      <c r="D208" s="24" t="s">
        <v>56</v>
      </c>
      <c r="E208" s="148" t="s">
        <v>321</v>
      </c>
      <c r="F208" s="559">
        <v>0</v>
      </c>
      <c r="G208" s="560">
        <f t="shared" si="87"/>
        <v>0</v>
      </c>
      <c r="H208" s="561">
        <v>13562.21</v>
      </c>
      <c r="I208" s="562"/>
      <c r="J208" s="561"/>
      <c r="K208" s="563">
        <f>I208+J208</f>
        <v>0</v>
      </c>
      <c r="L208" s="31">
        <f t="shared" si="92"/>
        <v>0</v>
      </c>
    </row>
    <row r="209" spans="1:13" x14ac:dyDescent="0.2">
      <c r="A209" s="650" t="s">
        <v>322</v>
      </c>
      <c r="B209" s="651"/>
      <c r="C209" s="651"/>
      <c r="D209" s="652"/>
      <c r="E209" s="304">
        <f>E205+E199+E186+E160+E126+E102+E85+E53+E49+E46+E38+E23+E18+E15+E4+E12+E164</f>
        <v>63480197.31000001</v>
      </c>
      <c r="F209" s="304">
        <f>F205+F199+F186+F160+F126+F102+F85+F53+F49+F46+F38+F23+F18+F15+F4+F12+F164</f>
        <v>49963095.090000004</v>
      </c>
      <c r="G209" s="566">
        <f t="shared" si="87"/>
        <v>0.78706584426651327</v>
      </c>
      <c r="H209" s="306">
        <f>H205+H199+H186+H160+H126+H102+H85+H53+H49+H46+H38+H23+H18+H15+H4+H12+H164</f>
        <v>63170899.470000006</v>
      </c>
      <c r="I209" s="567">
        <f>I205+I199+I186+I160+I126+I102+I85+I53+I49+I46+I38+I23+I18+I15+I4+I12+I164</f>
        <v>63478567.670000002</v>
      </c>
      <c r="J209" s="306">
        <f>J205+J199+J186+J160+J126+J102+J85+J53+J49+J46+J38+J23+J18+J15+J4+J12+J164</f>
        <v>3284172.91</v>
      </c>
      <c r="K209" s="308">
        <f>K205+K199+K186+K160+K126+K102+K85+K53+K49+K46+K38+K23+K18+K15+K4+K12+K164</f>
        <v>66762740.579999998</v>
      </c>
      <c r="L209" s="568">
        <f t="shared" si="92"/>
        <v>1.0517097206546158</v>
      </c>
    </row>
    <row r="210" spans="1:13" customFormat="1" ht="15" x14ac:dyDescent="0.25">
      <c r="A210" s="149"/>
      <c r="B210" s="149"/>
      <c r="C210" s="149"/>
      <c r="D210" s="149" t="s">
        <v>323</v>
      </c>
      <c r="E210" s="150"/>
      <c r="F210" s="150"/>
      <c r="G210" s="150"/>
      <c r="H210" s="150"/>
      <c r="I210" s="150"/>
      <c r="J210" s="150"/>
      <c r="K210" s="547"/>
      <c r="L210" s="577"/>
    </row>
    <row r="211" spans="1:13" customFormat="1" ht="15" x14ac:dyDescent="0.25">
      <c r="A211" s="586"/>
      <c r="B211" s="151"/>
      <c r="C211" s="152"/>
      <c r="D211" s="153" t="s">
        <v>324</v>
      </c>
      <c r="E211" s="154">
        <f>E213+E214+E215+E218+E219+E220</f>
        <v>62159087.960000001</v>
      </c>
      <c r="F211" s="154">
        <f t="shared" ref="F211:K211" si="94">F213+F214+F215+F218+F219+F220</f>
        <v>48973923.620000005</v>
      </c>
      <c r="G211" s="155">
        <f>F211/E211</f>
        <v>0.78788034424692999</v>
      </c>
      <c r="H211" s="154">
        <f t="shared" si="94"/>
        <v>61844523.289999999</v>
      </c>
      <c r="I211" s="154">
        <f t="shared" si="94"/>
        <v>62472567.670000002</v>
      </c>
      <c r="J211" s="520">
        <f t="shared" si="94"/>
        <v>3284172.91</v>
      </c>
      <c r="K211" s="548">
        <f t="shared" si="94"/>
        <v>65756740.579999998</v>
      </c>
      <c r="L211" s="578">
        <f t="shared" si="92"/>
        <v>1.0578781436161857</v>
      </c>
    </row>
    <row r="212" spans="1:13" customFormat="1" ht="15" x14ac:dyDescent="0.25">
      <c r="A212" s="586"/>
      <c r="B212" s="151"/>
      <c r="C212" s="152"/>
      <c r="D212" s="156" t="s">
        <v>325</v>
      </c>
      <c r="E212" s="157"/>
      <c r="F212" s="157"/>
      <c r="G212" s="158"/>
      <c r="H212" s="157"/>
      <c r="I212" s="157"/>
      <c r="J212" s="521"/>
      <c r="K212" s="549"/>
      <c r="L212" s="579"/>
    </row>
    <row r="213" spans="1:13" customFormat="1" ht="15" x14ac:dyDescent="0.25">
      <c r="A213" s="587"/>
      <c r="B213" s="159"/>
      <c r="C213" s="162" t="s">
        <v>326</v>
      </c>
      <c r="D213" s="163" t="s">
        <v>327</v>
      </c>
      <c r="E213" s="164">
        <f>E83</f>
        <v>8525358</v>
      </c>
      <c r="F213" s="164">
        <f>F83</f>
        <v>6138850</v>
      </c>
      <c r="G213" s="165">
        <f>F213/E213</f>
        <v>0.72006946805049121</v>
      </c>
      <c r="H213" s="164">
        <f t="shared" ref="H213:K214" si="95">H83</f>
        <v>8472850</v>
      </c>
      <c r="I213" s="164">
        <f t="shared" si="95"/>
        <v>9801438</v>
      </c>
      <c r="J213" s="523">
        <f t="shared" si="95"/>
        <v>0</v>
      </c>
      <c r="K213" s="551">
        <f t="shared" si="95"/>
        <v>9801438</v>
      </c>
      <c r="L213" s="580">
        <f>K213/E213</f>
        <v>1.149680517815205</v>
      </c>
    </row>
    <row r="214" spans="1:13" customFormat="1" ht="15" x14ac:dyDescent="0.25">
      <c r="A214" s="587"/>
      <c r="B214" s="159"/>
      <c r="C214" s="162" t="s">
        <v>328</v>
      </c>
      <c r="D214" s="163" t="s">
        <v>329</v>
      </c>
      <c r="E214" s="166">
        <f>E84</f>
        <v>1400000</v>
      </c>
      <c r="F214" s="166">
        <f>F84</f>
        <v>828962.55</v>
      </c>
      <c r="G214" s="165">
        <f>F214/E214</f>
        <v>0.59211610714285723</v>
      </c>
      <c r="H214" s="166">
        <f t="shared" si="95"/>
        <v>1105283.3999999999</v>
      </c>
      <c r="I214" s="166">
        <f t="shared" si="95"/>
        <v>1000000</v>
      </c>
      <c r="J214" s="524">
        <f t="shared" si="95"/>
        <v>200000</v>
      </c>
      <c r="K214" s="552">
        <f t="shared" si="95"/>
        <v>1200000</v>
      </c>
      <c r="L214" s="580">
        <f t="shared" si="92"/>
        <v>0.8571428571428571</v>
      </c>
    </row>
    <row r="215" spans="1:13" customFormat="1" ht="15" x14ac:dyDescent="0.25">
      <c r="A215" s="587"/>
      <c r="B215" s="159"/>
      <c r="C215" s="162" t="s">
        <v>330</v>
      </c>
      <c r="D215" s="163" t="s">
        <v>331</v>
      </c>
      <c r="E215" s="167">
        <f>E190+E188+E113+E112+E80+E79+E78+E77+E74+E73+E72+E71+E70+E69+E68+E67+E63+E62+E61+E60+E59+E58+E55+E44+E30+E29+E28+E27+E21+E20+E17+E194+E91</f>
        <v>13328290.809999999</v>
      </c>
      <c r="F215" s="167">
        <f>F190+F188+F113+F112+F80+F79+F78+F77+F74+F73+F72+F71+F70+F69+F68+F67+F63+F62+F61+F60+F59+F58+F55+F44+F30+F29+F28+F27+F21+F20+F17+F194+F91</f>
        <v>10323656.43</v>
      </c>
      <c r="G215" s="165">
        <f>F215/E215</f>
        <v>0.77456716522529123</v>
      </c>
      <c r="H215" s="167">
        <f>H190+H188+H113+H112+H80+H79+H78+H77+H74+H73+H72+H71+H70+H69+H68+H67+H63+H62+H61+H60+H59+H58+H55+H44+H30+H29+H28+H27+H21+H20+H17+H194+H91</f>
        <v>13415287.239999998</v>
      </c>
      <c r="I215" s="167">
        <f>I190+I188+I113+I112+I80+I79+I78+I77+I74+I73+I72+I71+I70+I69+I68+I67+I63+I62+I61+I60+I59+I58+I55+I44+I30+I29+I28+I27+I21+I20+I17+I194+I91</f>
        <v>13619988.670000002</v>
      </c>
      <c r="J215" s="525">
        <f>J190+J188+J113+J112+J80+J79+J78+J77+J74+J73+J72+J71+J70+J69+J68+J67+J63+J62+J61+J60+J59+J58+J55+J44+J30+J29+J28+J27+J21+J20+J17+J194+J91</f>
        <v>227000</v>
      </c>
      <c r="K215" s="553">
        <f>K190+K188+K113+K112+K80+K79+K78+K77+K74+K73+K72+K71+K70+K69+K68+K67+K63+K62+K61+K60+K59+K58+K55+K44+K30+K29+K28+K27+K21+K20+K17+K194+K91</f>
        <v>13846988.670000002</v>
      </c>
      <c r="L215" s="580">
        <f t="shared" si="92"/>
        <v>1.0389170575127933</v>
      </c>
    </row>
    <row r="216" spans="1:13" customFormat="1" ht="15" x14ac:dyDescent="0.25">
      <c r="A216" s="587"/>
      <c r="B216" s="159"/>
      <c r="C216" s="168"/>
      <c r="D216" s="163" t="s">
        <v>332</v>
      </c>
      <c r="E216" s="167"/>
      <c r="F216" s="161"/>
      <c r="G216" s="160"/>
      <c r="H216" s="161"/>
      <c r="I216" s="161"/>
      <c r="J216" s="522"/>
      <c r="K216" s="550"/>
      <c r="L216" s="580"/>
    </row>
    <row r="217" spans="1:13" customFormat="1" ht="15" x14ac:dyDescent="0.25">
      <c r="A217" s="587"/>
      <c r="B217" s="159"/>
      <c r="C217" s="168" t="s">
        <v>333</v>
      </c>
      <c r="D217" s="163" t="s">
        <v>334</v>
      </c>
      <c r="E217" s="167">
        <f>E67+E58</f>
        <v>8411375.8099999987</v>
      </c>
      <c r="F217" s="167">
        <f>F67+F58</f>
        <v>6338931.8200000003</v>
      </c>
      <c r="G217" s="165">
        <f>F217/E217</f>
        <v>0.75361414864662923</v>
      </c>
      <c r="H217" s="167">
        <f>H67+H58</f>
        <v>8575136.9399999995</v>
      </c>
      <c r="I217" s="167">
        <f>I67+I58</f>
        <v>8643880.6699999999</v>
      </c>
      <c r="J217" s="525">
        <f>J67+J58</f>
        <v>20000</v>
      </c>
      <c r="K217" s="553">
        <f>K67+K58</f>
        <v>8663880.6699999999</v>
      </c>
      <c r="L217" s="580">
        <f t="shared" si="92"/>
        <v>1.0300194481501834</v>
      </c>
    </row>
    <row r="218" spans="1:13" customFormat="1" ht="15" x14ac:dyDescent="0.25">
      <c r="A218" s="587"/>
      <c r="B218" s="159"/>
      <c r="C218" s="162" t="s">
        <v>335</v>
      </c>
      <c r="D218" s="163" t="s">
        <v>336</v>
      </c>
      <c r="E218" s="167">
        <f>E87+E89+E101</f>
        <v>16516728</v>
      </c>
      <c r="F218" s="167">
        <f>F87+F89+F101</f>
        <v>13675685</v>
      </c>
      <c r="G218" s="165">
        <f>F218/E218</f>
        <v>0.82798996266088543</v>
      </c>
      <c r="H218" s="167">
        <f>H87+H89+H101</f>
        <v>16516728</v>
      </c>
      <c r="I218" s="167">
        <f>I87+I89+I101</f>
        <v>18060958</v>
      </c>
      <c r="J218" s="525">
        <f>J87+J89+J101</f>
        <v>0</v>
      </c>
      <c r="K218" s="553">
        <f>K87+K89+K101</f>
        <v>18060958</v>
      </c>
      <c r="L218" s="580">
        <f t="shared" si="92"/>
        <v>1.0934949101298999</v>
      </c>
    </row>
    <row r="219" spans="1:13" customFormat="1" ht="15" x14ac:dyDescent="0.25">
      <c r="A219" s="587"/>
      <c r="B219" s="159"/>
      <c r="C219" s="162" t="s">
        <v>337</v>
      </c>
      <c r="D219" s="163" t="s">
        <v>338</v>
      </c>
      <c r="E219" s="167">
        <f>E201+E198+E184+E181+E179+E177+E175+E173+E169+E166+E163+E162+E158+E157+E155+E152+E149+E146+E144+E142+E138+E137+E133+E130+E128+E125+E123+E120+E117+E116+E110+E107+E95+E40+E10+E48</f>
        <v>19495017.839999996</v>
      </c>
      <c r="F219" s="167">
        <f>F201+F198+F184+F181+F179+F177+F175+F173+F169+F166+F163+F162+F158+F157+F155+F152+F149+F146+F144+F142+F138+F137+F133+F130+F128+F125+F123+F120+F117+F116+F110+F107+F95+F40+F10+F48</f>
        <v>15686707.820000002</v>
      </c>
      <c r="G219" s="165">
        <f t="shared" ref="G219:G220" si="96">F219/E219</f>
        <v>0.80465213977972971</v>
      </c>
      <c r="H219" s="167">
        <f>H201+H198+H184+H181+H179+H177+H175+H173+H169+H166+H163+H162+H158+H157+H155+H152+H149+H146+H144+H142+H138+H137+H133+H130+H128+H125+H123+H120+H117+H116+H110+H107+H95+H40+H10+H48</f>
        <v>19487345.759999998</v>
      </c>
      <c r="I219" s="167">
        <f>I201+I198+I184+I181+I179+I177+I175+I173+I169+I166+I163+I162+I158+I157+I155+I152+I149+I146+I144+I142+I138+I137+I133+I130+I128+I125+I123+I120+I117+I116+I110+I107+I95+I40+I10+I48</f>
        <v>18657043</v>
      </c>
      <c r="J219" s="525">
        <f>J201+J198+J184+J181+J179+J177+J175+J173+J169+J166+J163+J162+J158+J157+J155+J152+J149+J146+J144+J142+J138+J137+J133+J130+J128+J125+J123+J120+J117+J116+J110+J107+J95+J40+J10+J48</f>
        <v>2659999</v>
      </c>
      <c r="K219" s="553">
        <f>K201+K198+K184+K181+K179+K177+K175+K173+K169+K166+K163+K162+K158+K157+K155+K152+K149+K146+K144+K142+K138+K137+K133+K130+K128+K125+K123+K120+K117+K116+K110+K107+K95+K40+K10+K48</f>
        <v>21317042</v>
      </c>
      <c r="L219" s="580">
        <f t="shared" si="92"/>
        <v>1.0934610152682991</v>
      </c>
    </row>
    <row r="220" spans="1:13" customFormat="1" ht="15" x14ac:dyDescent="0.25">
      <c r="A220" s="587"/>
      <c r="B220" s="159"/>
      <c r="C220" s="162" t="s">
        <v>339</v>
      </c>
      <c r="D220" s="163" t="s">
        <v>340</v>
      </c>
      <c r="E220" s="167">
        <f>E208+E207+E204+E203+E197+E196+E192+E191+E189+E185+E153+E151+E147+E141+E139+E135+E134+E132+E122+E119+E115+E114+E109+E106+E105+E104+E97+E94+E93+E81+E75+E65+E64+E56+E52+E51+E45+E43+E41+E37+E36+E35+E32+E31+E25+E22+E9+E8+E168+E171+E96+E92+E159+E170</f>
        <v>2893693.31</v>
      </c>
      <c r="F220" s="167">
        <f>F208+F207+F204+F203+F197+F196+F192+F191+F189+F185+F153+F151+F147+F141+F139+F135+F134+F132+F122+F119+F115+F114+F109+F106+F105+F104+F97+F94+F93+F81+F75+F65+F64+F56+F52+F51+F45+F43+F41+F37+F36+F35+F32+F31+F25+F22+F9+F8+F168+F171+F96+F92+F159+F170</f>
        <v>2320061.8200000003</v>
      </c>
      <c r="G220" s="165">
        <f t="shared" si="96"/>
        <v>0.80176493202729915</v>
      </c>
      <c r="H220" s="167">
        <f>H208+H207+H204+H203+H197+H196+H192+H191+H189+H185+H153+H151+H147+H141+H139+H135+H134+H132+H122+H119+H115+H114+H109+H106+H105+H104+H97+H94+H93+H81+H75+H65+H64+H56+H52+H51+H45+H43+H41+H37+H36+H35+H32+H31+H25+H22+H9+H8+H168+H171+H96+H92+H159+H170</f>
        <v>2847028.89</v>
      </c>
      <c r="I220" s="167">
        <f>I208+I207+I204+I203+I197+I196+I192+I191+I189+I185+I153+I151+I147+I141+I139+I135+I134+I132+I122+I119+I115+I114+I109+I106+I105+I104+I97+I94+I93+I81+I75+I65+I64+I56+I52+I51+I45+I43+I41+I37+I36+I35+I32+I31+I25+I22+I9+I8+I168+I171+I96+I92+I159+I170</f>
        <v>1333140</v>
      </c>
      <c r="J220" s="525">
        <f>J208+J207+J204+J203+J197+J196+J192+J191+J189+J185+J153+J151+J147+J141+J139+J135+J134+J132+J122+J119+J115+J114+J109+J106+J105+J104+J97+J94+J93+J81+J75+J65+J64+J56+J52+J51+J45+J43+J41+J37+J36+J35+J32+J31+J25+J22+J9+J8+J168+J171+J96+J92+J159+J170</f>
        <v>197173.91</v>
      </c>
      <c r="K220" s="553">
        <f>K208+K207+K204+K203+K197+K196+K192+K191+K189+K185+K153+K151+K147+K141+K139+K135+K134+K132+K122+K119+K115+K114+K109+K106+K105+K104+K97+K94+K93+K81+K75+K65+K64+K56+K52+K51+K45+K43+K41+K37+K36+K35+K32+K31+K25+K22+K9+K8+K168+K171+K96+K92+K159+K170</f>
        <v>1530313.9100000001</v>
      </c>
      <c r="L220" s="580">
        <f t="shared" si="92"/>
        <v>0.52884454088882005</v>
      </c>
    </row>
    <row r="221" spans="1:13" customFormat="1" ht="15" x14ac:dyDescent="0.25">
      <c r="A221" s="586"/>
      <c r="B221" s="151"/>
      <c r="C221" s="169"/>
      <c r="D221" s="153" t="s">
        <v>341</v>
      </c>
      <c r="E221" s="170">
        <f>E223+E224+E225+E226</f>
        <v>1321109.3500000001</v>
      </c>
      <c r="F221" s="170">
        <f t="shared" ref="F221:K221" si="97">F223+F224+F225+F226</f>
        <v>989171.47</v>
      </c>
      <c r="G221" s="171">
        <f>F221/E221</f>
        <v>0.74874306960283032</v>
      </c>
      <c r="H221" s="170">
        <f t="shared" si="97"/>
        <v>1326376.1800000002</v>
      </c>
      <c r="I221" s="170">
        <f t="shared" si="97"/>
        <v>1006000</v>
      </c>
      <c r="J221" s="526">
        <f t="shared" si="97"/>
        <v>0</v>
      </c>
      <c r="K221" s="554">
        <f t="shared" si="97"/>
        <v>1006000</v>
      </c>
      <c r="L221" s="578">
        <f t="shared" ref="L221:L226" si="98">K221/E221</f>
        <v>0.76148125058686467</v>
      </c>
    </row>
    <row r="222" spans="1:13" customFormat="1" ht="15" x14ac:dyDescent="0.25">
      <c r="A222" s="586"/>
      <c r="B222" s="151"/>
      <c r="C222" s="169"/>
      <c r="D222" s="172" t="s">
        <v>342</v>
      </c>
      <c r="E222" s="173"/>
      <c r="F222" s="174"/>
      <c r="G222" s="175"/>
      <c r="H222" s="174"/>
      <c r="I222" s="174"/>
      <c r="J222" s="527"/>
      <c r="K222" s="555"/>
      <c r="L222" s="581"/>
    </row>
    <row r="223" spans="1:13" customFormat="1" ht="15" x14ac:dyDescent="0.25">
      <c r="A223" s="587"/>
      <c r="B223" s="159"/>
      <c r="C223" s="176" t="s">
        <v>326</v>
      </c>
      <c r="D223" s="163" t="s">
        <v>343</v>
      </c>
      <c r="E223" s="177">
        <f>E14+E34</f>
        <v>1000000</v>
      </c>
      <c r="F223" s="177">
        <f>F14+F34</f>
        <v>664968.62</v>
      </c>
      <c r="G223" s="178">
        <f>F223/E223</f>
        <v>0.66496862000000001</v>
      </c>
      <c r="H223" s="177">
        <f>H14+H34</f>
        <v>1001462</v>
      </c>
      <c r="I223" s="177">
        <f>I14+I34</f>
        <v>1000000</v>
      </c>
      <c r="J223" s="528">
        <f>J14+J34</f>
        <v>0</v>
      </c>
      <c r="K223" s="556">
        <f>K14+K34</f>
        <v>1000000</v>
      </c>
      <c r="L223" s="580">
        <f t="shared" si="98"/>
        <v>1</v>
      </c>
      <c r="M223" s="565"/>
    </row>
    <row r="224" spans="1:13" customFormat="1" ht="36" x14ac:dyDescent="0.25">
      <c r="A224" s="587"/>
      <c r="B224" s="159"/>
      <c r="C224" s="176" t="s">
        <v>328</v>
      </c>
      <c r="D224" s="179" t="s">
        <v>344</v>
      </c>
      <c r="E224" s="177" t="str">
        <f>E33</f>
        <v>4 500,00</v>
      </c>
      <c r="F224" s="177">
        <f>F33</f>
        <v>7593.5</v>
      </c>
      <c r="G224" s="178">
        <f>F224/E224</f>
        <v>1.6874444444444445</v>
      </c>
      <c r="H224" s="177">
        <f>H33</f>
        <v>8304.83</v>
      </c>
      <c r="I224" s="177">
        <f>I33</f>
        <v>6000</v>
      </c>
      <c r="J224" s="528">
        <f>J33</f>
        <v>0</v>
      </c>
      <c r="K224" s="556">
        <f>K33</f>
        <v>6000</v>
      </c>
      <c r="L224" s="580">
        <f t="shared" si="98"/>
        <v>1.3333333333333333</v>
      </c>
    </row>
    <row r="225" spans="1:12" customFormat="1" ht="15" x14ac:dyDescent="0.25">
      <c r="A225" s="587"/>
      <c r="B225" s="159"/>
      <c r="C225" s="180" t="s">
        <v>330</v>
      </c>
      <c r="D225" s="181" t="s">
        <v>345</v>
      </c>
      <c r="E225" s="182">
        <f>E98+E11+E6</f>
        <v>146200</v>
      </c>
      <c r="F225" s="182">
        <f>F98+F11+F6</f>
        <v>146200</v>
      </c>
      <c r="G225" s="183">
        <f>F225/E225</f>
        <v>1</v>
      </c>
      <c r="H225" s="182">
        <f>H98+H11+H6</f>
        <v>146200</v>
      </c>
      <c r="I225" s="182">
        <f>I98+I11+I6</f>
        <v>0</v>
      </c>
      <c r="J225" s="529">
        <f>J98+J11+J6</f>
        <v>0</v>
      </c>
      <c r="K225" s="557">
        <f>K98+K11+K6</f>
        <v>0</v>
      </c>
      <c r="L225" s="580">
        <f t="shared" si="98"/>
        <v>0</v>
      </c>
    </row>
    <row r="226" spans="1:12" ht="36" x14ac:dyDescent="0.2">
      <c r="A226" s="588"/>
      <c r="B226" s="589"/>
      <c r="C226" s="184" t="s">
        <v>335</v>
      </c>
      <c r="D226" s="185" t="s">
        <v>179</v>
      </c>
      <c r="E226" s="186" t="str">
        <f>E99</f>
        <v>170 409,35</v>
      </c>
      <c r="F226" s="186">
        <f t="shared" ref="F226:K226" si="99">F99</f>
        <v>170409.35</v>
      </c>
      <c r="G226" s="187">
        <f>F226/E226</f>
        <v>1</v>
      </c>
      <c r="H226" s="186">
        <f t="shared" si="99"/>
        <v>170409.35</v>
      </c>
      <c r="I226" s="186">
        <f t="shared" si="99"/>
        <v>0</v>
      </c>
      <c r="J226" s="530">
        <f t="shared" si="99"/>
        <v>0</v>
      </c>
      <c r="K226" s="558">
        <f t="shared" si="99"/>
        <v>0</v>
      </c>
      <c r="L226" s="580">
        <f t="shared" si="98"/>
        <v>0</v>
      </c>
    </row>
  </sheetData>
  <mergeCells count="5">
    <mergeCell ref="A165:A185"/>
    <mergeCell ref="B168:B171"/>
    <mergeCell ref="A209:D209"/>
    <mergeCell ref="A2:L2"/>
    <mergeCell ref="H1:L1"/>
  </mergeCells>
  <pageMargins left="0.55118110236220474" right="0.19685039370078741" top="0.98425196850393704" bottom="0.59055118110236227" header="0.51181102362204722" footer="0.11811023622047245"/>
  <pageSetup paperSize="9" fitToHeight="0" orientation="landscape" r:id="rId1"/>
  <headerFooter>
    <oddFooter>Strona &amp;P z &amp;N</oddFooter>
  </headerFooter>
  <rowBreaks count="1" manualBreakCount="1">
    <brk id="2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55"/>
  <sheetViews>
    <sheetView showGridLines="0" topLeftCell="A611" zoomScaleNormal="100" workbookViewId="0">
      <selection activeCell="D621" sqref="D621"/>
    </sheetView>
  </sheetViews>
  <sheetFormatPr defaultRowHeight="12.75" x14ac:dyDescent="0.2"/>
  <cols>
    <col min="1" max="1" width="4.7109375" style="2" customWidth="1"/>
    <col min="2" max="2" width="8.28515625" style="2" customWidth="1"/>
    <col min="3" max="3" width="7.85546875" style="2" customWidth="1"/>
    <col min="4" max="4" width="32.140625" style="2" customWidth="1"/>
    <col min="5" max="5" width="13.5703125" style="2" customWidth="1"/>
    <col min="6" max="6" width="14.28515625" style="2" customWidth="1"/>
    <col min="7" max="7" width="10" style="192" customWidth="1"/>
    <col min="8" max="8" width="13.28515625" style="2" customWidth="1"/>
    <col min="9" max="9" width="13.42578125" style="2" hidden="1" customWidth="1"/>
    <col min="10" max="10" width="12.7109375" style="2" hidden="1" customWidth="1"/>
    <col min="11" max="11" width="13.85546875" style="2" customWidth="1"/>
    <col min="12" max="12" width="12.7109375" style="192" customWidth="1"/>
    <col min="13" max="13" width="15.42578125" style="193" hidden="1" customWidth="1"/>
    <col min="14" max="14" width="15.42578125" style="194" hidden="1" customWidth="1"/>
    <col min="15" max="18" width="15.42578125" style="351" hidden="1" customWidth="1"/>
    <col min="19" max="24" width="15.42578125" style="2" hidden="1" customWidth="1"/>
    <col min="25" max="32" width="9.140625" style="2" customWidth="1"/>
    <col min="33" max="251" width="9.140625" style="2"/>
    <col min="252" max="252" width="2.140625" style="2" customWidth="1"/>
    <col min="253" max="253" width="8.7109375" style="2" customWidth="1"/>
    <col min="254" max="254" width="9.85546875" style="2" customWidth="1"/>
    <col min="255" max="255" width="1" style="2" customWidth="1"/>
    <col min="256" max="256" width="10.85546875" style="2" customWidth="1"/>
    <col min="257" max="257" width="54.5703125" style="2" customWidth="1"/>
    <col min="258" max="259" width="22.85546875" style="2" customWidth="1"/>
    <col min="260" max="260" width="8.7109375" style="2" customWidth="1"/>
    <col min="261" max="261" width="14.140625" style="2" customWidth="1"/>
    <col min="262" max="507" width="9.140625" style="2"/>
    <col min="508" max="508" width="2.140625" style="2" customWidth="1"/>
    <col min="509" max="509" width="8.7109375" style="2" customWidth="1"/>
    <col min="510" max="510" width="9.85546875" style="2" customWidth="1"/>
    <col min="511" max="511" width="1" style="2" customWidth="1"/>
    <col min="512" max="512" width="10.85546875" style="2" customWidth="1"/>
    <col min="513" max="513" width="54.5703125" style="2" customWidth="1"/>
    <col min="514" max="515" width="22.85546875" style="2" customWidth="1"/>
    <col min="516" max="516" width="8.7109375" style="2" customWidth="1"/>
    <col min="517" max="517" width="14.140625" style="2" customWidth="1"/>
    <col min="518" max="763" width="9.140625" style="2"/>
    <col min="764" max="764" width="2.140625" style="2" customWidth="1"/>
    <col min="765" max="765" width="8.7109375" style="2" customWidth="1"/>
    <col min="766" max="766" width="9.85546875" style="2" customWidth="1"/>
    <col min="767" max="767" width="1" style="2" customWidth="1"/>
    <col min="768" max="768" width="10.85546875" style="2" customWidth="1"/>
    <col min="769" max="769" width="54.5703125" style="2" customWidth="1"/>
    <col min="770" max="771" width="22.85546875" style="2" customWidth="1"/>
    <col min="772" max="772" width="8.7109375" style="2" customWidth="1"/>
    <col min="773" max="773" width="14.140625" style="2" customWidth="1"/>
    <col min="774" max="1019" width="9.140625" style="2"/>
    <col min="1020" max="1020" width="2.140625" style="2" customWidth="1"/>
    <col min="1021" max="1021" width="8.7109375" style="2" customWidth="1"/>
    <col min="1022" max="1022" width="9.85546875" style="2" customWidth="1"/>
    <col min="1023" max="1023" width="1" style="2" customWidth="1"/>
    <col min="1024" max="1024" width="10.85546875" style="2" customWidth="1"/>
    <col min="1025" max="1025" width="54.5703125" style="2" customWidth="1"/>
    <col min="1026" max="1027" width="22.85546875" style="2" customWidth="1"/>
    <col min="1028" max="1028" width="8.7109375" style="2" customWidth="1"/>
    <col min="1029" max="1029" width="14.140625" style="2" customWidth="1"/>
    <col min="1030" max="1275" width="9.140625" style="2"/>
    <col min="1276" max="1276" width="2.140625" style="2" customWidth="1"/>
    <col min="1277" max="1277" width="8.7109375" style="2" customWidth="1"/>
    <col min="1278" max="1278" width="9.85546875" style="2" customWidth="1"/>
    <col min="1279" max="1279" width="1" style="2" customWidth="1"/>
    <col min="1280" max="1280" width="10.85546875" style="2" customWidth="1"/>
    <col min="1281" max="1281" width="54.5703125" style="2" customWidth="1"/>
    <col min="1282" max="1283" width="22.85546875" style="2" customWidth="1"/>
    <col min="1284" max="1284" width="8.7109375" style="2" customWidth="1"/>
    <col min="1285" max="1285" width="14.140625" style="2" customWidth="1"/>
    <col min="1286" max="1531" width="9.140625" style="2"/>
    <col min="1532" max="1532" width="2.140625" style="2" customWidth="1"/>
    <col min="1533" max="1533" width="8.7109375" style="2" customWidth="1"/>
    <col min="1534" max="1534" width="9.85546875" style="2" customWidth="1"/>
    <col min="1535" max="1535" width="1" style="2" customWidth="1"/>
    <col min="1536" max="1536" width="10.85546875" style="2" customWidth="1"/>
    <col min="1537" max="1537" width="54.5703125" style="2" customWidth="1"/>
    <col min="1538" max="1539" width="22.85546875" style="2" customWidth="1"/>
    <col min="1540" max="1540" width="8.7109375" style="2" customWidth="1"/>
    <col min="1541" max="1541" width="14.140625" style="2" customWidth="1"/>
    <col min="1542" max="1787" width="9.140625" style="2"/>
    <col min="1788" max="1788" width="2.140625" style="2" customWidth="1"/>
    <col min="1789" max="1789" width="8.7109375" style="2" customWidth="1"/>
    <col min="1790" max="1790" width="9.85546875" style="2" customWidth="1"/>
    <col min="1791" max="1791" width="1" style="2" customWidth="1"/>
    <col min="1792" max="1792" width="10.85546875" style="2" customWidth="1"/>
    <col min="1793" max="1793" width="54.5703125" style="2" customWidth="1"/>
    <col min="1794" max="1795" width="22.85546875" style="2" customWidth="1"/>
    <col min="1796" max="1796" width="8.7109375" style="2" customWidth="1"/>
    <col min="1797" max="1797" width="14.140625" style="2" customWidth="1"/>
    <col min="1798" max="2043" width="9.140625" style="2"/>
    <col min="2044" max="2044" width="2.140625" style="2" customWidth="1"/>
    <col min="2045" max="2045" width="8.7109375" style="2" customWidth="1"/>
    <col min="2046" max="2046" width="9.85546875" style="2" customWidth="1"/>
    <col min="2047" max="2047" width="1" style="2" customWidth="1"/>
    <col min="2048" max="2048" width="10.85546875" style="2" customWidth="1"/>
    <col min="2049" max="2049" width="54.5703125" style="2" customWidth="1"/>
    <col min="2050" max="2051" width="22.85546875" style="2" customWidth="1"/>
    <col min="2052" max="2052" width="8.7109375" style="2" customWidth="1"/>
    <col min="2053" max="2053" width="14.140625" style="2" customWidth="1"/>
    <col min="2054" max="2299" width="9.140625" style="2"/>
    <col min="2300" max="2300" width="2.140625" style="2" customWidth="1"/>
    <col min="2301" max="2301" width="8.7109375" style="2" customWidth="1"/>
    <col min="2302" max="2302" width="9.85546875" style="2" customWidth="1"/>
    <col min="2303" max="2303" width="1" style="2" customWidth="1"/>
    <col min="2304" max="2304" width="10.85546875" style="2" customWidth="1"/>
    <col min="2305" max="2305" width="54.5703125" style="2" customWidth="1"/>
    <col min="2306" max="2307" width="22.85546875" style="2" customWidth="1"/>
    <col min="2308" max="2308" width="8.7109375" style="2" customWidth="1"/>
    <col min="2309" max="2309" width="14.140625" style="2" customWidth="1"/>
    <col min="2310" max="2555" width="9.140625" style="2"/>
    <col min="2556" max="2556" width="2.140625" style="2" customWidth="1"/>
    <col min="2557" max="2557" width="8.7109375" style="2" customWidth="1"/>
    <col min="2558" max="2558" width="9.85546875" style="2" customWidth="1"/>
    <col min="2559" max="2559" width="1" style="2" customWidth="1"/>
    <col min="2560" max="2560" width="10.85546875" style="2" customWidth="1"/>
    <col min="2561" max="2561" width="54.5703125" style="2" customWidth="1"/>
    <col min="2562" max="2563" width="22.85546875" style="2" customWidth="1"/>
    <col min="2564" max="2564" width="8.7109375" style="2" customWidth="1"/>
    <col min="2565" max="2565" width="14.140625" style="2" customWidth="1"/>
    <col min="2566" max="2811" width="9.140625" style="2"/>
    <col min="2812" max="2812" width="2.140625" style="2" customWidth="1"/>
    <col min="2813" max="2813" width="8.7109375" style="2" customWidth="1"/>
    <col min="2814" max="2814" width="9.85546875" style="2" customWidth="1"/>
    <col min="2815" max="2815" width="1" style="2" customWidth="1"/>
    <col min="2816" max="2816" width="10.85546875" style="2" customWidth="1"/>
    <col min="2817" max="2817" width="54.5703125" style="2" customWidth="1"/>
    <col min="2818" max="2819" width="22.85546875" style="2" customWidth="1"/>
    <col min="2820" max="2820" width="8.7109375" style="2" customWidth="1"/>
    <col min="2821" max="2821" width="14.140625" style="2" customWidth="1"/>
    <col min="2822" max="3067" width="9.140625" style="2"/>
    <col min="3068" max="3068" width="2.140625" style="2" customWidth="1"/>
    <col min="3069" max="3069" width="8.7109375" style="2" customWidth="1"/>
    <col min="3070" max="3070" width="9.85546875" style="2" customWidth="1"/>
    <col min="3071" max="3071" width="1" style="2" customWidth="1"/>
    <col min="3072" max="3072" width="10.85546875" style="2" customWidth="1"/>
    <col min="3073" max="3073" width="54.5703125" style="2" customWidth="1"/>
    <col min="3074" max="3075" width="22.85546875" style="2" customWidth="1"/>
    <col min="3076" max="3076" width="8.7109375" style="2" customWidth="1"/>
    <col min="3077" max="3077" width="14.140625" style="2" customWidth="1"/>
    <col min="3078" max="3323" width="9.140625" style="2"/>
    <col min="3324" max="3324" width="2.140625" style="2" customWidth="1"/>
    <col min="3325" max="3325" width="8.7109375" style="2" customWidth="1"/>
    <col min="3326" max="3326" width="9.85546875" style="2" customWidth="1"/>
    <col min="3327" max="3327" width="1" style="2" customWidth="1"/>
    <col min="3328" max="3328" width="10.85546875" style="2" customWidth="1"/>
    <col min="3329" max="3329" width="54.5703125" style="2" customWidth="1"/>
    <col min="3330" max="3331" width="22.85546875" style="2" customWidth="1"/>
    <col min="3332" max="3332" width="8.7109375" style="2" customWidth="1"/>
    <col min="3333" max="3333" width="14.140625" style="2" customWidth="1"/>
    <col min="3334" max="3579" width="9.140625" style="2"/>
    <col min="3580" max="3580" width="2.140625" style="2" customWidth="1"/>
    <col min="3581" max="3581" width="8.7109375" style="2" customWidth="1"/>
    <col min="3582" max="3582" width="9.85546875" style="2" customWidth="1"/>
    <col min="3583" max="3583" width="1" style="2" customWidth="1"/>
    <col min="3584" max="3584" width="10.85546875" style="2" customWidth="1"/>
    <col min="3585" max="3585" width="54.5703125" style="2" customWidth="1"/>
    <col min="3586" max="3587" width="22.85546875" style="2" customWidth="1"/>
    <col min="3588" max="3588" width="8.7109375" style="2" customWidth="1"/>
    <col min="3589" max="3589" width="14.140625" style="2" customWidth="1"/>
    <col min="3590" max="3835" width="9.140625" style="2"/>
    <col min="3836" max="3836" width="2.140625" style="2" customWidth="1"/>
    <col min="3837" max="3837" width="8.7109375" style="2" customWidth="1"/>
    <col min="3838" max="3838" width="9.85546875" style="2" customWidth="1"/>
    <col min="3839" max="3839" width="1" style="2" customWidth="1"/>
    <col min="3840" max="3840" width="10.85546875" style="2" customWidth="1"/>
    <col min="3841" max="3841" width="54.5703125" style="2" customWidth="1"/>
    <col min="3842" max="3843" width="22.85546875" style="2" customWidth="1"/>
    <col min="3844" max="3844" width="8.7109375" style="2" customWidth="1"/>
    <col min="3845" max="3845" width="14.140625" style="2" customWidth="1"/>
    <col min="3846" max="4091" width="9.140625" style="2"/>
    <col min="4092" max="4092" width="2.140625" style="2" customWidth="1"/>
    <col min="4093" max="4093" width="8.7109375" style="2" customWidth="1"/>
    <col min="4094" max="4094" width="9.85546875" style="2" customWidth="1"/>
    <col min="4095" max="4095" width="1" style="2" customWidth="1"/>
    <col min="4096" max="4096" width="10.85546875" style="2" customWidth="1"/>
    <col min="4097" max="4097" width="54.5703125" style="2" customWidth="1"/>
    <col min="4098" max="4099" width="22.85546875" style="2" customWidth="1"/>
    <col min="4100" max="4100" width="8.7109375" style="2" customWidth="1"/>
    <col min="4101" max="4101" width="14.140625" style="2" customWidth="1"/>
    <col min="4102" max="4347" width="9.140625" style="2"/>
    <col min="4348" max="4348" width="2.140625" style="2" customWidth="1"/>
    <col min="4349" max="4349" width="8.7109375" style="2" customWidth="1"/>
    <col min="4350" max="4350" width="9.85546875" style="2" customWidth="1"/>
    <col min="4351" max="4351" width="1" style="2" customWidth="1"/>
    <col min="4352" max="4352" width="10.85546875" style="2" customWidth="1"/>
    <col min="4353" max="4353" width="54.5703125" style="2" customWidth="1"/>
    <col min="4354" max="4355" width="22.85546875" style="2" customWidth="1"/>
    <col min="4356" max="4356" width="8.7109375" style="2" customWidth="1"/>
    <col min="4357" max="4357" width="14.140625" style="2" customWidth="1"/>
    <col min="4358" max="4603" width="9.140625" style="2"/>
    <col min="4604" max="4604" width="2.140625" style="2" customWidth="1"/>
    <col min="4605" max="4605" width="8.7109375" style="2" customWidth="1"/>
    <col min="4606" max="4606" width="9.85546875" style="2" customWidth="1"/>
    <col min="4607" max="4607" width="1" style="2" customWidth="1"/>
    <col min="4608" max="4608" width="10.85546875" style="2" customWidth="1"/>
    <col min="4609" max="4609" width="54.5703125" style="2" customWidth="1"/>
    <col min="4610" max="4611" width="22.85546875" style="2" customWidth="1"/>
    <col min="4612" max="4612" width="8.7109375" style="2" customWidth="1"/>
    <col min="4613" max="4613" width="14.140625" style="2" customWidth="1"/>
    <col min="4614" max="4859" width="9.140625" style="2"/>
    <col min="4860" max="4860" width="2.140625" style="2" customWidth="1"/>
    <col min="4861" max="4861" width="8.7109375" style="2" customWidth="1"/>
    <col min="4862" max="4862" width="9.85546875" style="2" customWidth="1"/>
    <col min="4863" max="4863" width="1" style="2" customWidth="1"/>
    <col min="4864" max="4864" width="10.85546875" style="2" customWidth="1"/>
    <col min="4865" max="4865" width="54.5703125" style="2" customWidth="1"/>
    <col min="4866" max="4867" width="22.85546875" style="2" customWidth="1"/>
    <col min="4868" max="4868" width="8.7109375" style="2" customWidth="1"/>
    <col min="4869" max="4869" width="14.140625" style="2" customWidth="1"/>
    <col min="4870" max="5115" width="9.140625" style="2"/>
    <col min="5116" max="5116" width="2.140625" style="2" customWidth="1"/>
    <col min="5117" max="5117" width="8.7109375" style="2" customWidth="1"/>
    <col min="5118" max="5118" width="9.85546875" style="2" customWidth="1"/>
    <col min="5119" max="5119" width="1" style="2" customWidth="1"/>
    <col min="5120" max="5120" width="10.85546875" style="2" customWidth="1"/>
    <col min="5121" max="5121" width="54.5703125" style="2" customWidth="1"/>
    <col min="5122" max="5123" width="22.85546875" style="2" customWidth="1"/>
    <col min="5124" max="5124" width="8.7109375" style="2" customWidth="1"/>
    <col min="5125" max="5125" width="14.140625" style="2" customWidth="1"/>
    <col min="5126" max="5371" width="9.140625" style="2"/>
    <col min="5372" max="5372" width="2.140625" style="2" customWidth="1"/>
    <col min="5373" max="5373" width="8.7109375" style="2" customWidth="1"/>
    <col min="5374" max="5374" width="9.85546875" style="2" customWidth="1"/>
    <col min="5375" max="5375" width="1" style="2" customWidth="1"/>
    <col min="5376" max="5376" width="10.85546875" style="2" customWidth="1"/>
    <col min="5377" max="5377" width="54.5703125" style="2" customWidth="1"/>
    <col min="5378" max="5379" width="22.85546875" style="2" customWidth="1"/>
    <col min="5380" max="5380" width="8.7109375" style="2" customWidth="1"/>
    <col min="5381" max="5381" width="14.140625" style="2" customWidth="1"/>
    <col min="5382" max="5627" width="9.140625" style="2"/>
    <col min="5628" max="5628" width="2.140625" style="2" customWidth="1"/>
    <col min="5629" max="5629" width="8.7109375" style="2" customWidth="1"/>
    <col min="5630" max="5630" width="9.85546875" style="2" customWidth="1"/>
    <col min="5631" max="5631" width="1" style="2" customWidth="1"/>
    <col min="5632" max="5632" width="10.85546875" style="2" customWidth="1"/>
    <col min="5633" max="5633" width="54.5703125" style="2" customWidth="1"/>
    <col min="5634" max="5635" width="22.85546875" style="2" customWidth="1"/>
    <col min="5636" max="5636" width="8.7109375" style="2" customWidth="1"/>
    <col min="5637" max="5637" width="14.140625" style="2" customWidth="1"/>
    <col min="5638" max="5883" width="9.140625" style="2"/>
    <col min="5884" max="5884" width="2.140625" style="2" customWidth="1"/>
    <col min="5885" max="5885" width="8.7109375" style="2" customWidth="1"/>
    <col min="5886" max="5886" width="9.85546875" style="2" customWidth="1"/>
    <col min="5887" max="5887" width="1" style="2" customWidth="1"/>
    <col min="5888" max="5888" width="10.85546875" style="2" customWidth="1"/>
    <col min="5889" max="5889" width="54.5703125" style="2" customWidth="1"/>
    <col min="5890" max="5891" width="22.85546875" style="2" customWidth="1"/>
    <col min="5892" max="5892" width="8.7109375" style="2" customWidth="1"/>
    <col min="5893" max="5893" width="14.140625" style="2" customWidth="1"/>
    <col min="5894" max="6139" width="9.140625" style="2"/>
    <col min="6140" max="6140" width="2.140625" style="2" customWidth="1"/>
    <col min="6141" max="6141" width="8.7109375" style="2" customWidth="1"/>
    <col min="6142" max="6142" width="9.85546875" style="2" customWidth="1"/>
    <col min="6143" max="6143" width="1" style="2" customWidth="1"/>
    <col min="6144" max="6144" width="10.85546875" style="2" customWidth="1"/>
    <col min="6145" max="6145" width="54.5703125" style="2" customWidth="1"/>
    <col min="6146" max="6147" width="22.85546875" style="2" customWidth="1"/>
    <col min="6148" max="6148" width="8.7109375" style="2" customWidth="1"/>
    <col min="6149" max="6149" width="14.140625" style="2" customWidth="1"/>
    <col min="6150" max="6395" width="9.140625" style="2"/>
    <col min="6396" max="6396" width="2.140625" style="2" customWidth="1"/>
    <col min="6397" max="6397" width="8.7109375" style="2" customWidth="1"/>
    <col min="6398" max="6398" width="9.85546875" style="2" customWidth="1"/>
    <col min="6399" max="6399" width="1" style="2" customWidth="1"/>
    <col min="6400" max="6400" width="10.85546875" style="2" customWidth="1"/>
    <col min="6401" max="6401" width="54.5703125" style="2" customWidth="1"/>
    <col min="6402" max="6403" width="22.85546875" style="2" customWidth="1"/>
    <col min="6404" max="6404" width="8.7109375" style="2" customWidth="1"/>
    <col min="6405" max="6405" width="14.140625" style="2" customWidth="1"/>
    <col min="6406" max="6651" width="9.140625" style="2"/>
    <col min="6652" max="6652" width="2.140625" style="2" customWidth="1"/>
    <col min="6653" max="6653" width="8.7109375" style="2" customWidth="1"/>
    <col min="6654" max="6654" width="9.85546875" style="2" customWidth="1"/>
    <col min="6655" max="6655" width="1" style="2" customWidth="1"/>
    <col min="6656" max="6656" width="10.85546875" style="2" customWidth="1"/>
    <col min="6657" max="6657" width="54.5703125" style="2" customWidth="1"/>
    <col min="6658" max="6659" width="22.85546875" style="2" customWidth="1"/>
    <col min="6660" max="6660" width="8.7109375" style="2" customWidth="1"/>
    <col min="6661" max="6661" width="14.140625" style="2" customWidth="1"/>
    <col min="6662" max="6907" width="9.140625" style="2"/>
    <col min="6908" max="6908" width="2.140625" style="2" customWidth="1"/>
    <col min="6909" max="6909" width="8.7109375" style="2" customWidth="1"/>
    <col min="6910" max="6910" width="9.85546875" style="2" customWidth="1"/>
    <col min="6911" max="6911" width="1" style="2" customWidth="1"/>
    <col min="6912" max="6912" width="10.85546875" style="2" customWidth="1"/>
    <col min="6913" max="6913" width="54.5703125" style="2" customWidth="1"/>
    <col min="6914" max="6915" width="22.85546875" style="2" customWidth="1"/>
    <col min="6916" max="6916" width="8.7109375" style="2" customWidth="1"/>
    <col min="6917" max="6917" width="14.140625" style="2" customWidth="1"/>
    <col min="6918" max="7163" width="9.140625" style="2"/>
    <col min="7164" max="7164" width="2.140625" style="2" customWidth="1"/>
    <col min="7165" max="7165" width="8.7109375" style="2" customWidth="1"/>
    <col min="7166" max="7166" width="9.85546875" style="2" customWidth="1"/>
    <col min="7167" max="7167" width="1" style="2" customWidth="1"/>
    <col min="7168" max="7168" width="10.85546875" style="2" customWidth="1"/>
    <col min="7169" max="7169" width="54.5703125" style="2" customWidth="1"/>
    <col min="7170" max="7171" width="22.85546875" style="2" customWidth="1"/>
    <col min="7172" max="7172" width="8.7109375" style="2" customWidth="1"/>
    <col min="7173" max="7173" width="14.140625" style="2" customWidth="1"/>
    <col min="7174" max="7419" width="9.140625" style="2"/>
    <col min="7420" max="7420" width="2.140625" style="2" customWidth="1"/>
    <col min="7421" max="7421" width="8.7109375" style="2" customWidth="1"/>
    <col min="7422" max="7422" width="9.85546875" style="2" customWidth="1"/>
    <col min="7423" max="7423" width="1" style="2" customWidth="1"/>
    <col min="7424" max="7424" width="10.85546875" style="2" customWidth="1"/>
    <col min="7425" max="7425" width="54.5703125" style="2" customWidth="1"/>
    <col min="7426" max="7427" width="22.85546875" style="2" customWidth="1"/>
    <col min="7428" max="7428" width="8.7109375" style="2" customWidth="1"/>
    <col min="7429" max="7429" width="14.140625" style="2" customWidth="1"/>
    <col min="7430" max="7675" width="9.140625" style="2"/>
    <col min="7676" max="7676" width="2.140625" style="2" customWidth="1"/>
    <col min="7677" max="7677" width="8.7109375" style="2" customWidth="1"/>
    <col min="7678" max="7678" width="9.85546875" style="2" customWidth="1"/>
    <col min="7679" max="7679" width="1" style="2" customWidth="1"/>
    <col min="7680" max="7680" width="10.85546875" style="2" customWidth="1"/>
    <col min="7681" max="7681" width="54.5703125" style="2" customWidth="1"/>
    <col min="7682" max="7683" width="22.85546875" style="2" customWidth="1"/>
    <col min="7684" max="7684" width="8.7109375" style="2" customWidth="1"/>
    <col min="7685" max="7685" width="14.140625" style="2" customWidth="1"/>
    <col min="7686" max="7931" width="9.140625" style="2"/>
    <col min="7932" max="7932" width="2.140625" style="2" customWidth="1"/>
    <col min="7933" max="7933" width="8.7109375" style="2" customWidth="1"/>
    <col min="7934" max="7934" width="9.85546875" style="2" customWidth="1"/>
    <col min="7935" max="7935" width="1" style="2" customWidth="1"/>
    <col min="7936" max="7936" width="10.85546875" style="2" customWidth="1"/>
    <col min="7937" max="7937" width="54.5703125" style="2" customWidth="1"/>
    <col min="7938" max="7939" width="22.85546875" style="2" customWidth="1"/>
    <col min="7940" max="7940" width="8.7109375" style="2" customWidth="1"/>
    <col min="7941" max="7941" width="14.140625" style="2" customWidth="1"/>
    <col min="7942" max="8187" width="9.140625" style="2"/>
    <col min="8188" max="8188" width="2.140625" style="2" customWidth="1"/>
    <col min="8189" max="8189" width="8.7109375" style="2" customWidth="1"/>
    <col min="8190" max="8190" width="9.85546875" style="2" customWidth="1"/>
    <col min="8191" max="8191" width="1" style="2" customWidth="1"/>
    <col min="8192" max="8192" width="10.85546875" style="2" customWidth="1"/>
    <col min="8193" max="8193" width="54.5703125" style="2" customWidth="1"/>
    <col min="8194" max="8195" width="22.85546875" style="2" customWidth="1"/>
    <col min="8196" max="8196" width="8.7109375" style="2" customWidth="1"/>
    <col min="8197" max="8197" width="14.140625" style="2" customWidth="1"/>
    <col min="8198" max="8443" width="9.140625" style="2"/>
    <col min="8444" max="8444" width="2.140625" style="2" customWidth="1"/>
    <col min="8445" max="8445" width="8.7109375" style="2" customWidth="1"/>
    <col min="8446" max="8446" width="9.85546875" style="2" customWidth="1"/>
    <col min="8447" max="8447" width="1" style="2" customWidth="1"/>
    <col min="8448" max="8448" width="10.85546875" style="2" customWidth="1"/>
    <col min="8449" max="8449" width="54.5703125" style="2" customWidth="1"/>
    <col min="8450" max="8451" width="22.85546875" style="2" customWidth="1"/>
    <col min="8452" max="8452" width="8.7109375" style="2" customWidth="1"/>
    <col min="8453" max="8453" width="14.140625" style="2" customWidth="1"/>
    <col min="8454" max="8699" width="9.140625" style="2"/>
    <col min="8700" max="8700" width="2.140625" style="2" customWidth="1"/>
    <col min="8701" max="8701" width="8.7109375" style="2" customWidth="1"/>
    <col min="8702" max="8702" width="9.85546875" style="2" customWidth="1"/>
    <col min="8703" max="8703" width="1" style="2" customWidth="1"/>
    <col min="8704" max="8704" width="10.85546875" style="2" customWidth="1"/>
    <col min="8705" max="8705" width="54.5703125" style="2" customWidth="1"/>
    <col min="8706" max="8707" width="22.85546875" style="2" customWidth="1"/>
    <col min="8708" max="8708" width="8.7109375" style="2" customWidth="1"/>
    <col min="8709" max="8709" width="14.140625" style="2" customWidth="1"/>
    <col min="8710" max="8955" width="9.140625" style="2"/>
    <col min="8956" max="8956" width="2.140625" style="2" customWidth="1"/>
    <col min="8957" max="8957" width="8.7109375" style="2" customWidth="1"/>
    <col min="8958" max="8958" width="9.85546875" style="2" customWidth="1"/>
    <col min="8959" max="8959" width="1" style="2" customWidth="1"/>
    <col min="8960" max="8960" width="10.85546875" style="2" customWidth="1"/>
    <col min="8961" max="8961" width="54.5703125" style="2" customWidth="1"/>
    <col min="8962" max="8963" width="22.85546875" style="2" customWidth="1"/>
    <col min="8964" max="8964" width="8.7109375" style="2" customWidth="1"/>
    <col min="8965" max="8965" width="14.140625" style="2" customWidth="1"/>
    <col min="8966" max="9211" width="9.140625" style="2"/>
    <col min="9212" max="9212" width="2.140625" style="2" customWidth="1"/>
    <col min="9213" max="9213" width="8.7109375" style="2" customWidth="1"/>
    <col min="9214" max="9214" width="9.85546875" style="2" customWidth="1"/>
    <col min="9215" max="9215" width="1" style="2" customWidth="1"/>
    <col min="9216" max="9216" width="10.85546875" style="2" customWidth="1"/>
    <col min="9217" max="9217" width="54.5703125" style="2" customWidth="1"/>
    <col min="9218" max="9219" width="22.85546875" style="2" customWidth="1"/>
    <col min="9220" max="9220" width="8.7109375" style="2" customWidth="1"/>
    <col min="9221" max="9221" width="14.140625" style="2" customWidth="1"/>
    <col min="9222" max="9467" width="9.140625" style="2"/>
    <col min="9468" max="9468" width="2.140625" style="2" customWidth="1"/>
    <col min="9469" max="9469" width="8.7109375" style="2" customWidth="1"/>
    <col min="9470" max="9470" width="9.85546875" style="2" customWidth="1"/>
    <col min="9471" max="9471" width="1" style="2" customWidth="1"/>
    <col min="9472" max="9472" width="10.85546875" style="2" customWidth="1"/>
    <col min="9473" max="9473" width="54.5703125" style="2" customWidth="1"/>
    <col min="9474" max="9475" width="22.85546875" style="2" customWidth="1"/>
    <col min="9476" max="9476" width="8.7109375" style="2" customWidth="1"/>
    <col min="9477" max="9477" width="14.140625" style="2" customWidth="1"/>
    <col min="9478" max="9723" width="9.140625" style="2"/>
    <col min="9724" max="9724" width="2.140625" style="2" customWidth="1"/>
    <col min="9725" max="9725" width="8.7109375" style="2" customWidth="1"/>
    <col min="9726" max="9726" width="9.85546875" style="2" customWidth="1"/>
    <col min="9727" max="9727" width="1" style="2" customWidth="1"/>
    <col min="9728" max="9728" width="10.85546875" style="2" customWidth="1"/>
    <col min="9729" max="9729" width="54.5703125" style="2" customWidth="1"/>
    <col min="9730" max="9731" width="22.85546875" style="2" customWidth="1"/>
    <col min="9732" max="9732" width="8.7109375" style="2" customWidth="1"/>
    <col min="9733" max="9733" width="14.140625" style="2" customWidth="1"/>
    <col min="9734" max="9979" width="9.140625" style="2"/>
    <col min="9980" max="9980" width="2.140625" style="2" customWidth="1"/>
    <col min="9981" max="9981" width="8.7109375" style="2" customWidth="1"/>
    <col min="9982" max="9982" width="9.85546875" style="2" customWidth="1"/>
    <col min="9983" max="9983" width="1" style="2" customWidth="1"/>
    <col min="9984" max="9984" width="10.85546875" style="2" customWidth="1"/>
    <col min="9985" max="9985" width="54.5703125" style="2" customWidth="1"/>
    <col min="9986" max="9987" width="22.85546875" style="2" customWidth="1"/>
    <col min="9988" max="9988" width="8.7109375" style="2" customWidth="1"/>
    <col min="9989" max="9989" width="14.140625" style="2" customWidth="1"/>
    <col min="9990" max="10235" width="9.140625" style="2"/>
    <col min="10236" max="10236" width="2.140625" style="2" customWidth="1"/>
    <col min="10237" max="10237" width="8.7109375" style="2" customWidth="1"/>
    <col min="10238" max="10238" width="9.85546875" style="2" customWidth="1"/>
    <col min="10239" max="10239" width="1" style="2" customWidth="1"/>
    <col min="10240" max="10240" width="10.85546875" style="2" customWidth="1"/>
    <col min="10241" max="10241" width="54.5703125" style="2" customWidth="1"/>
    <col min="10242" max="10243" width="22.85546875" style="2" customWidth="1"/>
    <col min="10244" max="10244" width="8.7109375" style="2" customWidth="1"/>
    <col min="10245" max="10245" width="14.140625" style="2" customWidth="1"/>
    <col min="10246" max="10491" width="9.140625" style="2"/>
    <col min="10492" max="10492" width="2.140625" style="2" customWidth="1"/>
    <col min="10493" max="10493" width="8.7109375" style="2" customWidth="1"/>
    <col min="10494" max="10494" width="9.85546875" style="2" customWidth="1"/>
    <col min="10495" max="10495" width="1" style="2" customWidth="1"/>
    <col min="10496" max="10496" width="10.85546875" style="2" customWidth="1"/>
    <col min="10497" max="10497" width="54.5703125" style="2" customWidth="1"/>
    <col min="10498" max="10499" width="22.85546875" style="2" customWidth="1"/>
    <col min="10500" max="10500" width="8.7109375" style="2" customWidth="1"/>
    <col min="10501" max="10501" width="14.140625" style="2" customWidth="1"/>
    <col min="10502" max="10747" width="9.140625" style="2"/>
    <col min="10748" max="10748" width="2.140625" style="2" customWidth="1"/>
    <col min="10749" max="10749" width="8.7109375" style="2" customWidth="1"/>
    <col min="10750" max="10750" width="9.85546875" style="2" customWidth="1"/>
    <col min="10751" max="10751" width="1" style="2" customWidth="1"/>
    <col min="10752" max="10752" width="10.85546875" style="2" customWidth="1"/>
    <col min="10753" max="10753" width="54.5703125" style="2" customWidth="1"/>
    <col min="10754" max="10755" width="22.85546875" style="2" customWidth="1"/>
    <col min="10756" max="10756" width="8.7109375" style="2" customWidth="1"/>
    <col min="10757" max="10757" width="14.140625" style="2" customWidth="1"/>
    <col min="10758" max="11003" width="9.140625" style="2"/>
    <col min="11004" max="11004" width="2.140625" style="2" customWidth="1"/>
    <col min="11005" max="11005" width="8.7109375" style="2" customWidth="1"/>
    <col min="11006" max="11006" width="9.85546875" style="2" customWidth="1"/>
    <col min="11007" max="11007" width="1" style="2" customWidth="1"/>
    <col min="11008" max="11008" width="10.85546875" style="2" customWidth="1"/>
    <col min="11009" max="11009" width="54.5703125" style="2" customWidth="1"/>
    <col min="11010" max="11011" width="22.85546875" style="2" customWidth="1"/>
    <col min="11012" max="11012" width="8.7109375" style="2" customWidth="1"/>
    <col min="11013" max="11013" width="14.140625" style="2" customWidth="1"/>
    <col min="11014" max="11259" width="9.140625" style="2"/>
    <col min="11260" max="11260" width="2.140625" style="2" customWidth="1"/>
    <col min="11261" max="11261" width="8.7109375" style="2" customWidth="1"/>
    <col min="11262" max="11262" width="9.85546875" style="2" customWidth="1"/>
    <col min="11263" max="11263" width="1" style="2" customWidth="1"/>
    <col min="11264" max="11264" width="10.85546875" style="2" customWidth="1"/>
    <col min="11265" max="11265" width="54.5703125" style="2" customWidth="1"/>
    <col min="11266" max="11267" width="22.85546875" style="2" customWidth="1"/>
    <col min="11268" max="11268" width="8.7109375" style="2" customWidth="1"/>
    <col min="11269" max="11269" width="14.140625" style="2" customWidth="1"/>
    <col min="11270" max="11515" width="9.140625" style="2"/>
    <col min="11516" max="11516" width="2.140625" style="2" customWidth="1"/>
    <col min="11517" max="11517" width="8.7109375" style="2" customWidth="1"/>
    <col min="11518" max="11518" width="9.85546875" style="2" customWidth="1"/>
    <col min="11519" max="11519" width="1" style="2" customWidth="1"/>
    <col min="11520" max="11520" width="10.85546875" style="2" customWidth="1"/>
    <col min="11521" max="11521" width="54.5703125" style="2" customWidth="1"/>
    <col min="11522" max="11523" width="22.85546875" style="2" customWidth="1"/>
    <col min="11524" max="11524" width="8.7109375" style="2" customWidth="1"/>
    <col min="11525" max="11525" width="14.140625" style="2" customWidth="1"/>
    <col min="11526" max="11771" width="9.140625" style="2"/>
    <col min="11772" max="11772" width="2.140625" style="2" customWidth="1"/>
    <col min="11773" max="11773" width="8.7109375" style="2" customWidth="1"/>
    <col min="11774" max="11774" width="9.85546875" style="2" customWidth="1"/>
    <col min="11775" max="11775" width="1" style="2" customWidth="1"/>
    <col min="11776" max="11776" width="10.85546875" style="2" customWidth="1"/>
    <col min="11777" max="11777" width="54.5703125" style="2" customWidth="1"/>
    <col min="11778" max="11779" width="22.85546875" style="2" customWidth="1"/>
    <col min="11780" max="11780" width="8.7109375" style="2" customWidth="1"/>
    <col min="11781" max="11781" width="14.140625" style="2" customWidth="1"/>
    <col min="11782" max="12027" width="9.140625" style="2"/>
    <col min="12028" max="12028" width="2.140625" style="2" customWidth="1"/>
    <col min="12029" max="12029" width="8.7109375" style="2" customWidth="1"/>
    <col min="12030" max="12030" width="9.85546875" style="2" customWidth="1"/>
    <col min="12031" max="12031" width="1" style="2" customWidth="1"/>
    <col min="12032" max="12032" width="10.85546875" style="2" customWidth="1"/>
    <col min="12033" max="12033" width="54.5703125" style="2" customWidth="1"/>
    <col min="12034" max="12035" width="22.85546875" style="2" customWidth="1"/>
    <col min="12036" max="12036" width="8.7109375" style="2" customWidth="1"/>
    <col min="12037" max="12037" width="14.140625" style="2" customWidth="1"/>
    <col min="12038" max="12283" width="9.140625" style="2"/>
    <col min="12284" max="12284" width="2.140625" style="2" customWidth="1"/>
    <col min="12285" max="12285" width="8.7109375" style="2" customWidth="1"/>
    <col min="12286" max="12286" width="9.85546875" style="2" customWidth="1"/>
    <col min="12287" max="12287" width="1" style="2" customWidth="1"/>
    <col min="12288" max="12288" width="10.85546875" style="2" customWidth="1"/>
    <col min="12289" max="12289" width="54.5703125" style="2" customWidth="1"/>
    <col min="12290" max="12291" width="22.85546875" style="2" customWidth="1"/>
    <col min="12292" max="12292" width="8.7109375" style="2" customWidth="1"/>
    <col min="12293" max="12293" width="14.140625" style="2" customWidth="1"/>
    <col min="12294" max="12539" width="9.140625" style="2"/>
    <col min="12540" max="12540" width="2.140625" style="2" customWidth="1"/>
    <col min="12541" max="12541" width="8.7109375" style="2" customWidth="1"/>
    <col min="12542" max="12542" width="9.85546875" style="2" customWidth="1"/>
    <col min="12543" max="12543" width="1" style="2" customWidth="1"/>
    <col min="12544" max="12544" width="10.85546875" style="2" customWidth="1"/>
    <col min="12545" max="12545" width="54.5703125" style="2" customWidth="1"/>
    <col min="12546" max="12547" width="22.85546875" style="2" customWidth="1"/>
    <col min="12548" max="12548" width="8.7109375" style="2" customWidth="1"/>
    <col min="12549" max="12549" width="14.140625" style="2" customWidth="1"/>
    <col min="12550" max="12795" width="9.140625" style="2"/>
    <col min="12796" max="12796" width="2.140625" style="2" customWidth="1"/>
    <col min="12797" max="12797" width="8.7109375" style="2" customWidth="1"/>
    <col min="12798" max="12798" width="9.85546875" style="2" customWidth="1"/>
    <col min="12799" max="12799" width="1" style="2" customWidth="1"/>
    <col min="12800" max="12800" width="10.85546875" style="2" customWidth="1"/>
    <col min="12801" max="12801" width="54.5703125" style="2" customWidth="1"/>
    <col min="12802" max="12803" width="22.85546875" style="2" customWidth="1"/>
    <col min="12804" max="12804" width="8.7109375" style="2" customWidth="1"/>
    <col min="12805" max="12805" width="14.140625" style="2" customWidth="1"/>
    <col min="12806" max="13051" width="9.140625" style="2"/>
    <col min="13052" max="13052" width="2.140625" style="2" customWidth="1"/>
    <col min="13053" max="13053" width="8.7109375" style="2" customWidth="1"/>
    <col min="13054" max="13054" width="9.85546875" style="2" customWidth="1"/>
    <col min="13055" max="13055" width="1" style="2" customWidth="1"/>
    <col min="13056" max="13056" width="10.85546875" style="2" customWidth="1"/>
    <col min="13057" max="13057" width="54.5703125" style="2" customWidth="1"/>
    <col min="13058" max="13059" width="22.85546875" style="2" customWidth="1"/>
    <col min="13060" max="13060" width="8.7109375" style="2" customWidth="1"/>
    <col min="13061" max="13061" width="14.140625" style="2" customWidth="1"/>
    <col min="13062" max="13307" width="9.140625" style="2"/>
    <col min="13308" max="13308" width="2.140625" style="2" customWidth="1"/>
    <col min="13309" max="13309" width="8.7109375" style="2" customWidth="1"/>
    <col min="13310" max="13310" width="9.85546875" style="2" customWidth="1"/>
    <col min="13311" max="13311" width="1" style="2" customWidth="1"/>
    <col min="13312" max="13312" width="10.85546875" style="2" customWidth="1"/>
    <col min="13313" max="13313" width="54.5703125" style="2" customWidth="1"/>
    <col min="13314" max="13315" width="22.85546875" style="2" customWidth="1"/>
    <col min="13316" max="13316" width="8.7109375" style="2" customWidth="1"/>
    <col min="13317" max="13317" width="14.140625" style="2" customWidth="1"/>
    <col min="13318" max="13563" width="9.140625" style="2"/>
    <col min="13564" max="13564" width="2.140625" style="2" customWidth="1"/>
    <col min="13565" max="13565" width="8.7109375" style="2" customWidth="1"/>
    <col min="13566" max="13566" width="9.85546875" style="2" customWidth="1"/>
    <col min="13567" max="13567" width="1" style="2" customWidth="1"/>
    <col min="13568" max="13568" width="10.85546875" style="2" customWidth="1"/>
    <col min="13569" max="13569" width="54.5703125" style="2" customWidth="1"/>
    <col min="13570" max="13571" width="22.85546875" style="2" customWidth="1"/>
    <col min="13572" max="13572" width="8.7109375" style="2" customWidth="1"/>
    <col min="13573" max="13573" width="14.140625" style="2" customWidth="1"/>
    <col min="13574" max="13819" width="9.140625" style="2"/>
    <col min="13820" max="13820" width="2.140625" style="2" customWidth="1"/>
    <col min="13821" max="13821" width="8.7109375" style="2" customWidth="1"/>
    <col min="13822" max="13822" width="9.85546875" style="2" customWidth="1"/>
    <col min="13823" max="13823" width="1" style="2" customWidth="1"/>
    <col min="13824" max="13824" width="10.85546875" style="2" customWidth="1"/>
    <col min="13825" max="13825" width="54.5703125" style="2" customWidth="1"/>
    <col min="13826" max="13827" width="22.85546875" style="2" customWidth="1"/>
    <col min="13828" max="13828" width="8.7109375" style="2" customWidth="1"/>
    <col min="13829" max="13829" width="14.140625" style="2" customWidth="1"/>
    <col min="13830" max="14075" width="9.140625" style="2"/>
    <col min="14076" max="14076" width="2.140625" style="2" customWidth="1"/>
    <col min="14077" max="14077" width="8.7109375" style="2" customWidth="1"/>
    <col min="14078" max="14078" width="9.85546875" style="2" customWidth="1"/>
    <col min="14079" max="14079" width="1" style="2" customWidth="1"/>
    <col min="14080" max="14080" width="10.85546875" style="2" customWidth="1"/>
    <col min="14081" max="14081" width="54.5703125" style="2" customWidth="1"/>
    <col min="14082" max="14083" width="22.85546875" style="2" customWidth="1"/>
    <col min="14084" max="14084" width="8.7109375" style="2" customWidth="1"/>
    <col min="14085" max="14085" width="14.140625" style="2" customWidth="1"/>
    <col min="14086" max="14331" width="9.140625" style="2"/>
    <col min="14332" max="14332" width="2.140625" style="2" customWidth="1"/>
    <col min="14333" max="14333" width="8.7109375" style="2" customWidth="1"/>
    <col min="14334" max="14334" width="9.85546875" style="2" customWidth="1"/>
    <col min="14335" max="14335" width="1" style="2" customWidth="1"/>
    <col min="14336" max="14336" width="10.85546875" style="2" customWidth="1"/>
    <col min="14337" max="14337" width="54.5703125" style="2" customWidth="1"/>
    <col min="14338" max="14339" width="22.85546875" style="2" customWidth="1"/>
    <col min="14340" max="14340" width="8.7109375" style="2" customWidth="1"/>
    <col min="14341" max="14341" width="14.140625" style="2" customWidth="1"/>
    <col min="14342" max="14587" width="9.140625" style="2"/>
    <col min="14588" max="14588" width="2.140625" style="2" customWidth="1"/>
    <col min="14589" max="14589" width="8.7109375" style="2" customWidth="1"/>
    <col min="14590" max="14590" width="9.85546875" style="2" customWidth="1"/>
    <col min="14591" max="14591" width="1" style="2" customWidth="1"/>
    <col min="14592" max="14592" width="10.85546875" style="2" customWidth="1"/>
    <col min="14593" max="14593" width="54.5703125" style="2" customWidth="1"/>
    <col min="14594" max="14595" width="22.85546875" style="2" customWidth="1"/>
    <col min="14596" max="14596" width="8.7109375" style="2" customWidth="1"/>
    <col min="14597" max="14597" width="14.140625" style="2" customWidth="1"/>
    <col min="14598" max="14843" width="9.140625" style="2"/>
    <col min="14844" max="14844" width="2.140625" style="2" customWidth="1"/>
    <col min="14845" max="14845" width="8.7109375" style="2" customWidth="1"/>
    <col min="14846" max="14846" width="9.85546875" style="2" customWidth="1"/>
    <col min="14847" max="14847" width="1" style="2" customWidth="1"/>
    <col min="14848" max="14848" width="10.85546875" style="2" customWidth="1"/>
    <col min="14849" max="14849" width="54.5703125" style="2" customWidth="1"/>
    <col min="14850" max="14851" width="22.85546875" style="2" customWidth="1"/>
    <col min="14852" max="14852" width="8.7109375" style="2" customWidth="1"/>
    <col min="14853" max="14853" width="14.140625" style="2" customWidth="1"/>
    <col min="14854" max="15099" width="9.140625" style="2"/>
    <col min="15100" max="15100" width="2.140625" style="2" customWidth="1"/>
    <col min="15101" max="15101" width="8.7109375" style="2" customWidth="1"/>
    <col min="15102" max="15102" width="9.85546875" style="2" customWidth="1"/>
    <col min="15103" max="15103" width="1" style="2" customWidth="1"/>
    <col min="15104" max="15104" width="10.85546875" style="2" customWidth="1"/>
    <col min="15105" max="15105" width="54.5703125" style="2" customWidth="1"/>
    <col min="15106" max="15107" width="22.85546875" style="2" customWidth="1"/>
    <col min="15108" max="15108" width="8.7109375" style="2" customWidth="1"/>
    <col min="15109" max="15109" width="14.140625" style="2" customWidth="1"/>
    <col min="15110" max="15355" width="9.140625" style="2"/>
    <col min="15356" max="15356" width="2.140625" style="2" customWidth="1"/>
    <col min="15357" max="15357" width="8.7109375" style="2" customWidth="1"/>
    <col min="15358" max="15358" width="9.85546875" style="2" customWidth="1"/>
    <col min="15359" max="15359" width="1" style="2" customWidth="1"/>
    <col min="15360" max="15360" width="10.85546875" style="2" customWidth="1"/>
    <col min="15361" max="15361" width="54.5703125" style="2" customWidth="1"/>
    <col min="15362" max="15363" width="22.85546875" style="2" customWidth="1"/>
    <col min="15364" max="15364" width="8.7109375" style="2" customWidth="1"/>
    <col min="15365" max="15365" width="14.140625" style="2" customWidth="1"/>
    <col min="15366" max="15611" width="9.140625" style="2"/>
    <col min="15612" max="15612" width="2.140625" style="2" customWidth="1"/>
    <col min="15613" max="15613" width="8.7109375" style="2" customWidth="1"/>
    <col min="15614" max="15614" width="9.85546875" style="2" customWidth="1"/>
    <col min="15615" max="15615" width="1" style="2" customWidth="1"/>
    <col min="15616" max="15616" width="10.85546875" style="2" customWidth="1"/>
    <col min="15617" max="15617" width="54.5703125" style="2" customWidth="1"/>
    <col min="15618" max="15619" width="22.85546875" style="2" customWidth="1"/>
    <col min="15620" max="15620" width="8.7109375" style="2" customWidth="1"/>
    <col min="15621" max="15621" width="14.140625" style="2" customWidth="1"/>
    <col min="15622" max="15867" width="9.140625" style="2"/>
    <col min="15868" max="15868" width="2.140625" style="2" customWidth="1"/>
    <col min="15869" max="15869" width="8.7109375" style="2" customWidth="1"/>
    <col min="15870" max="15870" width="9.85546875" style="2" customWidth="1"/>
    <col min="15871" max="15871" width="1" style="2" customWidth="1"/>
    <col min="15872" max="15872" width="10.85546875" style="2" customWidth="1"/>
    <col min="15873" max="15873" width="54.5703125" style="2" customWidth="1"/>
    <col min="15874" max="15875" width="22.85546875" style="2" customWidth="1"/>
    <col min="15876" max="15876" width="8.7109375" style="2" customWidth="1"/>
    <col min="15877" max="15877" width="14.140625" style="2" customWidth="1"/>
    <col min="15878" max="16123" width="9.140625" style="2"/>
    <col min="16124" max="16124" width="2.140625" style="2" customWidth="1"/>
    <col min="16125" max="16125" width="8.7109375" style="2" customWidth="1"/>
    <col min="16126" max="16126" width="9.85546875" style="2" customWidth="1"/>
    <col min="16127" max="16127" width="1" style="2" customWidth="1"/>
    <col min="16128" max="16128" width="10.85546875" style="2" customWidth="1"/>
    <col min="16129" max="16129" width="54.5703125" style="2" customWidth="1"/>
    <col min="16130" max="16131" width="22.85546875" style="2" customWidth="1"/>
    <col min="16132" max="16132" width="8.7109375" style="2" customWidth="1"/>
    <col min="16133" max="16133" width="14.140625" style="2" customWidth="1"/>
    <col min="16134" max="16384" width="9.140625" style="2"/>
  </cols>
  <sheetData>
    <row r="1" spans="1:24" customFormat="1" ht="33" customHeight="1" x14ac:dyDescent="0.25">
      <c r="E1" s="654" t="s">
        <v>346</v>
      </c>
      <c r="F1" s="654"/>
      <c r="G1" s="654"/>
      <c r="H1" s="654"/>
      <c r="I1" s="654"/>
      <c r="J1" s="654"/>
      <c r="K1" s="654"/>
      <c r="L1" s="189"/>
      <c r="M1" s="190"/>
      <c r="N1" s="191"/>
      <c r="O1" s="159"/>
      <c r="P1" s="159"/>
      <c r="Q1" s="159"/>
      <c r="R1" s="159"/>
    </row>
    <row r="2" spans="1:24" customFormat="1" ht="48" customHeight="1" x14ac:dyDescent="0.25">
      <c r="A2" s="653" t="s">
        <v>995</v>
      </c>
      <c r="B2" s="653"/>
      <c r="C2" s="653"/>
      <c r="D2" s="653"/>
      <c r="E2" s="653"/>
      <c r="F2" s="653"/>
      <c r="G2" s="653"/>
      <c r="H2" s="653"/>
      <c r="I2" s="653"/>
      <c r="J2" s="653"/>
      <c r="K2" s="653"/>
      <c r="L2" s="189"/>
      <c r="M2" s="190"/>
      <c r="N2" s="191"/>
      <c r="O2" s="159"/>
      <c r="P2" s="159"/>
      <c r="Q2" s="159"/>
      <c r="R2" s="159"/>
    </row>
    <row r="3" spans="1:24" x14ac:dyDescent="0.2">
      <c r="O3" s="2"/>
      <c r="P3" s="2"/>
      <c r="Q3" s="2"/>
      <c r="R3" s="2"/>
    </row>
    <row r="4" spans="1:24" x14ac:dyDescent="0.2">
      <c r="O4" s="195"/>
      <c r="P4" s="195"/>
      <c r="Q4" s="195"/>
      <c r="R4" s="195"/>
    </row>
    <row r="5" spans="1:24" ht="45" x14ac:dyDescent="0.2">
      <c r="A5" s="569" t="s">
        <v>2</v>
      </c>
      <c r="B5" s="4" t="s">
        <v>3</v>
      </c>
      <c r="C5" s="4" t="s">
        <v>4</v>
      </c>
      <c r="D5" s="4" t="s">
        <v>5</v>
      </c>
      <c r="E5" s="4" t="s">
        <v>347</v>
      </c>
      <c r="F5" s="196" t="s">
        <v>7</v>
      </c>
      <c r="G5" s="6" t="s">
        <v>8</v>
      </c>
      <c r="H5" s="197" t="s">
        <v>994</v>
      </c>
      <c r="I5" s="198" t="s">
        <v>348</v>
      </c>
      <c r="J5" s="199" t="s">
        <v>11</v>
      </c>
      <c r="K5" s="200" t="s">
        <v>12</v>
      </c>
      <c r="L5" s="201" t="s">
        <v>993</v>
      </c>
      <c r="M5" s="625" t="s">
        <v>349</v>
      </c>
      <c r="N5" s="202" t="s">
        <v>350</v>
      </c>
      <c r="O5" s="203" t="s">
        <v>351</v>
      </c>
      <c r="P5" s="203" t="s">
        <v>352</v>
      </c>
      <c r="Q5" s="203" t="s">
        <v>353</v>
      </c>
      <c r="R5" s="203" t="s">
        <v>354</v>
      </c>
      <c r="S5" s="204" t="s">
        <v>355</v>
      </c>
      <c r="T5" s="204" t="s">
        <v>356</v>
      </c>
      <c r="U5" s="204" t="s">
        <v>357</v>
      </c>
      <c r="V5" s="205" t="s">
        <v>358</v>
      </c>
      <c r="W5" s="205" t="s">
        <v>359</v>
      </c>
      <c r="X5" s="205" t="s">
        <v>360</v>
      </c>
    </row>
    <row r="6" spans="1:24" x14ac:dyDescent="0.2">
      <c r="A6" s="574" t="s">
        <v>14</v>
      </c>
      <c r="B6" s="39"/>
      <c r="C6" s="39"/>
      <c r="D6" s="40" t="s">
        <v>15</v>
      </c>
      <c r="E6" s="41">
        <f>E7+E10+E12</f>
        <v>718680.15</v>
      </c>
      <c r="F6" s="41">
        <f t="shared" ref="F6:X6" si="0">F7+F10+F12</f>
        <v>555670.94999999995</v>
      </c>
      <c r="G6" s="42">
        <f>F6/E6</f>
        <v>0.77318254859272229</v>
      </c>
      <c r="H6" s="41">
        <f t="shared" si="0"/>
        <v>715061.12</v>
      </c>
      <c r="I6" s="43">
        <f t="shared" si="0"/>
        <v>129541.55</v>
      </c>
      <c r="J6" s="111">
        <f t="shared" si="0"/>
        <v>0</v>
      </c>
      <c r="K6" s="206">
        <f t="shared" si="0"/>
        <v>129541.55</v>
      </c>
      <c r="L6" s="632">
        <f>K6/E6</f>
        <v>0.18024923883037539</v>
      </c>
      <c r="M6" s="207"/>
      <c r="N6" s="208">
        <f t="shared" si="0"/>
        <v>129541.55</v>
      </c>
      <c r="O6" s="109">
        <f t="shared" si="0"/>
        <v>37000</v>
      </c>
      <c r="P6" s="109">
        <f t="shared" si="0"/>
        <v>31541.55</v>
      </c>
      <c r="Q6" s="109">
        <f t="shared" si="0"/>
        <v>1000</v>
      </c>
      <c r="R6" s="109">
        <f t="shared" si="0"/>
        <v>60000</v>
      </c>
      <c r="S6" s="109">
        <f t="shared" si="0"/>
        <v>0</v>
      </c>
      <c r="T6" s="109">
        <f t="shared" si="0"/>
        <v>0</v>
      </c>
      <c r="U6" s="109">
        <f t="shared" si="0"/>
        <v>0</v>
      </c>
      <c r="V6" s="109">
        <f>V7+V10+V12</f>
        <v>129541.55</v>
      </c>
      <c r="W6" s="109">
        <f t="shared" si="0"/>
        <v>0</v>
      </c>
      <c r="X6" s="109">
        <f t="shared" si="0"/>
        <v>0</v>
      </c>
    </row>
    <row r="7" spans="1:24" ht="15" x14ac:dyDescent="0.2">
      <c r="A7" s="571"/>
      <c r="B7" s="15" t="s">
        <v>361</v>
      </c>
      <c r="C7" s="16"/>
      <c r="D7" s="17" t="s">
        <v>362</v>
      </c>
      <c r="E7" s="18">
        <f>E8+E9</f>
        <v>18000</v>
      </c>
      <c r="F7" s="18">
        <f t="shared" ref="F7:X7" si="1">F8+F9</f>
        <v>0</v>
      </c>
      <c r="G7" s="19">
        <f>F7/E7</f>
        <v>0</v>
      </c>
      <c r="H7" s="18">
        <f t="shared" si="1"/>
        <v>18000</v>
      </c>
      <c r="I7" s="20">
        <f t="shared" si="1"/>
        <v>20000</v>
      </c>
      <c r="J7" s="114">
        <f t="shared" si="1"/>
        <v>0</v>
      </c>
      <c r="K7" s="209">
        <f t="shared" si="1"/>
        <v>20000</v>
      </c>
      <c r="L7" s="633">
        <f>K7/E7</f>
        <v>1.1111111111111112</v>
      </c>
      <c r="M7" s="21"/>
      <c r="N7" s="210">
        <f t="shared" si="1"/>
        <v>20000</v>
      </c>
      <c r="O7" s="95">
        <f t="shared" si="1"/>
        <v>20000</v>
      </c>
      <c r="P7" s="95">
        <f t="shared" si="1"/>
        <v>0</v>
      </c>
      <c r="Q7" s="95">
        <f t="shared" si="1"/>
        <v>0</v>
      </c>
      <c r="R7" s="95">
        <f t="shared" si="1"/>
        <v>0</v>
      </c>
      <c r="S7" s="95">
        <f t="shared" si="1"/>
        <v>0</v>
      </c>
      <c r="T7" s="95">
        <f t="shared" si="1"/>
        <v>0</v>
      </c>
      <c r="U7" s="95">
        <f t="shared" si="1"/>
        <v>0</v>
      </c>
      <c r="V7" s="95">
        <f>V9</f>
        <v>20000</v>
      </c>
      <c r="W7" s="95">
        <f t="shared" si="1"/>
        <v>0</v>
      </c>
      <c r="X7" s="95">
        <f t="shared" si="1"/>
        <v>0</v>
      </c>
    </row>
    <row r="8" spans="1:24" ht="33.75" hidden="1" x14ac:dyDescent="0.2">
      <c r="A8" s="572"/>
      <c r="B8" s="22"/>
      <c r="C8" s="23" t="s">
        <v>363</v>
      </c>
      <c r="D8" s="24" t="s">
        <v>364</v>
      </c>
      <c r="E8" s="25" t="s">
        <v>365</v>
      </c>
      <c r="F8" s="211">
        <v>0</v>
      </c>
      <c r="G8" s="212" t="e">
        <f>F8/E8</f>
        <v>#DIV/0!</v>
      </c>
      <c r="H8" s="213">
        <v>0</v>
      </c>
      <c r="I8" s="214">
        <v>0</v>
      </c>
      <c r="J8" s="213"/>
      <c r="K8" s="215">
        <f>I8+J8</f>
        <v>0</v>
      </c>
      <c r="L8" s="216" t="e">
        <f>K8/E8</f>
        <v>#DIV/0!</v>
      </c>
      <c r="M8" s="626"/>
      <c r="N8" s="217">
        <f>SUM(O8:X8)</f>
        <v>0</v>
      </c>
      <c r="O8" s="26"/>
      <c r="P8" s="26"/>
      <c r="Q8" s="26"/>
      <c r="R8" s="26"/>
      <c r="S8" s="26"/>
      <c r="T8" s="26"/>
      <c r="U8" s="26"/>
      <c r="V8" s="26"/>
      <c r="W8" s="26"/>
      <c r="X8" s="26"/>
    </row>
    <row r="9" spans="1:24" ht="56.25" x14ac:dyDescent="0.2">
      <c r="A9" s="572"/>
      <c r="B9" s="22"/>
      <c r="C9" s="23" t="s">
        <v>366</v>
      </c>
      <c r="D9" s="24" t="s">
        <v>367</v>
      </c>
      <c r="E9" s="25" t="s">
        <v>223</v>
      </c>
      <c r="F9" s="211">
        <v>0</v>
      </c>
      <c r="G9" s="212">
        <f t="shared" ref="G9:G73" si="2">F9/E9</f>
        <v>0</v>
      </c>
      <c r="H9" s="213">
        <v>18000</v>
      </c>
      <c r="I9" s="214">
        <v>20000</v>
      </c>
      <c r="J9" s="213"/>
      <c r="K9" s="215">
        <f>I9+J9</f>
        <v>20000</v>
      </c>
      <c r="L9" s="216">
        <f t="shared" ref="L9:L73" si="3">K9/E9</f>
        <v>1.1111111111111112</v>
      </c>
      <c r="M9" s="626"/>
      <c r="N9" s="217">
        <f>V9+W9+X9</f>
        <v>20000</v>
      </c>
      <c r="O9" s="26">
        <v>20000</v>
      </c>
      <c r="P9" s="26"/>
      <c r="Q9" s="26"/>
      <c r="R9" s="26"/>
      <c r="S9" s="26"/>
      <c r="T9" s="26"/>
      <c r="U9" s="26"/>
      <c r="V9" s="26">
        <f>SUM(O9:U9)</f>
        <v>20000</v>
      </c>
      <c r="W9" s="26"/>
      <c r="X9" s="26"/>
    </row>
    <row r="10" spans="1:24" ht="15" x14ac:dyDescent="0.2">
      <c r="A10" s="571"/>
      <c r="B10" s="15" t="s">
        <v>368</v>
      </c>
      <c r="C10" s="16"/>
      <c r="D10" s="17" t="s">
        <v>369</v>
      </c>
      <c r="E10" s="18" t="str">
        <f>E11</f>
        <v>17 000,00</v>
      </c>
      <c r="F10" s="18">
        <f t="shared" ref="F10:X10" si="4">F11</f>
        <v>10036</v>
      </c>
      <c r="G10" s="218">
        <f t="shared" si="2"/>
        <v>0.59035294117647064</v>
      </c>
      <c r="H10" s="18">
        <f t="shared" si="4"/>
        <v>14381</v>
      </c>
      <c r="I10" s="20">
        <f t="shared" si="4"/>
        <v>17000</v>
      </c>
      <c r="J10" s="114">
        <f t="shared" si="4"/>
        <v>0</v>
      </c>
      <c r="K10" s="209">
        <f t="shared" si="4"/>
        <v>17000</v>
      </c>
      <c r="L10" s="219">
        <f t="shared" si="3"/>
        <v>1</v>
      </c>
      <c r="M10" s="21"/>
      <c r="N10" s="210">
        <f t="shared" si="4"/>
        <v>17000</v>
      </c>
      <c r="O10" s="95">
        <f t="shared" si="4"/>
        <v>17000</v>
      </c>
      <c r="P10" s="95">
        <f t="shared" si="4"/>
        <v>0</v>
      </c>
      <c r="Q10" s="95">
        <f t="shared" si="4"/>
        <v>0</v>
      </c>
      <c r="R10" s="95">
        <f t="shared" si="4"/>
        <v>0</v>
      </c>
      <c r="S10" s="95">
        <f t="shared" si="4"/>
        <v>0</v>
      </c>
      <c r="T10" s="95">
        <f t="shared" si="4"/>
        <v>0</v>
      </c>
      <c r="U10" s="95">
        <f t="shared" si="4"/>
        <v>0</v>
      </c>
      <c r="V10" s="95">
        <f t="shared" si="4"/>
        <v>17000</v>
      </c>
      <c r="W10" s="95">
        <f t="shared" si="4"/>
        <v>0</v>
      </c>
      <c r="X10" s="95">
        <f t="shared" si="4"/>
        <v>0</v>
      </c>
    </row>
    <row r="11" spans="1:24" ht="33.75" x14ac:dyDescent="0.2">
      <c r="A11" s="572"/>
      <c r="B11" s="22"/>
      <c r="C11" s="23" t="s">
        <v>370</v>
      </c>
      <c r="D11" s="24" t="s">
        <v>371</v>
      </c>
      <c r="E11" s="25" t="s">
        <v>372</v>
      </c>
      <c r="F11" s="211">
        <v>10036</v>
      </c>
      <c r="G11" s="212">
        <f t="shared" si="2"/>
        <v>0.59035294117647064</v>
      </c>
      <c r="H11" s="213">
        <v>14381</v>
      </c>
      <c r="I11" s="214">
        <v>17000</v>
      </c>
      <c r="J11" s="213"/>
      <c r="K11" s="215">
        <f>I11+J11</f>
        <v>17000</v>
      </c>
      <c r="L11" s="216">
        <f t="shared" si="3"/>
        <v>1</v>
      </c>
      <c r="M11" s="626"/>
      <c r="N11" s="217">
        <f>V11+W11+X11</f>
        <v>17000</v>
      </c>
      <c r="O11" s="26">
        <v>17000</v>
      </c>
      <c r="P11" s="26"/>
      <c r="Q11" s="26"/>
      <c r="R11" s="26"/>
      <c r="S11" s="26"/>
      <c r="T11" s="26"/>
      <c r="U11" s="26"/>
      <c r="V11" s="26">
        <f>SUM(O11:U11)</f>
        <v>17000</v>
      </c>
      <c r="W11" s="26"/>
      <c r="X11" s="26"/>
    </row>
    <row r="12" spans="1:24" ht="15" x14ac:dyDescent="0.2">
      <c r="A12" s="571"/>
      <c r="B12" s="15" t="s">
        <v>21</v>
      </c>
      <c r="C12" s="16"/>
      <c r="D12" s="17" t="s">
        <v>22</v>
      </c>
      <c r="E12" s="18">
        <f>E13+E14+E15+E16+E17+E18+E19</f>
        <v>683680.15</v>
      </c>
      <c r="F12" s="18">
        <f t="shared" ref="F12:X12" si="5">F13+F14+F15+F16+F17+F18+F19</f>
        <v>545634.94999999995</v>
      </c>
      <c r="G12" s="218">
        <f t="shared" si="2"/>
        <v>0.79808511333845211</v>
      </c>
      <c r="H12" s="18">
        <f t="shared" si="5"/>
        <v>682680.12</v>
      </c>
      <c r="I12" s="20">
        <f t="shared" si="5"/>
        <v>92541.55</v>
      </c>
      <c r="J12" s="114">
        <f t="shared" si="5"/>
        <v>0</v>
      </c>
      <c r="K12" s="209">
        <f t="shared" si="5"/>
        <v>92541.55</v>
      </c>
      <c r="L12" s="219">
        <f t="shared" si="3"/>
        <v>0.13535795942005921</v>
      </c>
      <c r="M12" s="21"/>
      <c r="N12" s="210">
        <f>V12+W12+X12</f>
        <v>92541.55</v>
      </c>
      <c r="O12" s="95">
        <f t="shared" si="5"/>
        <v>0</v>
      </c>
      <c r="P12" s="95">
        <f t="shared" si="5"/>
        <v>31541.55</v>
      </c>
      <c r="Q12" s="95">
        <f t="shared" si="5"/>
        <v>1000</v>
      </c>
      <c r="R12" s="95">
        <f t="shared" si="5"/>
        <v>60000</v>
      </c>
      <c r="S12" s="95">
        <f t="shared" si="5"/>
        <v>0</v>
      </c>
      <c r="T12" s="95">
        <f t="shared" si="5"/>
        <v>0</v>
      </c>
      <c r="U12" s="95">
        <f t="shared" si="5"/>
        <v>0</v>
      </c>
      <c r="V12" s="95">
        <f t="shared" si="5"/>
        <v>92541.55</v>
      </c>
      <c r="W12" s="95">
        <f t="shared" si="5"/>
        <v>0</v>
      </c>
      <c r="X12" s="95">
        <f t="shared" si="5"/>
        <v>0</v>
      </c>
    </row>
    <row r="13" spans="1:24" x14ac:dyDescent="0.2">
      <c r="A13" s="572"/>
      <c r="B13" s="22"/>
      <c r="C13" s="23" t="s">
        <v>373</v>
      </c>
      <c r="D13" s="24" t="s">
        <v>374</v>
      </c>
      <c r="E13" s="25" t="s">
        <v>375</v>
      </c>
      <c r="F13" s="211">
        <v>3948.34</v>
      </c>
      <c r="G13" s="212">
        <f t="shared" si="2"/>
        <v>1</v>
      </c>
      <c r="H13" s="213">
        <v>3948.34</v>
      </c>
      <c r="I13" s="214"/>
      <c r="J13" s="213"/>
      <c r="K13" s="215">
        <f>I13+J13</f>
        <v>0</v>
      </c>
      <c r="L13" s="216">
        <f t="shared" si="3"/>
        <v>0</v>
      </c>
      <c r="M13" s="626"/>
      <c r="N13" s="217">
        <f>V13+W13+X13</f>
        <v>0</v>
      </c>
      <c r="O13" s="26"/>
      <c r="P13" s="26"/>
      <c r="Q13" s="26"/>
      <c r="R13" s="26"/>
      <c r="S13" s="26"/>
      <c r="T13" s="26"/>
      <c r="U13" s="26"/>
      <c r="V13" s="26">
        <f>SUM(O13:U13)</f>
        <v>0</v>
      </c>
      <c r="W13" s="26"/>
      <c r="X13" s="26"/>
    </row>
    <row r="14" spans="1:24" x14ac:dyDescent="0.2">
      <c r="A14" s="572"/>
      <c r="B14" s="22"/>
      <c r="C14" s="23" t="s">
        <v>376</v>
      </c>
      <c r="D14" s="24" t="s">
        <v>377</v>
      </c>
      <c r="E14" s="25" t="s">
        <v>378</v>
      </c>
      <c r="F14" s="211">
        <v>678.72</v>
      </c>
      <c r="G14" s="212">
        <f t="shared" si="2"/>
        <v>1</v>
      </c>
      <c r="H14" s="213">
        <v>678.72</v>
      </c>
      <c r="I14" s="214"/>
      <c r="J14" s="213"/>
      <c r="K14" s="215">
        <f t="shared" ref="K14:K19" si="6">I14+J14</f>
        <v>0</v>
      </c>
      <c r="L14" s="216">
        <f t="shared" si="3"/>
        <v>0</v>
      </c>
      <c r="M14" s="626"/>
      <c r="N14" s="217">
        <f t="shared" ref="N14:N19" si="7">V14+W14+X14</f>
        <v>0</v>
      </c>
      <c r="O14" s="26"/>
      <c r="P14" s="26"/>
      <c r="Q14" s="26"/>
      <c r="R14" s="26"/>
      <c r="S14" s="26"/>
      <c r="T14" s="26"/>
      <c r="U14" s="26"/>
      <c r="V14" s="26">
        <f t="shared" ref="V14:V19" si="8">SUM(O14:U14)</f>
        <v>0</v>
      </c>
      <c r="W14" s="26"/>
      <c r="X14" s="26"/>
    </row>
    <row r="15" spans="1:24" x14ac:dyDescent="0.2">
      <c r="A15" s="572"/>
      <c r="B15" s="22"/>
      <c r="C15" s="23" t="s">
        <v>379</v>
      </c>
      <c r="D15" s="24" t="s">
        <v>380</v>
      </c>
      <c r="E15" s="25" t="s">
        <v>381</v>
      </c>
      <c r="F15" s="211">
        <v>93.1</v>
      </c>
      <c r="G15" s="212">
        <f t="shared" si="2"/>
        <v>1</v>
      </c>
      <c r="H15" s="213">
        <v>93.1</v>
      </c>
      <c r="I15" s="214"/>
      <c r="J15" s="213"/>
      <c r="K15" s="215">
        <f t="shared" si="6"/>
        <v>0</v>
      </c>
      <c r="L15" s="216">
        <f t="shared" si="3"/>
        <v>0</v>
      </c>
      <c r="M15" s="626"/>
      <c r="N15" s="217">
        <f t="shared" si="7"/>
        <v>0</v>
      </c>
      <c r="O15" s="26"/>
      <c r="P15" s="26"/>
      <c r="Q15" s="26"/>
      <c r="R15" s="26"/>
      <c r="S15" s="26"/>
      <c r="T15" s="26"/>
      <c r="U15" s="26"/>
      <c r="V15" s="26">
        <f t="shared" si="8"/>
        <v>0</v>
      </c>
      <c r="W15" s="26"/>
      <c r="X15" s="26"/>
    </row>
    <row r="16" spans="1:24" x14ac:dyDescent="0.2">
      <c r="A16" s="572"/>
      <c r="B16" s="22"/>
      <c r="C16" s="23" t="s">
        <v>382</v>
      </c>
      <c r="D16" s="24" t="s">
        <v>383</v>
      </c>
      <c r="E16" s="25" t="s">
        <v>384</v>
      </c>
      <c r="F16" s="211">
        <v>7394.03</v>
      </c>
      <c r="G16" s="212">
        <f t="shared" si="2"/>
        <v>0.9999959426891315</v>
      </c>
      <c r="H16" s="213">
        <v>7394.03</v>
      </c>
      <c r="I16" s="214">
        <v>6541.55</v>
      </c>
      <c r="J16" s="213"/>
      <c r="K16" s="215">
        <f t="shared" si="6"/>
        <v>6541.55</v>
      </c>
      <c r="L16" s="216">
        <f t="shared" si="3"/>
        <v>0.88470339705114642</v>
      </c>
      <c r="M16" s="626" t="s">
        <v>385</v>
      </c>
      <c r="N16" s="217">
        <f t="shared" si="7"/>
        <v>6541.55</v>
      </c>
      <c r="O16" s="26"/>
      <c r="P16" s="26">
        <v>6541.55</v>
      </c>
      <c r="Q16" s="26"/>
      <c r="R16" s="26"/>
      <c r="S16" s="26"/>
      <c r="T16" s="26"/>
      <c r="U16" s="26"/>
      <c r="V16" s="26">
        <f t="shared" si="8"/>
        <v>6541.55</v>
      </c>
      <c r="W16" s="26"/>
      <c r="X16" s="26"/>
    </row>
    <row r="17" spans="1:24" ht="33.75" x14ac:dyDescent="0.2">
      <c r="A17" s="572"/>
      <c r="B17" s="22"/>
      <c r="C17" s="23" t="s">
        <v>386</v>
      </c>
      <c r="D17" s="24" t="s">
        <v>387</v>
      </c>
      <c r="E17" s="25" t="s">
        <v>388</v>
      </c>
      <c r="F17" s="211">
        <v>7440</v>
      </c>
      <c r="G17" s="212">
        <f t="shared" si="2"/>
        <v>0.41367415487315384</v>
      </c>
      <c r="H17" s="213">
        <v>16985.169999999998</v>
      </c>
      <c r="I17" s="214">
        <f>1000+60000+15000</f>
        <v>76000</v>
      </c>
      <c r="J17" s="213"/>
      <c r="K17" s="215">
        <f t="shared" si="6"/>
        <v>76000</v>
      </c>
      <c r="L17" s="216">
        <f t="shared" si="3"/>
        <v>4.2257037325752274</v>
      </c>
      <c r="M17" s="626" t="s">
        <v>389</v>
      </c>
      <c r="N17" s="217">
        <f t="shared" si="7"/>
        <v>76000</v>
      </c>
      <c r="O17" s="26"/>
      <c r="P17" s="26">
        <v>15000</v>
      </c>
      <c r="Q17" s="26">
        <v>1000</v>
      </c>
      <c r="R17" s="26">
        <v>60000</v>
      </c>
      <c r="S17" s="26"/>
      <c r="T17" s="26"/>
      <c r="U17" s="26"/>
      <c r="V17" s="26">
        <f t="shared" si="8"/>
        <v>76000</v>
      </c>
      <c r="W17" s="26"/>
      <c r="X17" s="26"/>
    </row>
    <row r="18" spans="1:24" x14ac:dyDescent="0.2">
      <c r="A18" s="572"/>
      <c r="B18" s="22"/>
      <c r="C18" s="23" t="s">
        <v>390</v>
      </c>
      <c r="D18" s="24" t="s">
        <v>391</v>
      </c>
      <c r="E18" s="25" t="s">
        <v>392</v>
      </c>
      <c r="F18" s="211">
        <v>526080.76</v>
      </c>
      <c r="G18" s="212">
        <f t="shared" si="2"/>
        <v>1</v>
      </c>
      <c r="H18" s="213">
        <v>526080.76</v>
      </c>
      <c r="I18" s="214"/>
      <c r="J18" s="213"/>
      <c r="K18" s="215">
        <f t="shared" si="6"/>
        <v>0</v>
      </c>
      <c r="L18" s="216">
        <f t="shared" si="3"/>
        <v>0</v>
      </c>
      <c r="M18" s="626"/>
      <c r="N18" s="217">
        <f t="shared" si="7"/>
        <v>0</v>
      </c>
      <c r="O18" s="26"/>
      <c r="P18" s="26"/>
      <c r="Q18" s="26"/>
      <c r="R18" s="26"/>
      <c r="S18" s="26"/>
      <c r="T18" s="26"/>
      <c r="U18" s="26"/>
      <c r="V18" s="26">
        <f t="shared" si="8"/>
        <v>0</v>
      </c>
      <c r="W18" s="26"/>
      <c r="X18" s="26"/>
    </row>
    <row r="19" spans="1:24" ht="22.5" x14ac:dyDescent="0.2">
      <c r="A19" s="572"/>
      <c r="B19" s="22"/>
      <c r="C19" s="23" t="s">
        <v>393</v>
      </c>
      <c r="D19" s="24" t="s">
        <v>394</v>
      </c>
      <c r="E19" s="25" t="s">
        <v>395</v>
      </c>
      <c r="F19" s="211">
        <v>0</v>
      </c>
      <c r="G19" s="212">
        <f t="shared" si="2"/>
        <v>0</v>
      </c>
      <c r="H19" s="213">
        <v>127500</v>
      </c>
      <c r="I19" s="214">
        <v>10000</v>
      </c>
      <c r="J19" s="213"/>
      <c r="K19" s="215">
        <f t="shared" si="6"/>
        <v>10000</v>
      </c>
      <c r="L19" s="216">
        <f t="shared" si="3"/>
        <v>7.8431372549019607E-2</v>
      </c>
      <c r="M19" s="626" t="s">
        <v>396</v>
      </c>
      <c r="N19" s="217">
        <f t="shared" si="7"/>
        <v>10000</v>
      </c>
      <c r="O19" s="26"/>
      <c r="P19" s="26">
        <v>10000</v>
      </c>
      <c r="Q19" s="26"/>
      <c r="R19" s="26"/>
      <c r="S19" s="26"/>
      <c r="T19" s="26"/>
      <c r="U19" s="26"/>
      <c r="V19" s="26">
        <f t="shared" si="8"/>
        <v>10000</v>
      </c>
      <c r="W19" s="26"/>
      <c r="X19" s="26"/>
    </row>
    <row r="20" spans="1:24" x14ac:dyDescent="0.2">
      <c r="A20" s="574" t="s">
        <v>37</v>
      </c>
      <c r="B20" s="39"/>
      <c r="C20" s="39"/>
      <c r="D20" s="40" t="s">
        <v>38</v>
      </c>
      <c r="E20" s="41">
        <f>E21</f>
        <v>20000</v>
      </c>
      <c r="F20" s="41">
        <f t="shared" ref="F20:X20" si="9">F21</f>
        <v>5769.41</v>
      </c>
      <c r="G20" s="220">
        <f t="shared" si="2"/>
        <v>0.28847050000000002</v>
      </c>
      <c r="H20" s="41">
        <f t="shared" si="9"/>
        <v>19147.46</v>
      </c>
      <c r="I20" s="43">
        <f t="shared" si="9"/>
        <v>25000</v>
      </c>
      <c r="J20" s="111">
        <f t="shared" si="9"/>
        <v>0</v>
      </c>
      <c r="K20" s="206">
        <f t="shared" si="9"/>
        <v>25000</v>
      </c>
      <c r="L20" s="221">
        <f t="shared" si="3"/>
        <v>1.25</v>
      </c>
      <c r="M20" s="207"/>
      <c r="N20" s="208">
        <f t="shared" si="9"/>
        <v>25000</v>
      </c>
      <c r="O20" s="109">
        <f t="shared" si="9"/>
        <v>0</v>
      </c>
      <c r="P20" s="109">
        <f t="shared" si="9"/>
        <v>0</v>
      </c>
      <c r="Q20" s="109">
        <f t="shared" si="9"/>
        <v>25000</v>
      </c>
      <c r="R20" s="109">
        <f t="shared" si="9"/>
        <v>0</v>
      </c>
      <c r="S20" s="109">
        <f t="shared" si="9"/>
        <v>0</v>
      </c>
      <c r="T20" s="109">
        <f t="shared" si="9"/>
        <v>0</v>
      </c>
      <c r="U20" s="109">
        <f t="shared" si="9"/>
        <v>0</v>
      </c>
      <c r="V20" s="109">
        <f t="shared" si="9"/>
        <v>25000</v>
      </c>
      <c r="W20" s="109">
        <f t="shared" si="9"/>
        <v>0</v>
      </c>
      <c r="X20" s="109">
        <f t="shared" si="9"/>
        <v>0</v>
      </c>
    </row>
    <row r="21" spans="1:24" ht="15" x14ac:dyDescent="0.2">
      <c r="A21" s="571"/>
      <c r="B21" s="15" t="s">
        <v>39</v>
      </c>
      <c r="C21" s="16"/>
      <c r="D21" s="17" t="s">
        <v>22</v>
      </c>
      <c r="E21" s="18">
        <f>E22+E23+E24+E25+E26</f>
        <v>20000</v>
      </c>
      <c r="F21" s="18">
        <f t="shared" ref="F21:X21" si="10">F22+F23+F24+F25+F26</f>
        <v>5769.41</v>
      </c>
      <c r="G21" s="218">
        <f t="shared" si="2"/>
        <v>0.28847050000000002</v>
      </c>
      <c r="H21" s="18">
        <f t="shared" si="10"/>
        <v>19147.46</v>
      </c>
      <c r="I21" s="20">
        <f t="shared" si="10"/>
        <v>25000</v>
      </c>
      <c r="J21" s="114">
        <f t="shared" si="10"/>
        <v>0</v>
      </c>
      <c r="K21" s="209">
        <f t="shared" si="10"/>
        <v>25000</v>
      </c>
      <c r="L21" s="219">
        <f t="shared" si="3"/>
        <v>1.25</v>
      </c>
      <c r="M21" s="21"/>
      <c r="N21" s="210">
        <f t="shared" si="10"/>
        <v>25000</v>
      </c>
      <c r="O21" s="95">
        <f t="shared" si="10"/>
        <v>0</v>
      </c>
      <c r="P21" s="95">
        <f t="shared" si="10"/>
        <v>0</v>
      </c>
      <c r="Q21" s="95">
        <f t="shared" si="10"/>
        <v>25000</v>
      </c>
      <c r="R21" s="95">
        <f t="shared" si="10"/>
        <v>0</v>
      </c>
      <c r="S21" s="95">
        <f t="shared" si="10"/>
        <v>0</v>
      </c>
      <c r="T21" s="95">
        <f t="shared" si="10"/>
        <v>0</v>
      </c>
      <c r="U21" s="95">
        <f t="shared" si="10"/>
        <v>0</v>
      </c>
      <c r="V21" s="95">
        <f t="shared" si="10"/>
        <v>25000</v>
      </c>
      <c r="W21" s="95">
        <f t="shared" si="10"/>
        <v>0</v>
      </c>
      <c r="X21" s="95">
        <f t="shared" si="10"/>
        <v>0</v>
      </c>
    </row>
    <row r="22" spans="1:24" x14ac:dyDescent="0.2">
      <c r="A22" s="572"/>
      <c r="B22" s="22"/>
      <c r="C22" s="23" t="s">
        <v>376</v>
      </c>
      <c r="D22" s="24" t="s">
        <v>377</v>
      </c>
      <c r="E22" s="25" t="s">
        <v>397</v>
      </c>
      <c r="F22" s="211">
        <v>584.46</v>
      </c>
      <c r="G22" s="212">
        <f t="shared" si="2"/>
        <v>0.81175000000000008</v>
      </c>
      <c r="H22" s="213">
        <v>670.41</v>
      </c>
      <c r="I22" s="214">
        <v>520</v>
      </c>
      <c r="J22" s="213"/>
      <c r="K22" s="215">
        <f>I22+J22</f>
        <v>520</v>
      </c>
      <c r="L22" s="216">
        <f t="shared" si="3"/>
        <v>0.72222222222222221</v>
      </c>
      <c r="M22" s="626"/>
      <c r="N22" s="217">
        <f>V22+W22+X22</f>
        <v>520</v>
      </c>
      <c r="O22" s="26"/>
      <c r="P22" s="26"/>
      <c r="Q22" s="26">
        <v>520</v>
      </c>
      <c r="R22" s="26"/>
      <c r="S22" s="26"/>
      <c r="T22" s="26"/>
      <c r="U22" s="26"/>
      <c r="V22" s="26">
        <f>SUM(O22:U22)</f>
        <v>520</v>
      </c>
      <c r="W22" s="26"/>
      <c r="X22" s="26"/>
    </row>
    <row r="23" spans="1:24" x14ac:dyDescent="0.2">
      <c r="A23" s="572"/>
      <c r="B23" s="22"/>
      <c r="C23" s="23" t="s">
        <v>398</v>
      </c>
      <c r="D23" s="24" t="s">
        <v>399</v>
      </c>
      <c r="E23" s="25" t="s">
        <v>79</v>
      </c>
      <c r="F23" s="211">
        <v>3773.77</v>
      </c>
      <c r="G23" s="212">
        <f t="shared" si="2"/>
        <v>0.94344249999999996</v>
      </c>
      <c r="H23" s="213">
        <v>3900</v>
      </c>
      <c r="I23" s="214">
        <v>3000</v>
      </c>
      <c r="J23" s="213"/>
      <c r="K23" s="215">
        <f t="shared" ref="K23:K26" si="11">I23+J23</f>
        <v>3000</v>
      </c>
      <c r="L23" s="216">
        <f t="shared" si="3"/>
        <v>0.75</v>
      </c>
      <c r="M23" s="626"/>
      <c r="N23" s="217">
        <f t="shared" ref="N23:N26" si="12">V23+W23+X23</f>
        <v>3000</v>
      </c>
      <c r="O23" s="26"/>
      <c r="P23" s="26"/>
      <c r="Q23" s="26">
        <v>3000</v>
      </c>
      <c r="R23" s="26"/>
      <c r="S23" s="26"/>
      <c r="T23" s="26"/>
      <c r="U23" s="26"/>
      <c r="V23" s="26">
        <f t="shared" ref="V23:V26" si="13">SUM(O23:U23)</f>
        <v>3000</v>
      </c>
      <c r="W23" s="26"/>
      <c r="X23" s="26"/>
    </row>
    <row r="24" spans="1:24" x14ac:dyDescent="0.2">
      <c r="A24" s="572"/>
      <c r="B24" s="22"/>
      <c r="C24" s="23" t="s">
        <v>382</v>
      </c>
      <c r="D24" s="24" t="s">
        <v>383</v>
      </c>
      <c r="E24" s="25" t="s">
        <v>400</v>
      </c>
      <c r="F24" s="211">
        <v>734.89</v>
      </c>
      <c r="G24" s="212">
        <f t="shared" si="2"/>
        <v>5.3641605839416059E-2</v>
      </c>
      <c r="H24" s="213">
        <v>13700</v>
      </c>
      <c r="I24" s="214">
        <v>19000</v>
      </c>
      <c r="J24" s="213"/>
      <c r="K24" s="215">
        <f t="shared" si="11"/>
        <v>19000</v>
      </c>
      <c r="L24" s="216">
        <f t="shared" si="3"/>
        <v>1.3868613138686132</v>
      </c>
      <c r="M24" s="626"/>
      <c r="N24" s="217">
        <f t="shared" si="12"/>
        <v>19000</v>
      </c>
      <c r="O24" s="26"/>
      <c r="P24" s="26"/>
      <c r="Q24" s="26">
        <v>19000</v>
      </c>
      <c r="R24" s="26"/>
      <c r="S24" s="26"/>
      <c r="T24" s="26"/>
      <c r="U24" s="26"/>
      <c r="V24" s="26">
        <f t="shared" si="13"/>
        <v>19000</v>
      </c>
      <c r="W24" s="26"/>
      <c r="X24" s="26"/>
    </row>
    <row r="25" spans="1:24" x14ac:dyDescent="0.2">
      <c r="A25" s="572"/>
      <c r="B25" s="22"/>
      <c r="C25" s="23" t="s">
        <v>401</v>
      </c>
      <c r="D25" s="24" t="s">
        <v>402</v>
      </c>
      <c r="E25" s="25" t="s">
        <v>403</v>
      </c>
      <c r="F25" s="211">
        <v>602.29</v>
      </c>
      <c r="G25" s="212">
        <f t="shared" si="2"/>
        <v>0.47053906249999999</v>
      </c>
      <c r="H25" s="213">
        <v>803.05</v>
      </c>
      <c r="I25" s="214">
        <v>2480</v>
      </c>
      <c r="J25" s="213"/>
      <c r="K25" s="215">
        <f t="shared" si="11"/>
        <v>2480</v>
      </c>
      <c r="L25" s="216">
        <f t="shared" si="3"/>
        <v>1.9375</v>
      </c>
      <c r="M25" s="626"/>
      <c r="N25" s="217">
        <f t="shared" si="12"/>
        <v>2480</v>
      </c>
      <c r="O25" s="26"/>
      <c r="P25" s="26"/>
      <c r="Q25" s="26">
        <v>2480</v>
      </c>
      <c r="R25" s="26"/>
      <c r="S25" s="26"/>
      <c r="T25" s="26"/>
      <c r="U25" s="26"/>
      <c r="V25" s="26">
        <f t="shared" si="13"/>
        <v>2480</v>
      </c>
      <c r="W25" s="26"/>
      <c r="X25" s="26"/>
    </row>
    <row r="26" spans="1:24" x14ac:dyDescent="0.2">
      <c r="A26" s="572"/>
      <c r="B26" s="22"/>
      <c r="C26" s="23" t="s">
        <v>386</v>
      </c>
      <c r="D26" s="24" t="s">
        <v>387</v>
      </c>
      <c r="E26" s="25" t="s">
        <v>404</v>
      </c>
      <c r="F26" s="211">
        <v>74</v>
      </c>
      <c r="G26" s="212">
        <f t="shared" si="2"/>
        <v>0.24666666666666667</v>
      </c>
      <c r="H26" s="213">
        <v>74</v>
      </c>
      <c r="I26" s="214">
        <v>0</v>
      </c>
      <c r="J26" s="213"/>
      <c r="K26" s="215">
        <f t="shared" si="11"/>
        <v>0</v>
      </c>
      <c r="L26" s="216">
        <f t="shared" si="3"/>
        <v>0</v>
      </c>
      <c r="M26" s="626"/>
      <c r="N26" s="217">
        <f t="shared" si="12"/>
        <v>0</v>
      </c>
      <c r="O26" s="26"/>
      <c r="P26" s="26"/>
      <c r="Q26" s="26">
        <v>0</v>
      </c>
      <c r="R26" s="26"/>
      <c r="S26" s="26"/>
      <c r="T26" s="26"/>
      <c r="U26" s="26"/>
      <c r="V26" s="26">
        <f t="shared" si="13"/>
        <v>0</v>
      </c>
      <c r="W26" s="26"/>
      <c r="X26" s="26"/>
    </row>
    <row r="27" spans="1:24" x14ac:dyDescent="0.2">
      <c r="A27" s="574" t="s">
        <v>42</v>
      </c>
      <c r="B27" s="39"/>
      <c r="C27" s="39"/>
      <c r="D27" s="40" t="s">
        <v>43</v>
      </c>
      <c r="E27" s="41">
        <f>E28+E31+E33</f>
        <v>4651279.6500000004</v>
      </c>
      <c r="F27" s="41">
        <f t="shared" ref="F27:X27" si="14">F28+F31+F33</f>
        <v>2370757.35</v>
      </c>
      <c r="G27" s="220">
        <f t="shared" si="2"/>
        <v>0.50970002416431781</v>
      </c>
      <c r="H27" s="41">
        <f t="shared" si="14"/>
        <v>4223659.3100000005</v>
      </c>
      <c r="I27" s="43">
        <f t="shared" si="14"/>
        <v>7780910.1299999999</v>
      </c>
      <c r="J27" s="111">
        <f t="shared" si="14"/>
        <v>-3102500</v>
      </c>
      <c r="K27" s="206">
        <f t="shared" si="14"/>
        <v>4678410.13</v>
      </c>
      <c r="L27" s="221">
        <f t="shared" si="3"/>
        <v>1.0058329066496785</v>
      </c>
      <c r="M27" s="207"/>
      <c r="N27" s="208">
        <f t="shared" si="14"/>
        <v>4678410.13</v>
      </c>
      <c r="O27" s="109">
        <f t="shared" si="14"/>
        <v>0</v>
      </c>
      <c r="P27" s="109">
        <f t="shared" si="14"/>
        <v>29027.75</v>
      </c>
      <c r="Q27" s="109">
        <f t="shared" si="14"/>
        <v>10000</v>
      </c>
      <c r="R27" s="109">
        <f t="shared" si="14"/>
        <v>4639382.38</v>
      </c>
      <c r="S27" s="109">
        <f t="shared" si="14"/>
        <v>0</v>
      </c>
      <c r="T27" s="109">
        <f t="shared" si="14"/>
        <v>0</v>
      </c>
      <c r="U27" s="109">
        <f t="shared" si="14"/>
        <v>0</v>
      </c>
      <c r="V27" s="109">
        <f t="shared" si="14"/>
        <v>4678410.13</v>
      </c>
      <c r="W27" s="109">
        <f t="shared" si="14"/>
        <v>0</v>
      </c>
      <c r="X27" s="109">
        <f t="shared" si="14"/>
        <v>0</v>
      </c>
    </row>
    <row r="28" spans="1:24" ht="15" x14ac:dyDescent="0.2">
      <c r="A28" s="571"/>
      <c r="B28" s="15" t="s">
        <v>405</v>
      </c>
      <c r="C28" s="16"/>
      <c r="D28" s="17" t="s">
        <v>406</v>
      </c>
      <c r="E28" s="18">
        <f>E29+E30</f>
        <v>278705</v>
      </c>
      <c r="F28" s="18">
        <f t="shared" ref="F28:X28" si="15">F29+F30</f>
        <v>161522.85</v>
      </c>
      <c r="G28" s="218">
        <f t="shared" si="2"/>
        <v>0.57954772967833379</v>
      </c>
      <c r="H28" s="18">
        <f t="shared" si="15"/>
        <v>264744.52</v>
      </c>
      <c r="I28" s="20">
        <f t="shared" si="15"/>
        <v>400000</v>
      </c>
      <c r="J28" s="114">
        <f t="shared" si="15"/>
        <v>-50000</v>
      </c>
      <c r="K28" s="209">
        <f t="shared" si="15"/>
        <v>350000</v>
      </c>
      <c r="L28" s="219">
        <f t="shared" si="3"/>
        <v>1.2558081125204068</v>
      </c>
      <c r="M28" s="21"/>
      <c r="N28" s="210">
        <f t="shared" si="15"/>
        <v>350000</v>
      </c>
      <c r="O28" s="95">
        <f t="shared" si="15"/>
        <v>0</v>
      </c>
      <c r="P28" s="95">
        <f t="shared" si="15"/>
        <v>0</v>
      </c>
      <c r="Q28" s="95">
        <f t="shared" si="15"/>
        <v>0</v>
      </c>
      <c r="R28" s="95">
        <f t="shared" si="15"/>
        <v>350000</v>
      </c>
      <c r="S28" s="95">
        <f t="shared" si="15"/>
        <v>0</v>
      </c>
      <c r="T28" s="95">
        <f t="shared" si="15"/>
        <v>0</v>
      </c>
      <c r="U28" s="95">
        <f t="shared" si="15"/>
        <v>0</v>
      </c>
      <c r="V28" s="95">
        <f t="shared" si="15"/>
        <v>350000</v>
      </c>
      <c r="W28" s="95">
        <f t="shared" si="15"/>
        <v>0</v>
      </c>
      <c r="X28" s="95">
        <f t="shared" si="15"/>
        <v>0</v>
      </c>
    </row>
    <row r="29" spans="1:24" ht="45" x14ac:dyDescent="0.2">
      <c r="A29" s="572"/>
      <c r="B29" s="22"/>
      <c r="C29" s="23" t="s">
        <v>211</v>
      </c>
      <c r="D29" s="24" t="s">
        <v>407</v>
      </c>
      <c r="E29" s="25" t="s">
        <v>408</v>
      </c>
      <c r="F29" s="211">
        <v>122714.46</v>
      </c>
      <c r="G29" s="212">
        <f t="shared" si="2"/>
        <v>0.55779299999999998</v>
      </c>
      <c r="H29" s="213">
        <v>213000</v>
      </c>
      <c r="I29" s="214">
        <v>250000</v>
      </c>
      <c r="J29" s="213"/>
      <c r="K29" s="215">
        <f>I29+J29</f>
        <v>250000</v>
      </c>
      <c r="L29" s="216">
        <f t="shared" si="3"/>
        <v>1.1363636363636365</v>
      </c>
      <c r="M29" s="626"/>
      <c r="N29" s="217">
        <f>V29+W29+X29</f>
        <v>250000</v>
      </c>
      <c r="O29" s="26"/>
      <c r="P29" s="26"/>
      <c r="Q29" s="26"/>
      <c r="R29" s="26">
        <v>250000</v>
      </c>
      <c r="S29" s="26"/>
      <c r="T29" s="26"/>
      <c r="U29" s="26"/>
      <c r="V29" s="26">
        <f>SUM(O29:U29)</f>
        <v>250000</v>
      </c>
      <c r="W29" s="26"/>
      <c r="X29" s="26"/>
    </row>
    <row r="30" spans="1:24" x14ac:dyDescent="0.2">
      <c r="A30" s="572"/>
      <c r="B30" s="22"/>
      <c r="C30" s="23" t="s">
        <v>386</v>
      </c>
      <c r="D30" s="24" t="s">
        <v>387</v>
      </c>
      <c r="E30" s="25" t="s">
        <v>409</v>
      </c>
      <c r="F30" s="211">
        <v>38808.39</v>
      </c>
      <c r="G30" s="212">
        <f t="shared" si="2"/>
        <v>0.66107469551145559</v>
      </c>
      <c r="H30" s="213">
        <v>51744.52</v>
      </c>
      <c r="I30" s="214">
        <v>150000</v>
      </c>
      <c r="J30" s="213">
        <v>-50000</v>
      </c>
      <c r="K30" s="215">
        <f>I30+J30</f>
        <v>100000</v>
      </c>
      <c r="L30" s="216">
        <f t="shared" si="3"/>
        <v>1.7034324163188825</v>
      </c>
      <c r="M30" s="626"/>
      <c r="N30" s="217">
        <f>V30+W30+X30</f>
        <v>100000</v>
      </c>
      <c r="O30" s="26"/>
      <c r="P30" s="26"/>
      <c r="Q30" s="26"/>
      <c r="R30" s="26">
        <v>100000</v>
      </c>
      <c r="S30" s="26"/>
      <c r="T30" s="26"/>
      <c r="U30" s="26"/>
      <c r="V30" s="26">
        <f>SUM(O30:U30)</f>
        <v>100000</v>
      </c>
      <c r="W30" s="26"/>
      <c r="X30" s="26"/>
    </row>
    <row r="31" spans="1:24" ht="15" x14ac:dyDescent="0.2">
      <c r="A31" s="571"/>
      <c r="B31" s="15" t="s">
        <v>410</v>
      </c>
      <c r="C31" s="16"/>
      <c r="D31" s="17" t="s">
        <v>411</v>
      </c>
      <c r="E31" s="18" t="str">
        <f>E32</f>
        <v>464 160,00</v>
      </c>
      <c r="F31" s="18">
        <f t="shared" ref="F31:X31" si="16">F32</f>
        <v>464160</v>
      </c>
      <c r="G31" s="218">
        <f t="shared" si="2"/>
        <v>1</v>
      </c>
      <c r="H31" s="18">
        <f t="shared" si="16"/>
        <v>464160</v>
      </c>
      <c r="I31" s="20">
        <f>I32</f>
        <v>0</v>
      </c>
      <c r="J31" s="114">
        <f t="shared" si="16"/>
        <v>0</v>
      </c>
      <c r="K31" s="209">
        <f t="shared" si="16"/>
        <v>0</v>
      </c>
      <c r="L31" s="219">
        <f t="shared" si="3"/>
        <v>0</v>
      </c>
      <c r="M31" s="21"/>
      <c r="N31" s="210">
        <f t="shared" si="16"/>
        <v>0</v>
      </c>
      <c r="O31" s="95">
        <f t="shared" si="16"/>
        <v>0</v>
      </c>
      <c r="P31" s="95">
        <f t="shared" si="16"/>
        <v>0</v>
      </c>
      <c r="Q31" s="95">
        <f t="shared" si="16"/>
        <v>0</v>
      </c>
      <c r="R31" s="95">
        <f t="shared" si="16"/>
        <v>0</v>
      </c>
      <c r="S31" s="95">
        <f t="shared" si="16"/>
        <v>0</v>
      </c>
      <c r="T31" s="95">
        <f t="shared" si="16"/>
        <v>0</v>
      </c>
      <c r="U31" s="95">
        <f t="shared" si="16"/>
        <v>0</v>
      </c>
      <c r="V31" s="26">
        <f t="shared" ref="V31:V92" si="17">SUM(O31:U31)</f>
        <v>0</v>
      </c>
      <c r="W31" s="95">
        <f t="shared" si="16"/>
        <v>0</v>
      </c>
      <c r="X31" s="95">
        <f t="shared" si="16"/>
        <v>0</v>
      </c>
    </row>
    <row r="32" spans="1:24" ht="56.25" x14ac:dyDescent="0.2">
      <c r="A32" s="572"/>
      <c r="B32" s="22"/>
      <c r="C32" s="23" t="s">
        <v>18</v>
      </c>
      <c r="D32" s="24" t="s">
        <v>412</v>
      </c>
      <c r="E32" s="25" t="s">
        <v>413</v>
      </c>
      <c r="F32" s="211">
        <v>464160</v>
      </c>
      <c r="G32" s="212">
        <f t="shared" si="2"/>
        <v>1</v>
      </c>
      <c r="H32" s="213">
        <v>464160</v>
      </c>
      <c r="I32" s="214">
        <v>0</v>
      </c>
      <c r="J32" s="213"/>
      <c r="K32" s="215">
        <f>I32+J32</f>
        <v>0</v>
      </c>
      <c r="L32" s="216">
        <f t="shared" si="3"/>
        <v>0</v>
      </c>
      <c r="M32" s="626"/>
      <c r="N32" s="217">
        <f>SUM(V32:X32)</f>
        <v>0</v>
      </c>
      <c r="O32" s="26"/>
      <c r="P32" s="26"/>
      <c r="Q32" s="26"/>
      <c r="R32" s="26"/>
      <c r="S32" s="26"/>
      <c r="T32" s="26"/>
      <c r="U32" s="26"/>
      <c r="V32" s="26">
        <f t="shared" si="17"/>
        <v>0</v>
      </c>
      <c r="W32" s="26"/>
      <c r="X32" s="26"/>
    </row>
    <row r="33" spans="1:24" ht="15" x14ac:dyDescent="0.2">
      <c r="A33" s="571"/>
      <c r="B33" s="15" t="s">
        <v>44</v>
      </c>
      <c r="C33" s="16"/>
      <c r="D33" s="17" t="s">
        <v>45</v>
      </c>
      <c r="E33" s="18">
        <f>E34+E35+E36+E37+E38</f>
        <v>3908414.65</v>
      </c>
      <c r="F33" s="18">
        <f t="shared" ref="F33:X33" si="18">F34+F35+F36+F37+F38</f>
        <v>1745074.5</v>
      </c>
      <c r="G33" s="218">
        <f t="shared" si="2"/>
        <v>0.44649164847440126</v>
      </c>
      <c r="H33" s="18">
        <f t="shared" si="18"/>
        <v>3494754.79</v>
      </c>
      <c r="I33" s="20">
        <f t="shared" si="18"/>
        <v>7380910.1299999999</v>
      </c>
      <c r="J33" s="114">
        <f t="shared" si="18"/>
        <v>-3052500</v>
      </c>
      <c r="K33" s="209">
        <f t="shared" si="18"/>
        <v>4328410.13</v>
      </c>
      <c r="L33" s="219">
        <f t="shared" si="3"/>
        <v>1.1074592942690971</v>
      </c>
      <c r="M33" s="21"/>
      <c r="N33" s="210">
        <f t="shared" si="18"/>
        <v>4328410.13</v>
      </c>
      <c r="O33" s="95">
        <f t="shared" si="18"/>
        <v>0</v>
      </c>
      <c r="P33" s="95">
        <f t="shared" si="18"/>
        <v>29027.75</v>
      </c>
      <c r="Q33" s="95">
        <f t="shared" si="18"/>
        <v>10000</v>
      </c>
      <c r="R33" s="95">
        <f t="shared" si="18"/>
        <v>4289382.38</v>
      </c>
      <c r="S33" s="95">
        <f t="shared" si="18"/>
        <v>0</v>
      </c>
      <c r="T33" s="95">
        <f t="shared" si="18"/>
        <v>0</v>
      </c>
      <c r="U33" s="95">
        <f t="shared" si="18"/>
        <v>0</v>
      </c>
      <c r="V33" s="26">
        <f t="shared" si="17"/>
        <v>4328410.13</v>
      </c>
      <c r="W33" s="95">
        <f t="shared" si="18"/>
        <v>0</v>
      </c>
      <c r="X33" s="95">
        <f t="shared" si="18"/>
        <v>0</v>
      </c>
    </row>
    <row r="34" spans="1:24" ht="22.5" x14ac:dyDescent="0.2">
      <c r="A34" s="572"/>
      <c r="B34" s="22"/>
      <c r="C34" s="23" t="s">
        <v>382</v>
      </c>
      <c r="D34" s="24" t="s">
        <v>383</v>
      </c>
      <c r="E34" s="25" t="s">
        <v>414</v>
      </c>
      <c r="F34" s="211">
        <v>63218.52</v>
      </c>
      <c r="G34" s="212">
        <f t="shared" si="2"/>
        <v>0.48633730966856897</v>
      </c>
      <c r="H34" s="213">
        <v>84291.36</v>
      </c>
      <c r="I34" s="214">
        <f>10000+12000+19027.75</f>
        <v>41027.75</v>
      </c>
      <c r="J34" s="213"/>
      <c r="K34" s="215">
        <f>I34+J34</f>
        <v>41027.75</v>
      </c>
      <c r="L34" s="216">
        <f t="shared" si="3"/>
        <v>0.31562468651203213</v>
      </c>
      <c r="M34" s="626" t="s">
        <v>415</v>
      </c>
      <c r="N34" s="217">
        <f>V34+W34+X34</f>
        <v>41027.75</v>
      </c>
      <c r="O34" s="26"/>
      <c r="P34" s="26">
        <v>19027.75</v>
      </c>
      <c r="Q34" s="26">
        <v>10000</v>
      </c>
      <c r="R34" s="26">
        <v>12000</v>
      </c>
      <c r="S34" s="26"/>
      <c r="T34" s="26"/>
      <c r="U34" s="26"/>
      <c r="V34" s="26">
        <f t="shared" si="17"/>
        <v>41027.75</v>
      </c>
      <c r="W34" s="26"/>
      <c r="X34" s="26"/>
    </row>
    <row r="35" spans="1:24" x14ac:dyDescent="0.2">
      <c r="A35" s="572"/>
      <c r="B35" s="22"/>
      <c r="C35" s="23" t="s">
        <v>416</v>
      </c>
      <c r="D35" s="24" t="s">
        <v>417</v>
      </c>
      <c r="E35" s="25" t="s">
        <v>418</v>
      </c>
      <c r="F35" s="211">
        <v>61307.61</v>
      </c>
      <c r="G35" s="212">
        <f t="shared" si="2"/>
        <v>0.47578389830508477</v>
      </c>
      <c r="H35" s="213">
        <v>81743.48</v>
      </c>
      <c r="I35" s="214">
        <f>230000+25000+12000</f>
        <v>267000</v>
      </c>
      <c r="J35" s="213">
        <v>-100000</v>
      </c>
      <c r="K35" s="215">
        <f t="shared" ref="K35:K38" si="19">I35+J35</f>
        <v>167000</v>
      </c>
      <c r="L35" s="216">
        <f t="shared" si="3"/>
        <v>1.2960203638169741</v>
      </c>
      <c r="M35" s="626"/>
      <c r="N35" s="217">
        <f t="shared" ref="N35:N38" si="20">V35+W35+X35</f>
        <v>167000</v>
      </c>
      <c r="O35" s="26"/>
      <c r="P35" s="26"/>
      <c r="Q35" s="26"/>
      <c r="R35" s="26">
        <f>267000-100000</f>
        <v>167000</v>
      </c>
      <c r="S35" s="26"/>
      <c r="T35" s="26"/>
      <c r="U35" s="26"/>
      <c r="V35" s="26">
        <f t="shared" si="17"/>
        <v>167000</v>
      </c>
      <c r="W35" s="26"/>
      <c r="X35" s="26"/>
    </row>
    <row r="36" spans="1:24" ht="22.5" x14ac:dyDescent="0.2">
      <c r="A36" s="572"/>
      <c r="B36" s="22"/>
      <c r="C36" s="23" t="s">
        <v>386</v>
      </c>
      <c r="D36" s="24" t="s">
        <v>387</v>
      </c>
      <c r="E36" s="25" t="s">
        <v>419</v>
      </c>
      <c r="F36" s="211">
        <v>323701.5</v>
      </c>
      <c r="G36" s="212">
        <f t="shared" si="2"/>
        <v>0.5983495720933123</v>
      </c>
      <c r="H36" s="213">
        <v>540320.13</v>
      </c>
      <c r="I36" s="214">
        <f>1142500+10000</f>
        <v>1152500</v>
      </c>
      <c r="J36" s="213">
        <v>-642500</v>
      </c>
      <c r="K36" s="215">
        <f t="shared" si="19"/>
        <v>510000</v>
      </c>
      <c r="L36" s="216">
        <f t="shared" si="3"/>
        <v>0.94271506856653209</v>
      </c>
      <c r="M36" s="626" t="s">
        <v>420</v>
      </c>
      <c r="N36" s="217">
        <f t="shared" si="20"/>
        <v>510000</v>
      </c>
      <c r="O36" s="26"/>
      <c r="P36" s="26">
        <v>10000</v>
      </c>
      <c r="Q36" s="26"/>
      <c r="R36" s="26">
        <f>1142500-642500</f>
        <v>500000</v>
      </c>
      <c r="S36" s="26"/>
      <c r="T36" s="26"/>
      <c r="U36" s="26"/>
      <c r="V36" s="26">
        <f t="shared" si="17"/>
        <v>510000</v>
      </c>
      <c r="W36" s="26"/>
      <c r="X36" s="26"/>
    </row>
    <row r="37" spans="1:24" x14ac:dyDescent="0.2">
      <c r="A37" s="572"/>
      <c r="B37" s="22"/>
      <c r="C37" s="23" t="s">
        <v>390</v>
      </c>
      <c r="D37" s="24" t="s">
        <v>391</v>
      </c>
      <c r="E37" s="25" t="s">
        <v>421</v>
      </c>
      <c r="F37" s="211">
        <v>7425.82</v>
      </c>
      <c r="G37" s="212">
        <f t="shared" si="2"/>
        <v>0.89792261185006039</v>
      </c>
      <c r="H37" s="213">
        <v>7425.82</v>
      </c>
      <c r="I37" s="214">
        <v>9000</v>
      </c>
      <c r="J37" s="213"/>
      <c r="K37" s="215">
        <f t="shared" si="19"/>
        <v>9000</v>
      </c>
      <c r="L37" s="216">
        <f t="shared" si="3"/>
        <v>1.0882708585247884</v>
      </c>
      <c r="M37" s="626"/>
      <c r="N37" s="217">
        <f t="shared" si="20"/>
        <v>9000</v>
      </c>
      <c r="O37" s="26"/>
      <c r="P37" s="26"/>
      <c r="Q37" s="26"/>
      <c r="R37" s="26">
        <v>9000</v>
      </c>
      <c r="S37" s="26"/>
      <c r="T37" s="26"/>
      <c r="U37" s="26"/>
      <c r="V37" s="26">
        <f t="shared" si="17"/>
        <v>9000</v>
      </c>
      <c r="W37" s="26"/>
      <c r="X37" s="26"/>
    </row>
    <row r="38" spans="1:24" ht="22.5" x14ac:dyDescent="0.2">
      <c r="A38" s="572"/>
      <c r="B38" s="22"/>
      <c r="C38" s="23" t="s">
        <v>393</v>
      </c>
      <c r="D38" s="24" t="s">
        <v>394</v>
      </c>
      <c r="E38" s="25" t="s">
        <v>422</v>
      </c>
      <c r="F38" s="211">
        <v>1289421.05</v>
      </c>
      <c r="G38" s="212">
        <f t="shared" si="2"/>
        <v>0.41590081827327535</v>
      </c>
      <c r="H38" s="213">
        <v>2780974</v>
      </c>
      <c r="I38" s="214">
        <v>5911382.3799999999</v>
      </c>
      <c r="J38" s="213">
        <f>-2320000+10000</f>
        <v>-2310000</v>
      </c>
      <c r="K38" s="215">
        <f t="shared" si="19"/>
        <v>3601382.38</v>
      </c>
      <c r="L38" s="216">
        <f t="shared" si="3"/>
        <v>1.1616204642827537</v>
      </c>
      <c r="M38" s="626"/>
      <c r="N38" s="217">
        <f t="shared" si="20"/>
        <v>3601382.38</v>
      </c>
      <c r="O38" s="26"/>
      <c r="P38" s="26"/>
      <c r="Q38" s="26"/>
      <c r="R38" s="26">
        <f>5911382.38-2320000+10000</f>
        <v>3601382.38</v>
      </c>
      <c r="S38" s="26"/>
      <c r="T38" s="26"/>
      <c r="U38" s="26"/>
      <c r="V38" s="26">
        <f t="shared" si="17"/>
        <v>3601382.38</v>
      </c>
      <c r="W38" s="26"/>
      <c r="X38" s="26"/>
    </row>
    <row r="39" spans="1:24" x14ac:dyDescent="0.2">
      <c r="A39" s="574" t="s">
        <v>423</v>
      </c>
      <c r="B39" s="39"/>
      <c r="C39" s="39"/>
      <c r="D39" s="40" t="s">
        <v>424</v>
      </c>
      <c r="E39" s="41">
        <f>E40</f>
        <v>15000</v>
      </c>
      <c r="F39" s="41">
        <f t="shared" ref="F39:X39" si="21">F40</f>
        <v>12347.27</v>
      </c>
      <c r="G39" s="220">
        <f t="shared" si="2"/>
        <v>0.82315133333333335</v>
      </c>
      <c r="H39" s="41">
        <f t="shared" si="21"/>
        <v>12347.27</v>
      </c>
      <c r="I39" s="43">
        <f t="shared" si="21"/>
        <v>136000</v>
      </c>
      <c r="J39" s="111">
        <f t="shared" si="21"/>
        <v>-40000</v>
      </c>
      <c r="K39" s="206">
        <f t="shared" si="21"/>
        <v>96000</v>
      </c>
      <c r="L39" s="222">
        <f t="shared" si="3"/>
        <v>6.4</v>
      </c>
      <c r="M39" s="207"/>
      <c r="N39" s="208">
        <f t="shared" si="21"/>
        <v>96000</v>
      </c>
      <c r="O39" s="109">
        <f t="shared" si="21"/>
        <v>0</v>
      </c>
      <c r="P39" s="109">
        <f t="shared" si="21"/>
        <v>5000</v>
      </c>
      <c r="Q39" s="109">
        <f t="shared" si="21"/>
        <v>0</v>
      </c>
      <c r="R39" s="109">
        <f t="shared" si="21"/>
        <v>91000</v>
      </c>
      <c r="S39" s="109">
        <f t="shared" si="21"/>
        <v>0</v>
      </c>
      <c r="T39" s="109">
        <f t="shared" si="21"/>
        <v>0</v>
      </c>
      <c r="U39" s="109">
        <f t="shared" si="21"/>
        <v>0</v>
      </c>
      <c r="V39" s="26">
        <f t="shared" si="17"/>
        <v>96000</v>
      </c>
      <c r="W39" s="109">
        <f t="shared" si="21"/>
        <v>0</v>
      </c>
      <c r="X39" s="109">
        <f t="shared" si="21"/>
        <v>0</v>
      </c>
    </row>
    <row r="40" spans="1:24" ht="15" x14ac:dyDescent="0.2">
      <c r="A40" s="571"/>
      <c r="B40" s="15" t="s">
        <v>425</v>
      </c>
      <c r="C40" s="16"/>
      <c r="D40" s="17" t="s">
        <v>22</v>
      </c>
      <c r="E40" s="18">
        <f>E41+E42+E43</f>
        <v>15000</v>
      </c>
      <c r="F40" s="18">
        <f>F41+F42+F43</f>
        <v>12347.27</v>
      </c>
      <c r="G40" s="218">
        <f t="shared" si="2"/>
        <v>0.82315133333333335</v>
      </c>
      <c r="H40" s="18">
        <f>H43+H42+H41</f>
        <v>12347.27</v>
      </c>
      <c r="I40" s="20">
        <f t="shared" ref="I40:X40" si="22">I43+I42+I41</f>
        <v>136000</v>
      </c>
      <c r="J40" s="114">
        <f t="shared" si="22"/>
        <v>-40000</v>
      </c>
      <c r="K40" s="209">
        <f t="shared" si="22"/>
        <v>96000</v>
      </c>
      <c r="L40" s="219">
        <f t="shared" si="3"/>
        <v>6.4</v>
      </c>
      <c r="M40" s="21"/>
      <c r="N40" s="210">
        <f t="shared" si="22"/>
        <v>96000</v>
      </c>
      <c r="O40" s="95">
        <f t="shared" si="22"/>
        <v>0</v>
      </c>
      <c r="P40" s="95">
        <f t="shared" si="22"/>
        <v>5000</v>
      </c>
      <c r="Q40" s="95">
        <f t="shared" si="22"/>
        <v>0</v>
      </c>
      <c r="R40" s="95">
        <f t="shared" si="22"/>
        <v>91000</v>
      </c>
      <c r="S40" s="95">
        <f t="shared" si="22"/>
        <v>0</v>
      </c>
      <c r="T40" s="95">
        <f t="shared" si="22"/>
        <v>0</v>
      </c>
      <c r="U40" s="95">
        <f t="shared" si="22"/>
        <v>0</v>
      </c>
      <c r="V40" s="26">
        <f t="shared" si="17"/>
        <v>96000</v>
      </c>
      <c r="W40" s="95">
        <f t="shared" si="22"/>
        <v>0</v>
      </c>
      <c r="X40" s="95">
        <f t="shared" si="22"/>
        <v>0</v>
      </c>
    </row>
    <row r="41" spans="1:24" x14ac:dyDescent="0.2">
      <c r="A41" s="572"/>
      <c r="B41" s="22"/>
      <c r="C41" s="23" t="s">
        <v>382</v>
      </c>
      <c r="D41" s="24" t="s">
        <v>383</v>
      </c>
      <c r="E41" s="25" t="s">
        <v>104</v>
      </c>
      <c r="F41" s="211">
        <v>973.68</v>
      </c>
      <c r="G41" s="212">
        <f t="shared" si="2"/>
        <v>0.97367999999999999</v>
      </c>
      <c r="H41" s="213">
        <v>973.68</v>
      </c>
      <c r="I41" s="214">
        <f>4000+5000</f>
        <v>9000</v>
      </c>
      <c r="J41" s="213"/>
      <c r="K41" s="215">
        <f>I41+J41</f>
        <v>9000</v>
      </c>
      <c r="L41" s="216">
        <f t="shared" si="3"/>
        <v>9</v>
      </c>
      <c r="M41" s="626" t="s">
        <v>426</v>
      </c>
      <c r="N41" s="217">
        <f>V41+W41+X41</f>
        <v>9000</v>
      </c>
      <c r="O41" s="26"/>
      <c r="P41" s="26">
        <v>5000</v>
      </c>
      <c r="Q41" s="26"/>
      <c r="R41" s="26">
        <v>4000</v>
      </c>
      <c r="S41" s="26"/>
      <c r="T41" s="26"/>
      <c r="U41" s="26"/>
      <c r="V41" s="26">
        <f t="shared" si="17"/>
        <v>9000</v>
      </c>
      <c r="W41" s="26"/>
      <c r="X41" s="26"/>
    </row>
    <row r="42" spans="1:24" x14ac:dyDescent="0.2">
      <c r="A42" s="572"/>
      <c r="B42" s="22"/>
      <c r="C42" s="23" t="s">
        <v>386</v>
      </c>
      <c r="D42" s="24" t="s">
        <v>387</v>
      </c>
      <c r="E42" s="44" t="s">
        <v>242</v>
      </c>
      <c r="F42" s="223">
        <v>11373.59</v>
      </c>
      <c r="G42" s="224">
        <f t="shared" si="2"/>
        <v>0.81239928571428577</v>
      </c>
      <c r="H42" s="225">
        <v>11373.59</v>
      </c>
      <c r="I42" s="226">
        <v>67000</v>
      </c>
      <c r="J42" s="213">
        <v>-30000</v>
      </c>
      <c r="K42" s="215">
        <f t="shared" ref="K42:K43" si="23">I42+J42</f>
        <v>37000</v>
      </c>
      <c r="L42" s="216">
        <f t="shared" si="3"/>
        <v>2.6428571428571428</v>
      </c>
      <c r="M42" s="626"/>
      <c r="N42" s="217">
        <f t="shared" ref="N42:N43" si="24">V42+W42+X42</f>
        <v>37000</v>
      </c>
      <c r="O42" s="26"/>
      <c r="P42" s="26"/>
      <c r="Q42" s="26"/>
      <c r="R42" s="26">
        <f>67000-30000</f>
        <v>37000</v>
      </c>
      <c r="S42" s="26"/>
      <c r="T42" s="26"/>
      <c r="U42" s="26"/>
      <c r="V42" s="26">
        <f t="shared" si="17"/>
        <v>37000</v>
      </c>
      <c r="W42" s="26"/>
      <c r="X42" s="26"/>
    </row>
    <row r="43" spans="1:24" ht="22.5" x14ac:dyDescent="0.2">
      <c r="A43" s="572"/>
      <c r="B43" s="22"/>
      <c r="C43" s="23" t="s">
        <v>393</v>
      </c>
      <c r="D43" s="49" t="s">
        <v>394</v>
      </c>
      <c r="E43" s="50">
        <v>0</v>
      </c>
      <c r="F43" s="211">
        <v>0</v>
      </c>
      <c r="G43" s="212">
        <v>0</v>
      </c>
      <c r="H43" s="213">
        <v>0</v>
      </c>
      <c r="I43" s="214">
        <v>60000</v>
      </c>
      <c r="J43" s="213">
        <v>-10000</v>
      </c>
      <c r="K43" s="215">
        <f t="shared" si="23"/>
        <v>50000</v>
      </c>
      <c r="L43" s="216">
        <v>0</v>
      </c>
      <c r="M43" s="626"/>
      <c r="N43" s="217">
        <f t="shared" si="24"/>
        <v>50000</v>
      </c>
      <c r="O43" s="26"/>
      <c r="P43" s="26"/>
      <c r="Q43" s="26"/>
      <c r="R43" s="26">
        <v>50000</v>
      </c>
      <c r="S43" s="26"/>
      <c r="T43" s="26"/>
      <c r="U43" s="26"/>
      <c r="V43" s="26">
        <f t="shared" si="17"/>
        <v>50000</v>
      </c>
      <c r="W43" s="26"/>
      <c r="X43" s="26"/>
    </row>
    <row r="44" spans="1:24" x14ac:dyDescent="0.2">
      <c r="A44" s="574" t="s">
        <v>51</v>
      </c>
      <c r="B44" s="39"/>
      <c r="C44" s="39"/>
      <c r="D44" s="40" t="s">
        <v>52</v>
      </c>
      <c r="E44" s="51">
        <f>E45+E47</f>
        <v>1610412.71</v>
      </c>
      <c r="F44" s="51">
        <f t="shared" ref="F44:X44" si="25">F45+F47</f>
        <v>1068003.99</v>
      </c>
      <c r="G44" s="227">
        <f t="shared" si="2"/>
        <v>0.66318651322616551</v>
      </c>
      <c r="H44" s="51">
        <f t="shared" si="25"/>
        <v>1474085.7000000002</v>
      </c>
      <c r="I44" s="53">
        <f t="shared" si="25"/>
        <v>1649308.76</v>
      </c>
      <c r="J44" s="111">
        <f t="shared" si="25"/>
        <v>-647457.16</v>
      </c>
      <c r="K44" s="228">
        <f t="shared" si="25"/>
        <v>1001851.6</v>
      </c>
      <c r="L44" s="221">
        <f t="shared" si="3"/>
        <v>0.62210860221042341</v>
      </c>
      <c r="M44" s="229"/>
      <c r="N44" s="208">
        <f t="shared" si="25"/>
        <v>1001847.23</v>
      </c>
      <c r="O44" s="109">
        <f t="shared" si="25"/>
        <v>407847.23</v>
      </c>
      <c r="P44" s="109">
        <f t="shared" si="25"/>
        <v>0</v>
      </c>
      <c r="Q44" s="109">
        <f t="shared" si="25"/>
        <v>472000</v>
      </c>
      <c r="R44" s="109">
        <f t="shared" si="25"/>
        <v>10000</v>
      </c>
      <c r="S44" s="109">
        <f t="shared" si="25"/>
        <v>112000</v>
      </c>
      <c r="T44" s="109">
        <f t="shared" si="25"/>
        <v>0</v>
      </c>
      <c r="U44" s="109">
        <f t="shared" si="25"/>
        <v>0</v>
      </c>
      <c r="V44" s="26">
        <f t="shared" si="17"/>
        <v>1001847.23</v>
      </c>
      <c r="W44" s="109">
        <f t="shared" si="25"/>
        <v>0</v>
      </c>
      <c r="X44" s="109">
        <f t="shared" si="25"/>
        <v>0</v>
      </c>
    </row>
    <row r="45" spans="1:24" ht="23.25" customHeight="1" x14ac:dyDescent="0.2">
      <c r="A45" s="571"/>
      <c r="B45" s="15" t="s">
        <v>53</v>
      </c>
      <c r="C45" s="16"/>
      <c r="D45" s="17" t="s">
        <v>54</v>
      </c>
      <c r="E45" s="18" t="str">
        <f>E46</f>
        <v>498 921,01</v>
      </c>
      <c r="F45" s="18">
        <f t="shared" ref="F45:X45" si="26">F46</f>
        <v>377566.69</v>
      </c>
      <c r="G45" s="218">
        <f t="shared" si="2"/>
        <v>0.75676646690024141</v>
      </c>
      <c r="H45" s="18">
        <f t="shared" si="26"/>
        <v>498921.01</v>
      </c>
      <c r="I45" s="20">
        <f t="shared" si="26"/>
        <v>965308.76</v>
      </c>
      <c r="J45" s="114">
        <f t="shared" si="26"/>
        <v>-557457.16</v>
      </c>
      <c r="K45" s="209">
        <f t="shared" si="26"/>
        <v>407851.6</v>
      </c>
      <c r="L45" s="219">
        <f t="shared" si="3"/>
        <v>0.81746727803665753</v>
      </c>
      <c r="M45" s="21"/>
      <c r="N45" s="210">
        <f t="shared" si="26"/>
        <v>407847.23</v>
      </c>
      <c r="O45" s="95">
        <f t="shared" si="26"/>
        <v>407847.23</v>
      </c>
      <c r="P45" s="95">
        <f t="shared" si="26"/>
        <v>0</v>
      </c>
      <c r="Q45" s="95">
        <f t="shared" si="26"/>
        <v>0</v>
      </c>
      <c r="R45" s="95">
        <f t="shared" si="26"/>
        <v>0</v>
      </c>
      <c r="S45" s="95">
        <f t="shared" si="26"/>
        <v>0</v>
      </c>
      <c r="T45" s="95">
        <f t="shared" si="26"/>
        <v>0</v>
      </c>
      <c r="U45" s="95">
        <f t="shared" si="26"/>
        <v>0</v>
      </c>
      <c r="V45" s="26">
        <f t="shared" si="17"/>
        <v>407847.23</v>
      </c>
      <c r="W45" s="95">
        <f t="shared" si="26"/>
        <v>0</v>
      </c>
      <c r="X45" s="95">
        <f t="shared" si="26"/>
        <v>0</v>
      </c>
    </row>
    <row r="46" spans="1:24" ht="36" customHeight="1" x14ac:dyDescent="0.2">
      <c r="A46" s="572"/>
      <c r="B46" s="22"/>
      <c r="C46" s="23" t="s">
        <v>427</v>
      </c>
      <c r="D46" s="24" t="s">
        <v>428</v>
      </c>
      <c r="E46" s="25" t="s">
        <v>429</v>
      </c>
      <c r="F46" s="211">
        <v>377566.69</v>
      </c>
      <c r="G46" s="212">
        <f t="shared" si="2"/>
        <v>0.75676646690024141</v>
      </c>
      <c r="H46" s="213">
        <v>498921.01</v>
      </c>
      <c r="I46" s="214">
        <f>875409.58+89899.18</f>
        <v>965308.76</v>
      </c>
      <c r="J46" s="213">
        <f>-557461.53+4.37</f>
        <v>-557457.16</v>
      </c>
      <c r="K46" s="215">
        <f>I46+J46</f>
        <v>407851.6</v>
      </c>
      <c r="L46" s="216">
        <f t="shared" si="3"/>
        <v>0.81746727803665753</v>
      </c>
      <c r="M46" s="626" t="s">
        <v>430</v>
      </c>
      <c r="N46" s="217">
        <f>V46+W46+X46</f>
        <v>407847.23</v>
      </c>
      <c r="O46" s="26">
        <f>965308.76-557461.53</f>
        <v>407847.23</v>
      </c>
      <c r="P46" s="26"/>
      <c r="Q46" s="26"/>
      <c r="R46" s="26"/>
      <c r="S46" s="26"/>
      <c r="T46" s="26"/>
      <c r="U46" s="26"/>
      <c r="V46" s="26">
        <f t="shared" si="17"/>
        <v>407847.23</v>
      </c>
      <c r="W46" s="26"/>
      <c r="X46" s="26"/>
    </row>
    <row r="47" spans="1:24" ht="15" x14ac:dyDescent="0.2">
      <c r="A47" s="571"/>
      <c r="B47" s="15" t="s">
        <v>58</v>
      </c>
      <c r="C47" s="16"/>
      <c r="D47" s="17" t="s">
        <v>59</v>
      </c>
      <c r="E47" s="18">
        <f>E48+E49+E50+E51+E52+E53+E54+E55+E56+E57+E58+E59</f>
        <v>1111491.7</v>
      </c>
      <c r="F47" s="18">
        <f t="shared" ref="F47:X47" si="27">F48+F49+F50+F51+F52+F53+F54+F55+F56+F57+F58+F59</f>
        <v>690437.29999999993</v>
      </c>
      <c r="G47" s="218">
        <f t="shared" si="2"/>
        <v>0.62118079694162354</v>
      </c>
      <c r="H47" s="18">
        <f t="shared" si="27"/>
        <v>975164.69000000006</v>
      </c>
      <c r="I47" s="20">
        <f t="shared" si="27"/>
        <v>684000</v>
      </c>
      <c r="J47" s="114">
        <f t="shared" si="27"/>
        <v>-90000</v>
      </c>
      <c r="K47" s="209">
        <f t="shared" si="27"/>
        <v>594000</v>
      </c>
      <c r="L47" s="219">
        <f t="shared" si="3"/>
        <v>0.53441694616343072</v>
      </c>
      <c r="M47" s="21"/>
      <c r="N47" s="210">
        <f t="shared" si="27"/>
        <v>594000</v>
      </c>
      <c r="O47" s="95">
        <f t="shared" si="27"/>
        <v>0</v>
      </c>
      <c r="P47" s="95">
        <f t="shared" si="27"/>
        <v>0</v>
      </c>
      <c r="Q47" s="95">
        <f t="shared" si="27"/>
        <v>472000</v>
      </c>
      <c r="R47" s="95">
        <f t="shared" si="27"/>
        <v>10000</v>
      </c>
      <c r="S47" s="95">
        <f t="shared" si="27"/>
        <v>112000</v>
      </c>
      <c r="T47" s="95">
        <f t="shared" si="27"/>
        <v>0</v>
      </c>
      <c r="U47" s="95">
        <f t="shared" si="27"/>
        <v>0</v>
      </c>
      <c r="V47" s="26">
        <f t="shared" si="17"/>
        <v>594000</v>
      </c>
      <c r="W47" s="95">
        <f t="shared" si="27"/>
        <v>0</v>
      </c>
      <c r="X47" s="95">
        <f t="shared" si="27"/>
        <v>0</v>
      </c>
    </row>
    <row r="48" spans="1:24" x14ac:dyDescent="0.2">
      <c r="A48" s="572"/>
      <c r="B48" s="22"/>
      <c r="C48" s="23" t="s">
        <v>382</v>
      </c>
      <c r="D48" s="24" t="s">
        <v>383</v>
      </c>
      <c r="E48" s="25" t="s">
        <v>431</v>
      </c>
      <c r="F48" s="211">
        <v>6299.96</v>
      </c>
      <c r="G48" s="212">
        <f t="shared" si="2"/>
        <v>0.15423802260703087</v>
      </c>
      <c r="H48" s="213">
        <v>40845.699999999997</v>
      </c>
      <c r="I48" s="214">
        <v>8000</v>
      </c>
      <c r="J48" s="213"/>
      <c r="K48" s="215">
        <f>I48+J48</f>
        <v>8000</v>
      </c>
      <c r="L48" s="216">
        <f t="shared" si="3"/>
        <v>0.19585905003464257</v>
      </c>
      <c r="M48" s="626" t="s">
        <v>432</v>
      </c>
      <c r="N48" s="217">
        <f>V48+W48+X48</f>
        <v>8000</v>
      </c>
      <c r="O48" s="26"/>
      <c r="P48" s="26"/>
      <c r="Q48" s="26"/>
      <c r="R48" s="26"/>
      <c r="S48" s="26">
        <v>8000</v>
      </c>
      <c r="T48" s="26"/>
      <c r="U48" s="26"/>
      <c r="V48" s="26">
        <f t="shared" si="17"/>
        <v>8000</v>
      </c>
      <c r="W48" s="26"/>
      <c r="X48" s="26"/>
    </row>
    <row r="49" spans="1:24" x14ac:dyDescent="0.2">
      <c r="A49" s="572"/>
      <c r="B49" s="22"/>
      <c r="C49" s="23" t="s">
        <v>401</v>
      </c>
      <c r="D49" s="24" t="s">
        <v>402</v>
      </c>
      <c r="E49" s="25" t="s">
        <v>433</v>
      </c>
      <c r="F49" s="211">
        <v>69480.149999999994</v>
      </c>
      <c r="G49" s="212">
        <f t="shared" si="2"/>
        <v>0.728822955565812</v>
      </c>
      <c r="H49" s="213">
        <v>95232</v>
      </c>
      <c r="I49" s="214">
        <v>85000</v>
      </c>
      <c r="J49" s="213"/>
      <c r="K49" s="215">
        <f t="shared" ref="K49:K59" si="28">I49+J49</f>
        <v>85000</v>
      </c>
      <c r="L49" s="216">
        <f t="shared" si="3"/>
        <v>0.89162086183023537</v>
      </c>
      <c r="M49" s="626" t="s">
        <v>434</v>
      </c>
      <c r="N49" s="217">
        <f>V49+W49+X49</f>
        <v>85000</v>
      </c>
      <c r="O49" s="26"/>
      <c r="P49" s="26"/>
      <c r="Q49" s="26"/>
      <c r="R49" s="26"/>
      <c r="S49" s="26">
        <v>85000</v>
      </c>
      <c r="T49" s="26"/>
      <c r="U49" s="26"/>
      <c r="V49" s="26">
        <f t="shared" si="17"/>
        <v>85000</v>
      </c>
      <c r="W49" s="26"/>
      <c r="X49" s="26"/>
    </row>
    <row r="50" spans="1:24" ht="56.25" x14ac:dyDescent="0.2">
      <c r="A50" s="572"/>
      <c r="B50" s="22"/>
      <c r="C50" s="23" t="s">
        <v>416</v>
      </c>
      <c r="D50" s="24" t="s">
        <v>417</v>
      </c>
      <c r="E50" s="25" t="s">
        <v>140</v>
      </c>
      <c r="F50" s="211">
        <v>5996.59</v>
      </c>
      <c r="G50" s="212">
        <f t="shared" si="2"/>
        <v>0.23063807692307692</v>
      </c>
      <c r="H50" s="213">
        <v>25996.59</v>
      </c>
      <c r="I50" s="214">
        <v>6000</v>
      </c>
      <c r="J50" s="213">
        <v>10000</v>
      </c>
      <c r="K50" s="215">
        <f t="shared" si="28"/>
        <v>16000</v>
      </c>
      <c r="L50" s="216">
        <f t="shared" si="3"/>
        <v>0.61538461538461542</v>
      </c>
      <c r="M50" s="626" t="s">
        <v>435</v>
      </c>
      <c r="N50" s="217">
        <f>V50+W50+X50</f>
        <v>16000</v>
      </c>
      <c r="O50" s="26"/>
      <c r="P50" s="26"/>
      <c r="Q50" s="26"/>
      <c r="R50" s="26">
        <v>10000</v>
      </c>
      <c r="S50" s="26">
        <v>6000</v>
      </c>
      <c r="T50" s="26"/>
      <c r="U50" s="26"/>
      <c r="V50" s="26">
        <f t="shared" si="17"/>
        <v>16000</v>
      </c>
      <c r="W50" s="26"/>
      <c r="X50" s="26"/>
    </row>
    <row r="51" spans="1:24" ht="33.75" x14ac:dyDescent="0.2">
      <c r="A51" s="572"/>
      <c r="B51" s="22"/>
      <c r="C51" s="23" t="s">
        <v>386</v>
      </c>
      <c r="D51" s="24" t="s">
        <v>387</v>
      </c>
      <c r="E51" s="25" t="s">
        <v>436</v>
      </c>
      <c r="F51" s="211">
        <v>89257.03</v>
      </c>
      <c r="G51" s="212">
        <f t="shared" si="2"/>
        <v>0.36621724306293518</v>
      </c>
      <c r="H51" s="213">
        <v>219009.37</v>
      </c>
      <c r="I51" s="214">
        <f>120000+13000</f>
        <v>133000</v>
      </c>
      <c r="J51" s="213">
        <v>-10000</v>
      </c>
      <c r="K51" s="215">
        <f t="shared" si="28"/>
        <v>123000</v>
      </c>
      <c r="L51" s="216">
        <f t="shared" si="3"/>
        <v>0.50466300409884834</v>
      </c>
      <c r="M51" s="626" t="s">
        <v>437</v>
      </c>
      <c r="N51" s="217">
        <f>V51+W51+X51</f>
        <v>123000</v>
      </c>
      <c r="O51" s="26"/>
      <c r="P51" s="26"/>
      <c r="Q51" s="26">
        <f>120000-10000</f>
        <v>110000</v>
      </c>
      <c r="R51" s="26"/>
      <c r="S51" s="26">
        <v>13000</v>
      </c>
      <c r="T51" s="26"/>
      <c r="U51" s="26"/>
      <c r="V51" s="26">
        <f t="shared" si="17"/>
        <v>123000</v>
      </c>
      <c r="W51" s="26"/>
      <c r="X51" s="26"/>
    </row>
    <row r="52" spans="1:24" x14ac:dyDescent="0.2">
      <c r="A52" s="572"/>
      <c r="B52" s="22"/>
      <c r="C52" s="23" t="s">
        <v>390</v>
      </c>
      <c r="D52" s="24" t="s">
        <v>391</v>
      </c>
      <c r="E52" s="25" t="s">
        <v>438</v>
      </c>
      <c r="F52" s="211">
        <v>126</v>
      </c>
      <c r="G52" s="212">
        <f t="shared" si="2"/>
        <v>6.8852459016393447E-2</v>
      </c>
      <c r="H52" s="213">
        <v>126</v>
      </c>
      <c r="I52" s="214">
        <f>1500</f>
        <v>1500</v>
      </c>
      <c r="J52" s="213"/>
      <c r="K52" s="215">
        <f t="shared" si="28"/>
        <v>1500</v>
      </c>
      <c r="L52" s="216">
        <f t="shared" si="3"/>
        <v>0.81967213114754101</v>
      </c>
      <c r="M52" s="626"/>
      <c r="N52" s="217">
        <f t="shared" ref="N52:N59" si="29">V52+W52+X52</f>
        <v>1500</v>
      </c>
      <c r="O52" s="26"/>
      <c r="P52" s="26"/>
      <c r="Q52" s="26">
        <v>1500</v>
      </c>
      <c r="R52" s="26"/>
      <c r="S52" s="26"/>
      <c r="T52" s="26"/>
      <c r="U52" s="26"/>
      <c r="V52" s="26">
        <f t="shared" si="17"/>
        <v>1500</v>
      </c>
      <c r="W52" s="26"/>
      <c r="X52" s="26"/>
    </row>
    <row r="53" spans="1:24" ht="22.5" x14ac:dyDescent="0.2">
      <c r="A53" s="572"/>
      <c r="B53" s="22"/>
      <c r="C53" s="23" t="s">
        <v>439</v>
      </c>
      <c r="D53" s="24" t="s">
        <v>440</v>
      </c>
      <c r="E53" s="25" t="s">
        <v>441</v>
      </c>
      <c r="F53" s="211">
        <v>670</v>
      </c>
      <c r="G53" s="212">
        <f t="shared" si="2"/>
        <v>1</v>
      </c>
      <c r="H53" s="213">
        <v>670</v>
      </c>
      <c r="I53" s="214">
        <v>700</v>
      </c>
      <c r="J53" s="213"/>
      <c r="K53" s="215">
        <f t="shared" si="28"/>
        <v>700</v>
      </c>
      <c r="L53" s="216">
        <f t="shared" si="3"/>
        <v>1.044776119402985</v>
      </c>
      <c r="M53" s="626"/>
      <c r="N53" s="217">
        <f t="shared" si="29"/>
        <v>700</v>
      </c>
      <c r="O53" s="26"/>
      <c r="P53" s="26"/>
      <c r="Q53" s="26">
        <v>700</v>
      </c>
      <c r="R53" s="26"/>
      <c r="S53" s="26"/>
      <c r="T53" s="26"/>
      <c r="U53" s="26"/>
      <c r="V53" s="26">
        <f t="shared" si="17"/>
        <v>700</v>
      </c>
      <c r="W53" s="26"/>
      <c r="X53" s="26"/>
    </row>
    <row r="54" spans="1:24" ht="22.5" x14ac:dyDescent="0.2">
      <c r="A54" s="572"/>
      <c r="B54" s="22"/>
      <c r="C54" s="23" t="s">
        <v>442</v>
      </c>
      <c r="D54" s="24" t="s">
        <v>443</v>
      </c>
      <c r="E54" s="25" t="s">
        <v>444</v>
      </c>
      <c r="F54" s="211">
        <v>4649.51</v>
      </c>
      <c r="G54" s="212">
        <f t="shared" si="2"/>
        <v>0.99989462365591397</v>
      </c>
      <c r="H54" s="213">
        <v>4649.51</v>
      </c>
      <c r="I54" s="214">
        <v>4800</v>
      </c>
      <c r="J54" s="213"/>
      <c r="K54" s="215">
        <f t="shared" si="28"/>
        <v>4800</v>
      </c>
      <c r="L54" s="216">
        <f t="shared" si="3"/>
        <v>1.032258064516129</v>
      </c>
      <c r="M54" s="626"/>
      <c r="N54" s="217">
        <f t="shared" si="29"/>
        <v>4800</v>
      </c>
      <c r="O54" s="26"/>
      <c r="P54" s="26"/>
      <c r="Q54" s="26">
        <v>4800</v>
      </c>
      <c r="R54" s="26"/>
      <c r="S54" s="26"/>
      <c r="T54" s="26"/>
      <c r="U54" s="26"/>
      <c r="V54" s="26">
        <f t="shared" si="17"/>
        <v>4800</v>
      </c>
      <c r="W54" s="26"/>
      <c r="X54" s="26"/>
    </row>
    <row r="55" spans="1:24" ht="22.5" x14ac:dyDescent="0.2">
      <c r="A55" s="572"/>
      <c r="B55" s="22"/>
      <c r="C55" s="23" t="s">
        <v>445</v>
      </c>
      <c r="D55" s="24" t="s">
        <v>446</v>
      </c>
      <c r="E55" s="25" t="s">
        <v>143</v>
      </c>
      <c r="F55" s="211">
        <v>96397.1</v>
      </c>
      <c r="G55" s="212">
        <f t="shared" si="2"/>
        <v>0.96397100000000002</v>
      </c>
      <c r="H55" s="213">
        <v>100000</v>
      </c>
      <c r="I55" s="214">
        <v>80000</v>
      </c>
      <c r="J55" s="213"/>
      <c r="K55" s="215">
        <f t="shared" si="28"/>
        <v>80000</v>
      </c>
      <c r="L55" s="216">
        <f t="shared" si="3"/>
        <v>0.8</v>
      </c>
      <c r="M55" s="626"/>
      <c r="N55" s="217">
        <f t="shared" si="29"/>
        <v>80000</v>
      </c>
      <c r="O55" s="26"/>
      <c r="P55" s="26"/>
      <c r="Q55" s="26">
        <v>80000</v>
      </c>
      <c r="R55" s="26"/>
      <c r="S55" s="26"/>
      <c r="T55" s="26"/>
      <c r="U55" s="26"/>
      <c r="V55" s="26">
        <f t="shared" si="17"/>
        <v>80000</v>
      </c>
      <c r="W55" s="26"/>
      <c r="X55" s="26"/>
    </row>
    <row r="56" spans="1:24" ht="33.75" x14ac:dyDescent="0.2">
      <c r="A56" s="572"/>
      <c r="B56" s="22"/>
      <c r="C56" s="23" t="s">
        <v>447</v>
      </c>
      <c r="D56" s="24" t="s">
        <v>448</v>
      </c>
      <c r="E56" s="25" t="s">
        <v>449</v>
      </c>
      <c r="F56" s="211">
        <v>69371.850000000006</v>
      </c>
      <c r="G56" s="212">
        <f t="shared" si="2"/>
        <v>0.43357406250000002</v>
      </c>
      <c r="H56" s="213">
        <v>106000</v>
      </c>
      <c r="I56" s="214">
        <v>160000</v>
      </c>
      <c r="J56" s="213">
        <v>-50000</v>
      </c>
      <c r="K56" s="215">
        <f t="shared" si="28"/>
        <v>110000</v>
      </c>
      <c r="L56" s="216">
        <f t="shared" si="3"/>
        <v>0.6875</v>
      </c>
      <c r="M56" s="626"/>
      <c r="N56" s="217">
        <f t="shared" si="29"/>
        <v>110000</v>
      </c>
      <c r="O56" s="26"/>
      <c r="P56" s="26"/>
      <c r="Q56" s="26">
        <f>160000-50000</f>
        <v>110000</v>
      </c>
      <c r="R56" s="26"/>
      <c r="S56" s="26"/>
      <c r="T56" s="26"/>
      <c r="U56" s="26"/>
      <c r="V56" s="26">
        <f t="shared" si="17"/>
        <v>110000</v>
      </c>
      <c r="W56" s="26"/>
      <c r="X56" s="26"/>
    </row>
    <row r="57" spans="1:24" ht="22.5" x14ac:dyDescent="0.2">
      <c r="A57" s="572"/>
      <c r="B57" s="22"/>
      <c r="C57" s="23" t="s">
        <v>450</v>
      </c>
      <c r="D57" s="24" t="s">
        <v>451</v>
      </c>
      <c r="E57" s="25" t="s">
        <v>78</v>
      </c>
      <c r="F57" s="211">
        <v>6</v>
      </c>
      <c r="G57" s="212">
        <f t="shared" si="2"/>
        <v>1.1999999999999999E-3</v>
      </c>
      <c r="H57" s="213">
        <v>6</v>
      </c>
      <c r="I57" s="214">
        <f>5000</f>
        <v>5000</v>
      </c>
      <c r="J57" s="213"/>
      <c r="K57" s="215">
        <f t="shared" si="28"/>
        <v>5000</v>
      </c>
      <c r="L57" s="216">
        <f t="shared" si="3"/>
        <v>1</v>
      </c>
      <c r="M57" s="626"/>
      <c r="N57" s="217">
        <f t="shared" si="29"/>
        <v>5000</v>
      </c>
      <c r="O57" s="26"/>
      <c r="P57" s="26"/>
      <c r="Q57" s="26">
        <v>5000</v>
      </c>
      <c r="R57" s="26"/>
      <c r="S57" s="26"/>
      <c r="T57" s="26"/>
      <c r="U57" s="26"/>
      <c r="V57" s="26">
        <f t="shared" si="17"/>
        <v>5000</v>
      </c>
      <c r="W57" s="26"/>
      <c r="X57" s="26"/>
    </row>
    <row r="58" spans="1:24" ht="22.5" x14ac:dyDescent="0.2">
      <c r="A58" s="572"/>
      <c r="B58" s="22"/>
      <c r="C58" s="23" t="s">
        <v>393</v>
      </c>
      <c r="D58" s="24" t="s">
        <v>394</v>
      </c>
      <c r="E58" s="25" t="s">
        <v>452</v>
      </c>
      <c r="F58" s="211">
        <v>97595.09</v>
      </c>
      <c r="G58" s="212">
        <f t="shared" si="2"/>
        <v>0.69710778571428567</v>
      </c>
      <c r="H58" s="213">
        <v>132041.5</v>
      </c>
      <c r="I58" s="214"/>
      <c r="J58" s="213"/>
      <c r="K58" s="215">
        <f t="shared" si="28"/>
        <v>0</v>
      </c>
      <c r="L58" s="216">
        <f t="shared" si="3"/>
        <v>0</v>
      </c>
      <c r="M58" s="626"/>
      <c r="N58" s="217">
        <f t="shared" si="29"/>
        <v>0</v>
      </c>
      <c r="O58" s="26"/>
      <c r="P58" s="26"/>
      <c r="Q58" s="26"/>
      <c r="R58" s="26"/>
      <c r="S58" s="26"/>
      <c r="T58" s="26"/>
      <c r="U58" s="26"/>
      <c r="V58" s="26">
        <f t="shared" si="17"/>
        <v>0</v>
      </c>
      <c r="W58" s="26"/>
      <c r="X58" s="26"/>
    </row>
    <row r="59" spans="1:24" ht="22.5" x14ac:dyDescent="0.2">
      <c r="A59" s="572"/>
      <c r="B59" s="22"/>
      <c r="C59" s="23" t="s">
        <v>453</v>
      </c>
      <c r="D59" s="24" t="s">
        <v>454</v>
      </c>
      <c r="E59" s="25" t="s">
        <v>455</v>
      </c>
      <c r="F59" s="211">
        <v>250588.02</v>
      </c>
      <c r="G59" s="212">
        <f t="shared" si="2"/>
        <v>0.85397553819048033</v>
      </c>
      <c r="H59" s="213">
        <v>250588.02</v>
      </c>
      <c r="I59" s="214">
        <f>200000</f>
        <v>200000</v>
      </c>
      <c r="J59" s="213">
        <v>-40000</v>
      </c>
      <c r="K59" s="215">
        <f t="shared" si="28"/>
        <v>160000</v>
      </c>
      <c r="L59" s="216">
        <f t="shared" si="3"/>
        <v>0.54526184496161012</v>
      </c>
      <c r="M59" s="626"/>
      <c r="N59" s="217">
        <f t="shared" si="29"/>
        <v>160000</v>
      </c>
      <c r="O59" s="26"/>
      <c r="P59" s="26"/>
      <c r="Q59" s="26">
        <f>200000-40000</f>
        <v>160000</v>
      </c>
      <c r="R59" s="26"/>
      <c r="S59" s="26"/>
      <c r="T59" s="26"/>
      <c r="U59" s="26"/>
      <c r="V59" s="26">
        <f t="shared" si="17"/>
        <v>160000</v>
      </c>
      <c r="W59" s="26"/>
      <c r="X59" s="26"/>
    </row>
    <row r="60" spans="1:24" x14ac:dyDescent="0.2">
      <c r="A60" s="574" t="s">
        <v>456</v>
      </c>
      <c r="B60" s="39"/>
      <c r="C60" s="39"/>
      <c r="D60" s="40" t="s">
        <v>457</v>
      </c>
      <c r="E60" s="41">
        <f>E61+E64</f>
        <v>103000</v>
      </c>
      <c r="F60" s="41">
        <f t="shared" ref="F60:X60" si="30">F61+F64</f>
        <v>55301.61</v>
      </c>
      <c r="G60" s="220">
        <f t="shared" si="2"/>
        <v>0.53690883495145636</v>
      </c>
      <c r="H60" s="41">
        <f t="shared" si="30"/>
        <v>94031.81</v>
      </c>
      <c r="I60" s="43">
        <f t="shared" si="30"/>
        <v>144000</v>
      </c>
      <c r="J60" s="111">
        <f t="shared" si="30"/>
        <v>-40000</v>
      </c>
      <c r="K60" s="206">
        <f t="shared" si="30"/>
        <v>104000</v>
      </c>
      <c r="L60" s="221">
        <f t="shared" si="3"/>
        <v>1.0097087378640777</v>
      </c>
      <c r="M60" s="207"/>
      <c r="N60" s="208">
        <f t="shared" si="30"/>
        <v>104000</v>
      </c>
      <c r="O60" s="109">
        <f t="shared" si="30"/>
        <v>0</v>
      </c>
      <c r="P60" s="109">
        <f t="shared" si="30"/>
        <v>0</v>
      </c>
      <c r="Q60" s="109">
        <f t="shared" si="30"/>
        <v>100000</v>
      </c>
      <c r="R60" s="109">
        <f t="shared" si="30"/>
        <v>4000</v>
      </c>
      <c r="S60" s="109">
        <f t="shared" si="30"/>
        <v>0</v>
      </c>
      <c r="T60" s="109">
        <f t="shared" si="30"/>
        <v>0</v>
      </c>
      <c r="U60" s="109">
        <f t="shared" si="30"/>
        <v>0</v>
      </c>
      <c r="V60" s="26">
        <f t="shared" si="17"/>
        <v>104000</v>
      </c>
      <c r="W60" s="109">
        <f t="shared" si="30"/>
        <v>0</v>
      </c>
      <c r="X60" s="109">
        <f t="shared" si="30"/>
        <v>0</v>
      </c>
    </row>
    <row r="61" spans="1:24" ht="15" x14ac:dyDescent="0.2">
      <c r="A61" s="571"/>
      <c r="B61" s="15" t="s">
        <v>458</v>
      </c>
      <c r="C61" s="16"/>
      <c r="D61" s="17" t="s">
        <v>459</v>
      </c>
      <c r="E61" s="18">
        <f>E62+E63</f>
        <v>93000</v>
      </c>
      <c r="F61" s="18">
        <f t="shared" ref="F61:X61" si="31">F62+F63</f>
        <v>47801.61</v>
      </c>
      <c r="G61" s="218">
        <f t="shared" si="2"/>
        <v>0.51399580645161291</v>
      </c>
      <c r="H61" s="18">
        <f t="shared" si="31"/>
        <v>84031.81</v>
      </c>
      <c r="I61" s="20">
        <f t="shared" si="31"/>
        <v>120000</v>
      </c>
      <c r="J61" s="114">
        <f t="shared" si="31"/>
        <v>-20000</v>
      </c>
      <c r="K61" s="209">
        <f t="shared" si="31"/>
        <v>100000</v>
      </c>
      <c r="L61" s="219">
        <f t="shared" si="3"/>
        <v>1.075268817204301</v>
      </c>
      <c r="M61" s="21"/>
      <c r="N61" s="210">
        <f t="shared" si="31"/>
        <v>100000</v>
      </c>
      <c r="O61" s="95">
        <f t="shared" si="31"/>
        <v>0</v>
      </c>
      <c r="P61" s="95">
        <f t="shared" si="31"/>
        <v>0</v>
      </c>
      <c r="Q61" s="95">
        <f t="shared" si="31"/>
        <v>100000</v>
      </c>
      <c r="R61" s="95">
        <f t="shared" si="31"/>
        <v>0</v>
      </c>
      <c r="S61" s="95">
        <f t="shared" si="31"/>
        <v>0</v>
      </c>
      <c r="T61" s="95">
        <f t="shared" si="31"/>
        <v>0</v>
      </c>
      <c r="U61" s="95">
        <f t="shared" si="31"/>
        <v>0</v>
      </c>
      <c r="V61" s="26">
        <f t="shared" si="17"/>
        <v>100000</v>
      </c>
      <c r="W61" s="95">
        <f t="shared" si="31"/>
        <v>0</v>
      </c>
      <c r="X61" s="95">
        <f t="shared" si="31"/>
        <v>0</v>
      </c>
    </row>
    <row r="62" spans="1:24" x14ac:dyDescent="0.2">
      <c r="A62" s="572"/>
      <c r="B62" s="22"/>
      <c r="C62" s="23" t="s">
        <v>398</v>
      </c>
      <c r="D62" s="24" t="s">
        <v>399</v>
      </c>
      <c r="E62" s="25" t="s">
        <v>460</v>
      </c>
      <c r="F62" s="211">
        <v>1661.4</v>
      </c>
      <c r="G62" s="212">
        <f t="shared" si="2"/>
        <v>8.0260869565217399E-2</v>
      </c>
      <c r="H62" s="213">
        <v>20700</v>
      </c>
      <c r="I62" s="214">
        <v>35000</v>
      </c>
      <c r="J62" s="213">
        <v>-10000</v>
      </c>
      <c r="K62" s="215">
        <f>I62+J62</f>
        <v>25000</v>
      </c>
      <c r="L62" s="216">
        <f t="shared" si="3"/>
        <v>1.2077294685990339</v>
      </c>
      <c r="M62" s="626"/>
      <c r="N62" s="217">
        <f>V62+W62+X62</f>
        <v>25000</v>
      </c>
      <c r="O62" s="26"/>
      <c r="P62" s="26"/>
      <c r="Q62" s="26">
        <f>35000-10000</f>
        <v>25000</v>
      </c>
      <c r="R62" s="26"/>
      <c r="S62" s="26"/>
      <c r="T62" s="26"/>
      <c r="U62" s="26"/>
      <c r="V62" s="26">
        <f t="shared" si="17"/>
        <v>25000</v>
      </c>
      <c r="W62" s="26"/>
      <c r="X62" s="26"/>
    </row>
    <row r="63" spans="1:24" x14ac:dyDescent="0.2">
      <c r="A63" s="572"/>
      <c r="B63" s="22"/>
      <c r="C63" s="23" t="s">
        <v>386</v>
      </c>
      <c r="D63" s="24" t="s">
        <v>387</v>
      </c>
      <c r="E63" s="25" t="s">
        <v>461</v>
      </c>
      <c r="F63" s="211">
        <v>46140.21</v>
      </c>
      <c r="G63" s="212">
        <f t="shared" si="2"/>
        <v>0.63817717842323651</v>
      </c>
      <c r="H63" s="213">
        <v>63331.81</v>
      </c>
      <c r="I63" s="214">
        <v>85000</v>
      </c>
      <c r="J63" s="213">
        <v>-10000</v>
      </c>
      <c r="K63" s="215">
        <f>I63+J63</f>
        <v>75000</v>
      </c>
      <c r="L63" s="216">
        <f t="shared" si="3"/>
        <v>1.0373443983402491</v>
      </c>
      <c r="M63" s="626"/>
      <c r="N63" s="217">
        <f>V63+W63+X63</f>
        <v>75000</v>
      </c>
      <c r="O63" s="26"/>
      <c r="P63" s="26"/>
      <c r="Q63" s="26">
        <f>85000-10000</f>
        <v>75000</v>
      </c>
      <c r="R63" s="26"/>
      <c r="S63" s="26"/>
      <c r="T63" s="26"/>
      <c r="U63" s="26"/>
      <c r="V63" s="26">
        <f t="shared" si="17"/>
        <v>75000</v>
      </c>
      <c r="W63" s="26"/>
      <c r="X63" s="26"/>
    </row>
    <row r="64" spans="1:24" ht="15" x14ac:dyDescent="0.2">
      <c r="A64" s="571"/>
      <c r="B64" s="15" t="s">
        <v>462</v>
      </c>
      <c r="C64" s="16"/>
      <c r="D64" s="17" t="s">
        <v>463</v>
      </c>
      <c r="E64" s="18" t="str">
        <f>E65</f>
        <v>10 000,00</v>
      </c>
      <c r="F64" s="18">
        <f t="shared" ref="F64:X64" si="32">F65</f>
        <v>7500</v>
      </c>
      <c r="G64" s="218">
        <f t="shared" si="2"/>
        <v>0.75</v>
      </c>
      <c r="H64" s="18">
        <f t="shared" si="32"/>
        <v>10000</v>
      </c>
      <c r="I64" s="20">
        <f t="shared" si="32"/>
        <v>24000</v>
      </c>
      <c r="J64" s="114">
        <f t="shared" si="32"/>
        <v>-20000</v>
      </c>
      <c r="K64" s="209">
        <f t="shared" si="32"/>
        <v>4000</v>
      </c>
      <c r="L64" s="219">
        <f t="shared" si="3"/>
        <v>0.4</v>
      </c>
      <c r="M64" s="21"/>
      <c r="N64" s="210">
        <f t="shared" si="32"/>
        <v>4000</v>
      </c>
      <c r="O64" s="95">
        <f t="shared" si="32"/>
        <v>0</v>
      </c>
      <c r="P64" s="95">
        <f t="shared" si="32"/>
        <v>0</v>
      </c>
      <c r="Q64" s="95">
        <f t="shared" si="32"/>
        <v>0</v>
      </c>
      <c r="R64" s="95">
        <f t="shared" si="32"/>
        <v>4000</v>
      </c>
      <c r="S64" s="95">
        <f t="shared" si="32"/>
        <v>0</v>
      </c>
      <c r="T64" s="95">
        <f t="shared" si="32"/>
        <v>0</v>
      </c>
      <c r="U64" s="95">
        <f t="shared" si="32"/>
        <v>0</v>
      </c>
      <c r="V64" s="26">
        <f t="shared" si="17"/>
        <v>4000</v>
      </c>
      <c r="W64" s="95">
        <f t="shared" si="32"/>
        <v>0</v>
      </c>
      <c r="X64" s="95">
        <f t="shared" si="32"/>
        <v>0</v>
      </c>
    </row>
    <row r="65" spans="1:24" x14ac:dyDescent="0.2">
      <c r="A65" s="572"/>
      <c r="B65" s="22"/>
      <c r="C65" s="23" t="s">
        <v>386</v>
      </c>
      <c r="D65" s="24" t="s">
        <v>387</v>
      </c>
      <c r="E65" s="25" t="s">
        <v>464</v>
      </c>
      <c r="F65" s="211">
        <v>7500</v>
      </c>
      <c r="G65" s="212">
        <f t="shared" si="2"/>
        <v>0.75</v>
      </c>
      <c r="H65" s="213">
        <v>10000</v>
      </c>
      <c r="I65" s="214">
        <v>24000</v>
      </c>
      <c r="J65" s="213">
        <f>-10000-10000</f>
        <v>-20000</v>
      </c>
      <c r="K65" s="215">
        <f>I65+J65</f>
        <v>4000</v>
      </c>
      <c r="L65" s="216">
        <f t="shared" si="3"/>
        <v>0.4</v>
      </c>
      <c r="M65" s="626"/>
      <c r="N65" s="217">
        <f>V65+W65+X65</f>
        <v>4000</v>
      </c>
      <c r="O65" s="26"/>
      <c r="P65" s="26"/>
      <c r="Q65" s="26"/>
      <c r="R65" s="26">
        <v>4000</v>
      </c>
      <c r="S65" s="26"/>
      <c r="T65" s="26"/>
      <c r="U65" s="26"/>
      <c r="V65" s="26">
        <f t="shared" si="17"/>
        <v>4000</v>
      </c>
      <c r="W65" s="26"/>
      <c r="X65" s="26"/>
    </row>
    <row r="66" spans="1:24" x14ac:dyDescent="0.2">
      <c r="A66" s="574" t="s">
        <v>80</v>
      </c>
      <c r="B66" s="39"/>
      <c r="C66" s="39"/>
      <c r="D66" s="40" t="s">
        <v>81</v>
      </c>
      <c r="E66" s="41">
        <f>E67+E76+E82+E105+E111+E127</f>
        <v>4769256.9799999995</v>
      </c>
      <c r="F66" s="41">
        <f>F67+F76+F82+F105+F111+F127</f>
        <v>3158643.1100000013</v>
      </c>
      <c r="G66" s="42">
        <f>F66/E66</f>
        <v>0.6622924961363692</v>
      </c>
      <c r="H66" s="41">
        <f>H67+H76+H82+H105+H111+H127</f>
        <v>4635156.6499999994</v>
      </c>
      <c r="I66" s="43">
        <f>I67+I76+I82+I105+I111+I127</f>
        <v>5667354.4699999997</v>
      </c>
      <c r="J66" s="111">
        <f>J67+J76+J82+J105+J111+J127</f>
        <v>-100585.37</v>
      </c>
      <c r="K66" s="206">
        <f>K67+K76+K82+K105+K111+K127</f>
        <v>5566769.1000000006</v>
      </c>
      <c r="L66" s="221">
        <f t="shared" si="3"/>
        <v>1.167219364220546</v>
      </c>
      <c r="M66" s="207"/>
      <c r="N66" s="208">
        <f t="shared" ref="N66:U66" si="33">N67+N76+N82+N105+N111+N127</f>
        <v>5566773.4700000007</v>
      </c>
      <c r="O66" s="109">
        <f t="shared" si="33"/>
        <v>3488701.2300000004</v>
      </c>
      <c r="P66" s="109">
        <f t="shared" si="33"/>
        <v>0</v>
      </c>
      <c r="Q66" s="109">
        <f t="shared" si="33"/>
        <v>0</v>
      </c>
      <c r="R66" s="109">
        <f t="shared" si="33"/>
        <v>76000</v>
      </c>
      <c r="S66" s="109">
        <f t="shared" si="33"/>
        <v>701498</v>
      </c>
      <c r="T66" s="109">
        <f t="shared" si="33"/>
        <v>447827.24</v>
      </c>
      <c r="U66" s="109">
        <f t="shared" si="33"/>
        <v>0</v>
      </c>
      <c r="V66" s="230">
        <f t="shared" si="17"/>
        <v>4714026.4700000007</v>
      </c>
      <c r="W66" s="109">
        <f>W67+W76+W82+W105+W111+W127</f>
        <v>852747</v>
      </c>
      <c r="X66" s="109">
        <f>X67+X76+X82+X105+X111+X127</f>
        <v>0</v>
      </c>
    </row>
    <row r="67" spans="1:24" ht="15" x14ac:dyDescent="0.2">
      <c r="A67" s="571"/>
      <c r="B67" s="15" t="s">
        <v>82</v>
      </c>
      <c r="C67" s="16"/>
      <c r="D67" s="17" t="s">
        <v>83</v>
      </c>
      <c r="E67" s="18">
        <f>E68+E69+E70+E71+E72+E73+E74+E75</f>
        <v>137230</v>
      </c>
      <c r="F67" s="18">
        <f t="shared" ref="F67:X67" si="34">F68+F69+F70+F71+F72+F73+F74+F75</f>
        <v>102923.99999999999</v>
      </c>
      <c r="G67" s="218">
        <f t="shared" si="2"/>
        <v>0.75001093055454338</v>
      </c>
      <c r="H67" s="18">
        <f t="shared" si="34"/>
        <v>137230</v>
      </c>
      <c r="I67" s="20">
        <f t="shared" si="34"/>
        <v>0</v>
      </c>
      <c r="J67" s="114">
        <f t="shared" si="34"/>
        <v>142825</v>
      </c>
      <c r="K67" s="209">
        <f t="shared" si="34"/>
        <v>142825</v>
      </c>
      <c r="L67" s="219">
        <f t="shared" si="3"/>
        <v>1.0407709684471325</v>
      </c>
      <c r="M67" s="21"/>
      <c r="N67" s="210">
        <f t="shared" si="34"/>
        <v>142825</v>
      </c>
      <c r="O67" s="95">
        <f t="shared" si="34"/>
        <v>138027</v>
      </c>
      <c r="P67" s="95">
        <f t="shared" si="34"/>
        <v>0</v>
      </c>
      <c r="Q67" s="95">
        <f t="shared" si="34"/>
        <v>0</v>
      </c>
      <c r="R67" s="95">
        <f t="shared" si="34"/>
        <v>0</v>
      </c>
      <c r="S67" s="95">
        <f t="shared" si="34"/>
        <v>4798</v>
      </c>
      <c r="T67" s="95">
        <f t="shared" si="34"/>
        <v>0</v>
      </c>
      <c r="U67" s="95">
        <f t="shared" si="34"/>
        <v>0</v>
      </c>
      <c r="V67" s="26">
        <f t="shared" si="17"/>
        <v>142825</v>
      </c>
      <c r="W67" s="95">
        <f t="shared" si="34"/>
        <v>0</v>
      </c>
      <c r="X67" s="95">
        <f t="shared" si="34"/>
        <v>0</v>
      </c>
    </row>
    <row r="68" spans="1:24" x14ac:dyDescent="0.2">
      <c r="A68" s="572"/>
      <c r="B68" s="22"/>
      <c r="C68" s="23" t="s">
        <v>373</v>
      </c>
      <c r="D68" s="24" t="s">
        <v>374</v>
      </c>
      <c r="E68" s="25" t="s">
        <v>465</v>
      </c>
      <c r="F68" s="211">
        <v>77982.559999999998</v>
      </c>
      <c r="G68" s="212">
        <f t="shared" si="2"/>
        <v>0.77226780116390947</v>
      </c>
      <c r="H68" s="25" t="s">
        <v>465</v>
      </c>
      <c r="I68" s="214"/>
      <c r="J68" s="213">
        <v>115368.6</v>
      </c>
      <c r="K68" s="215">
        <f>I68+J68</f>
        <v>115368.6</v>
      </c>
      <c r="L68" s="216">
        <f t="shared" si="3"/>
        <v>1.1425048760307255</v>
      </c>
      <c r="M68" s="626"/>
      <c r="N68" s="217">
        <f>V68+W68+X68</f>
        <v>115368.6</v>
      </c>
      <c r="O68" s="26">
        <f>115368.6</f>
        <v>115368.6</v>
      </c>
      <c r="P68" s="26"/>
      <c r="Q68" s="26"/>
      <c r="R68" s="26"/>
      <c r="S68" s="26"/>
      <c r="T68" s="26"/>
      <c r="U68" s="26"/>
      <c r="V68" s="26">
        <f t="shared" si="17"/>
        <v>115368.6</v>
      </c>
      <c r="W68" s="26"/>
      <c r="X68" s="26"/>
    </row>
    <row r="69" spans="1:24" x14ac:dyDescent="0.2">
      <c r="A69" s="572"/>
      <c r="B69" s="22"/>
      <c r="C69" s="23" t="s">
        <v>466</v>
      </c>
      <c r="D69" s="24" t="s">
        <v>467</v>
      </c>
      <c r="E69" s="25" t="s">
        <v>468</v>
      </c>
      <c r="F69" s="211">
        <v>7775</v>
      </c>
      <c r="G69" s="212">
        <f t="shared" si="2"/>
        <v>1</v>
      </c>
      <c r="H69" s="25" t="s">
        <v>468</v>
      </c>
      <c r="I69" s="214"/>
      <c r="J69" s="213">
        <v>0</v>
      </c>
      <c r="K69" s="215">
        <f t="shared" ref="K69:K75" si="35">I69+J69</f>
        <v>0</v>
      </c>
      <c r="L69" s="216">
        <f t="shared" si="3"/>
        <v>0</v>
      </c>
      <c r="M69" s="626"/>
      <c r="N69" s="217">
        <f t="shared" ref="N69:N75" si="36">V69+W69+X69</f>
        <v>0</v>
      </c>
      <c r="O69" s="26">
        <v>0</v>
      </c>
      <c r="P69" s="26"/>
      <c r="Q69" s="26"/>
      <c r="R69" s="26"/>
      <c r="S69" s="26"/>
      <c r="T69" s="26"/>
      <c r="U69" s="26"/>
      <c r="V69" s="26">
        <f t="shared" si="17"/>
        <v>0</v>
      </c>
      <c r="W69" s="26"/>
      <c r="X69" s="26"/>
    </row>
    <row r="70" spans="1:24" x14ac:dyDescent="0.2">
      <c r="A70" s="572"/>
      <c r="B70" s="22"/>
      <c r="C70" s="23" t="s">
        <v>376</v>
      </c>
      <c r="D70" s="24" t="s">
        <v>377</v>
      </c>
      <c r="E70" s="25" t="s">
        <v>469</v>
      </c>
      <c r="F70" s="211">
        <v>12775.9</v>
      </c>
      <c r="G70" s="212">
        <f t="shared" si="2"/>
        <v>0.68339507080864947</v>
      </c>
      <c r="H70" s="25" t="s">
        <v>469</v>
      </c>
      <c r="I70" s="214"/>
      <c r="J70" s="213">
        <v>19831.87</v>
      </c>
      <c r="K70" s="215">
        <f t="shared" si="35"/>
        <v>19831.87</v>
      </c>
      <c r="L70" s="216">
        <f t="shared" si="3"/>
        <v>1.0608256328648418</v>
      </c>
      <c r="M70" s="626"/>
      <c r="N70" s="217">
        <f t="shared" si="36"/>
        <v>19831.87</v>
      </c>
      <c r="O70" s="26">
        <v>19831.87</v>
      </c>
      <c r="P70" s="26"/>
      <c r="Q70" s="26"/>
      <c r="R70" s="26"/>
      <c r="S70" s="26"/>
      <c r="T70" s="26"/>
      <c r="U70" s="26"/>
      <c r="V70" s="26">
        <f t="shared" si="17"/>
        <v>19831.87</v>
      </c>
      <c r="W70" s="26"/>
      <c r="X70" s="26"/>
    </row>
    <row r="71" spans="1:24" x14ac:dyDescent="0.2">
      <c r="A71" s="572"/>
      <c r="B71" s="22"/>
      <c r="C71" s="23" t="s">
        <v>379</v>
      </c>
      <c r="D71" s="24" t="s">
        <v>380</v>
      </c>
      <c r="E71" s="25" t="s">
        <v>470</v>
      </c>
      <c r="F71" s="211">
        <v>1820.84</v>
      </c>
      <c r="G71" s="212">
        <f t="shared" si="2"/>
        <v>0.6833804973615667</v>
      </c>
      <c r="H71" s="25" t="s">
        <v>470</v>
      </c>
      <c r="I71" s="214"/>
      <c r="J71" s="213">
        <v>2826.53</v>
      </c>
      <c r="K71" s="215">
        <f t="shared" si="35"/>
        <v>2826.53</v>
      </c>
      <c r="L71" s="216">
        <f t="shared" si="3"/>
        <v>1.0608265839982587</v>
      </c>
      <c r="M71" s="626"/>
      <c r="N71" s="217">
        <f t="shared" si="36"/>
        <v>2826.53</v>
      </c>
      <c r="O71" s="26">
        <v>2826.53</v>
      </c>
      <c r="P71" s="26"/>
      <c r="Q71" s="26"/>
      <c r="R71" s="26"/>
      <c r="S71" s="26"/>
      <c r="T71" s="26"/>
      <c r="U71" s="26"/>
      <c r="V71" s="26">
        <f t="shared" si="17"/>
        <v>2826.53</v>
      </c>
      <c r="W71" s="26"/>
      <c r="X71" s="26"/>
    </row>
    <row r="72" spans="1:24" x14ac:dyDescent="0.2">
      <c r="A72" s="572"/>
      <c r="B72" s="22"/>
      <c r="C72" s="23" t="s">
        <v>382</v>
      </c>
      <c r="D72" s="24" t="s">
        <v>383</v>
      </c>
      <c r="E72" s="25" t="s">
        <v>471</v>
      </c>
      <c r="F72" s="211">
        <v>2090</v>
      </c>
      <c r="G72" s="212">
        <f t="shared" si="2"/>
        <v>0.77629658243786848</v>
      </c>
      <c r="H72" s="25" t="s">
        <v>471</v>
      </c>
      <c r="I72" s="214"/>
      <c r="J72" s="213">
        <v>1798</v>
      </c>
      <c r="K72" s="215">
        <f t="shared" si="35"/>
        <v>1798</v>
      </c>
      <c r="L72" s="216">
        <f t="shared" si="3"/>
        <v>0.66783792115946772</v>
      </c>
      <c r="M72" s="626"/>
      <c r="N72" s="217">
        <f t="shared" si="36"/>
        <v>1798</v>
      </c>
      <c r="O72" s="26"/>
      <c r="P72" s="26"/>
      <c r="Q72" s="26"/>
      <c r="R72" s="26"/>
      <c r="S72" s="26">
        <v>1798</v>
      </c>
      <c r="T72" s="26"/>
      <c r="U72" s="26"/>
      <c r="V72" s="26">
        <f t="shared" si="17"/>
        <v>1798</v>
      </c>
      <c r="W72" s="26"/>
      <c r="X72" s="26"/>
    </row>
    <row r="73" spans="1:24" x14ac:dyDescent="0.2">
      <c r="A73" s="572"/>
      <c r="B73" s="22"/>
      <c r="C73" s="23" t="s">
        <v>386</v>
      </c>
      <c r="D73" s="24" t="s">
        <v>387</v>
      </c>
      <c r="E73" s="25" t="s">
        <v>472</v>
      </c>
      <c r="F73" s="211">
        <v>479.7</v>
      </c>
      <c r="G73" s="212">
        <f t="shared" si="2"/>
        <v>0.12203001780717375</v>
      </c>
      <c r="H73" s="25" t="s">
        <v>472</v>
      </c>
      <c r="I73" s="214"/>
      <c r="J73" s="213">
        <v>3000</v>
      </c>
      <c r="K73" s="215">
        <f t="shared" si="35"/>
        <v>3000</v>
      </c>
      <c r="L73" s="216">
        <f t="shared" si="3"/>
        <v>0.76316458916306285</v>
      </c>
      <c r="M73" s="626"/>
      <c r="N73" s="217">
        <f t="shared" si="36"/>
        <v>3000</v>
      </c>
      <c r="O73" s="26"/>
      <c r="P73" s="26"/>
      <c r="Q73" s="26"/>
      <c r="R73" s="26"/>
      <c r="S73" s="26">
        <v>3000</v>
      </c>
      <c r="T73" s="26"/>
      <c r="U73" s="26"/>
      <c r="V73" s="26">
        <f t="shared" si="17"/>
        <v>3000</v>
      </c>
      <c r="W73" s="26"/>
      <c r="X73" s="26"/>
    </row>
    <row r="74" spans="1:24" hidden="1" x14ac:dyDescent="0.2">
      <c r="A74" s="572"/>
      <c r="B74" s="22"/>
      <c r="C74" s="23" t="s">
        <v>473</v>
      </c>
      <c r="D74" s="24" t="s">
        <v>474</v>
      </c>
      <c r="E74" s="25" t="s">
        <v>365</v>
      </c>
      <c r="F74" s="211">
        <v>0</v>
      </c>
      <c r="G74" s="212">
        <v>0</v>
      </c>
      <c r="H74" s="25" t="s">
        <v>365</v>
      </c>
      <c r="I74" s="214"/>
      <c r="J74" s="213">
        <v>0</v>
      </c>
      <c r="K74" s="215">
        <f t="shared" si="35"/>
        <v>0</v>
      </c>
      <c r="L74" s="216">
        <v>0</v>
      </c>
      <c r="M74" s="626"/>
      <c r="N74" s="217">
        <f t="shared" si="36"/>
        <v>0</v>
      </c>
      <c r="O74" s="26"/>
      <c r="P74" s="26"/>
      <c r="Q74" s="26"/>
      <c r="R74" s="26"/>
      <c r="S74" s="26"/>
      <c r="T74" s="26"/>
      <c r="U74" s="26"/>
      <c r="V74" s="26">
        <f t="shared" si="17"/>
        <v>0</v>
      </c>
      <c r="W74" s="26"/>
      <c r="X74" s="26"/>
    </row>
    <row r="75" spans="1:24" ht="22.5" x14ac:dyDescent="0.2">
      <c r="A75" s="572"/>
      <c r="B75" s="22"/>
      <c r="C75" s="23" t="s">
        <v>475</v>
      </c>
      <c r="D75" s="24" t="s">
        <v>476</v>
      </c>
      <c r="E75" s="25" t="s">
        <v>477</v>
      </c>
      <c r="F75" s="211">
        <v>0</v>
      </c>
      <c r="G75" s="212">
        <f t="shared" ref="G75:G137" si="37">F75/E75</f>
        <v>0</v>
      </c>
      <c r="H75" s="25" t="s">
        <v>477</v>
      </c>
      <c r="I75" s="214"/>
      <c r="J75" s="213">
        <v>0</v>
      </c>
      <c r="K75" s="215">
        <f t="shared" si="35"/>
        <v>0</v>
      </c>
      <c r="L75" s="216">
        <f t="shared" ref="L75:L137" si="38">K75/E75</f>
        <v>0</v>
      </c>
      <c r="M75" s="626"/>
      <c r="N75" s="217">
        <f t="shared" si="36"/>
        <v>0</v>
      </c>
      <c r="O75" s="26"/>
      <c r="P75" s="26"/>
      <c r="Q75" s="26"/>
      <c r="R75" s="26"/>
      <c r="S75" s="26"/>
      <c r="T75" s="26"/>
      <c r="U75" s="26"/>
      <c r="V75" s="26">
        <f t="shared" si="17"/>
        <v>0</v>
      </c>
      <c r="W75" s="26"/>
      <c r="X75" s="26"/>
    </row>
    <row r="76" spans="1:24" ht="22.5" x14ac:dyDescent="0.2">
      <c r="A76" s="571"/>
      <c r="B76" s="15" t="s">
        <v>478</v>
      </c>
      <c r="C76" s="16"/>
      <c r="D76" s="17" t="s">
        <v>479</v>
      </c>
      <c r="E76" s="18">
        <f>E77+E78+E79+E80+E81</f>
        <v>312000</v>
      </c>
      <c r="F76" s="18">
        <f t="shared" ref="F76:X76" si="39">F77+F78+F79+F80+F81</f>
        <v>226999.53999999998</v>
      </c>
      <c r="G76" s="218">
        <f t="shared" si="37"/>
        <v>0.72756262820512818</v>
      </c>
      <c r="H76" s="18">
        <f t="shared" si="39"/>
        <v>309046.86</v>
      </c>
      <c r="I76" s="20">
        <f t="shared" si="39"/>
        <v>340547.24</v>
      </c>
      <c r="J76" s="114">
        <f t="shared" si="39"/>
        <v>0</v>
      </c>
      <c r="K76" s="209">
        <f t="shared" si="39"/>
        <v>340547.24</v>
      </c>
      <c r="L76" s="219">
        <f t="shared" si="38"/>
        <v>1.0914975641025642</v>
      </c>
      <c r="M76" s="21"/>
      <c r="N76" s="210">
        <f t="shared" si="39"/>
        <v>340547.24</v>
      </c>
      <c r="O76" s="95">
        <f t="shared" si="39"/>
        <v>0</v>
      </c>
      <c r="P76" s="95">
        <f t="shared" si="39"/>
        <v>0</v>
      </c>
      <c r="Q76" s="95">
        <f t="shared" si="39"/>
        <v>0</v>
      </c>
      <c r="R76" s="95">
        <f t="shared" si="39"/>
        <v>0</v>
      </c>
      <c r="S76" s="95">
        <f t="shared" si="39"/>
        <v>0</v>
      </c>
      <c r="T76" s="95">
        <f t="shared" si="39"/>
        <v>340547.24</v>
      </c>
      <c r="U76" s="95">
        <f t="shared" si="39"/>
        <v>0</v>
      </c>
      <c r="V76" s="26">
        <f t="shared" si="17"/>
        <v>340547.24</v>
      </c>
      <c r="W76" s="95">
        <f t="shared" si="39"/>
        <v>0</v>
      </c>
      <c r="X76" s="95">
        <f t="shared" si="39"/>
        <v>0</v>
      </c>
    </row>
    <row r="77" spans="1:24" x14ac:dyDescent="0.2">
      <c r="A77" s="572"/>
      <c r="B77" s="22"/>
      <c r="C77" s="23" t="s">
        <v>480</v>
      </c>
      <c r="D77" s="24" t="s">
        <v>481</v>
      </c>
      <c r="E77" s="25" t="s">
        <v>482</v>
      </c>
      <c r="F77" s="211">
        <v>207980.05</v>
      </c>
      <c r="G77" s="212">
        <f t="shared" si="37"/>
        <v>0.7427858928571428</v>
      </c>
      <c r="H77" s="213">
        <v>277211.86</v>
      </c>
      <c r="I77" s="214">
        <v>300547.24</v>
      </c>
      <c r="J77" s="213"/>
      <c r="K77" s="215">
        <f>I77+J77</f>
        <v>300547.24</v>
      </c>
      <c r="L77" s="216">
        <f t="shared" si="38"/>
        <v>1.073383</v>
      </c>
      <c r="M77" s="626"/>
      <c r="N77" s="217">
        <f>V77+W77+X77</f>
        <v>300547.24</v>
      </c>
      <c r="O77" s="26"/>
      <c r="P77" s="26"/>
      <c r="Q77" s="26"/>
      <c r="R77" s="26"/>
      <c r="S77" s="26"/>
      <c r="T77" s="211">
        <v>300547.24</v>
      </c>
      <c r="U77" s="26"/>
      <c r="V77" s="26">
        <f t="shared" si="17"/>
        <v>300547.24</v>
      </c>
      <c r="W77" s="26"/>
      <c r="X77" s="26"/>
    </row>
    <row r="78" spans="1:24" x14ac:dyDescent="0.2">
      <c r="A78" s="572"/>
      <c r="B78" s="22"/>
      <c r="C78" s="23" t="s">
        <v>483</v>
      </c>
      <c r="D78" s="24" t="s">
        <v>484</v>
      </c>
      <c r="E78" s="25" t="s">
        <v>79</v>
      </c>
      <c r="F78" s="211">
        <v>3435</v>
      </c>
      <c r="G78" s="212">
        <f t="shared" si="37"/>
        <v>0.85875000000000001</v>
      </c>
      <c r="H78" s="213">
        <v>3835</v>
      </c>
      <c r="I78" s="214">
        <v>4000</v>
      </c>
      <c r="J78" s="213"/>
      <c r="K78" s="215">
        <f t="shared" ref="K78:K81" si="40">I78+J78</f>
        <v>4000</v>
      </c>
      <c r="L78" s="216">
        <f t="shared" si="38"/>
        <v>1</v>
      </c>
      <c r="M78" s="626"/>
      <c r="N78" s="217">
        <f t="shared" ref="N78:N81" si="41">V78+W78+X78</f>
        <v>4000</v>
      </c>
      <c r="O78" s="26"/>
      <c r="P78" s="26"/>
      <c r="Q78" s="26"/>
      <c r="R78" s="26"/>
      <c r="S78" s="26"/>
      <c r="T78" s="211">
        <v>4000</v>
      </c>
      <c r="U78" s="26"/>
      <c r="V78" s="26">
        <f t="shared" si="17"/>
        <v>4000</v>
      </c>
      <c r="W78" s="26"/>
      <c r="X78" s="26"/>
    </row>
    <row r="79" spans="1:24" x14ac:dyDescent="0.2">
      <c r="A79" s="572"/>
      <c r="B79" s="22"/>
      <c r="C79" s="23" t="s">
        <v>382</v>
      </c>
      <c r="D79" s="24" t="s">
        <v>383</v>
      </c>
      <c r="E79" s="25" t="s">
        <v>128</v>
      </c>
      <c r="F79" s="211">
        <v>4650.6899999999996</v>
      </c>
      <c r="G79" s="212">
        <f t="shared" si="37"/>
        <v>0.31004599999999999</v>
      </c>
      <c r="H79" s="213">
        <v>15000</v>
      </c>
      <c r="I79" s="214">
        <v>22000</v>
      </c>
      <c r="J79" s="213"/>
      <c r="K79" s="215">
        <f t="shared" si="40"/>
        <v>22000</v>
      </c>
      <c r="L79" s="216">
        <f t="shared" si="38"/>
        <v>1.4666666666666666</v>
      </c>
      <c r="M79" s="626"/>
      <c r="N79" s="217">
        <f t="shared" si="41"/>
        <v>22000</v>
      </c>
      <c r="O79" s="26"/>
      <c r="P79" s="26"/>
      <c r="Q79" s="26"/>
      <c r="R79" s="26"/>
      <c r="S79" s="26"/>
      <c r="T79" s="211">
        <v>22000</v>
      </c>
      <c r="U79" s="26"/>
      <c r="V79" s="26">
        <f t="shared" si="17"/>
        <v>22000</v>
      </c>
      <c r="W79" s="26"/>
      <c r="X79" s="26"/>
    </row>
    <row r="80" spans="1:24" x14ac:dyDescent="0.2">
      <c r="A80" s="572"/>
      <c r="B80" s="22"/>
      <c r="C80" s="23" t="s">
        <v>386</v>
      </c>
      <c r="D80" s="24" t="s">
        <v>387</v>
      </c>
      <c r="E80" s="25" t="s">
        <v>485</v>
      </c>
      <c r="F80" s="211">
        <v>10933.8</v>
      </c>
      <c r="G80" s="212">
        <f t="shared" si="37"/>
        <v>0.84106153846153842</v>
      </c>
      <c r="H80" s="213">
        <v>13000</v>
      </c>
      <c r="I80" s="214">
        <v>10000</v>
      </c>
      <c r="J80" s="213"/>
      <c r="K80" s="215">
        <f t="shared" si="40"/>
        <v>10000</v>
      </c>
      <c r="L80" s="216">
        <f t="shared" si="38"/>
        <v>0.76923076923076927</v>
      </c>
      <c r="M80" s="626"/>
      <c r="N80" s="217">
        <f t="shared" si="41"/>
        <v>10000</v>
      </c>
      <c r="O80" s="26"/>
      <c r="P80" s="26"/>
      <c r="Q80" s="26"/>
      <c r="R80" s="26"/>
      <c r="S80" s="26"/>
      <c r="T80" s="211">
        <v>10000</v>
      </c>
      <c r="U80" s="26"/>
      <c r="V80" s="26">
        <f t="shared" si="17"/>
        <v>10000</v>
      </c>
      <c r="W80" s="26"/>
      <c r="X80" s="26"/>
    </row>
    <row r="81" spans="1:24" x14ac:dyDescent="0.2">
      <c r="A81" s="572"/>
      <c r="B81" s="22"/>
      <c r="C81" s="23" t="s">
        <v>486</v>
      </c>
      <c r="D81" s="24" t="s">
        <v>487</v>
      </c>
      <c r="E81" s="25" t="s">
        <v>365</v>
      </c>
      <c r="F81" s="211">
        <v>0</v>
      </c>
      <c r="G81" s="212">
        <v>0</v>
      </c>
      <c r="H81" s="213">
        <v>0</v>
      </c>
      <c r="I81" s="214">
        <v>4000</v>
      </c>
      <c r="J81" s="213"/>
      <c r="K81" s="215">
        <f t="shared" si="40"/>
        <v>4000</v>
      </c>
      <c r="L81" s="216">
        <v>0</v>
      </c>
      <c r="M81" s="626"/>
      <c r="N81" s="217">
        <f t="shared" si="41"/>
        <v>4000</v>
      </c>
      <c r="O81" s="26"/>
      <c r="P81" s="26"/>
      <c r="Q81" s="26"/>
      <c r="R81" s="26"/>
      <c r="S81" s="26"/>
      <c r="T81" s="211">
        <v>4000</v>
      </c>
      <c r="U81" s="26"/>
      <c r="V81" s="26">
        <f t="shared" si="17"/>
        <v>4000</v>
      </c>
      <c r="W81" s="26"/>
      <c r="X81" s="26"/>
    </row>
    <row r="82" spans="1:24" ht="22.5" x14ac:dyDescent="0.2">
      <c r="A82" s="571"/>
      <c r="B82" s="15" t="s">
        <v>87</v>
      </c>
      <c r="C82" s="16"/>
      <c r="D82" s="17" t="s">
        <v>88</v>
      </c>
      <c r="E82" s="18">
        <f>E83+E84+E85+E86+E87+E89+E90+E91+E92+E93+E94+E95+E96+E97+E98+E99+E100+E101+E102+E103+E104</f>
        <v>3808753.3099999996</v>
      </c>
      <c r="F82" s="18">
        <f>F83+F84+F85+F86+F87+F89+F90+F91+F92+F93+F94+F95+F96+F97+F98+F99+F100+F101+F102+F103+F104</f>
        <v>2548740.3200000008</v>
      </c>
      <c r="G82" s="218">
        <f t="shared" si="37"/>
        <v>0.66917967968894287</v>
      </c>
      <c r="H82" s="18">
        <f>H83+H84+H85+H86+H87+H89+H90+H91+H92+H93+H94+H95+H96+H97+H98+H99+H100+H101+H102+H103+H104</f>
        <v>3707619.1199999996</v>
      </c>
      <c r="I82" s="18">
        <f>I83+I84+I85+I86+I87+I89+I90+I91+I92+I93+I94+I95+I96+I97+I98+I99+I100+I101+I102+I103+I104+I88</f>
        <v>4146780.23</v>
      </c>
      <c r="J82" s="18">
        <f t="shared" ref="J82:K82" si="42">J83+J84+J85+J86+J87+J89+J90+J91+J92+J93+J94+J95+J96+J97+J98+J99+J100+J101+J102+J103+J104+J88</f>
        <v>-175410.37</v>
      </c>
      <c r="K82" s="209">
        <f t="shared" si="42"/>
        <v>3971369.8600000003</v>
      </c>
      <c r="L82" s="219">
        <f t="shared" si="38"/>
        <v>1.0426954797972989</v>
      </c>
      <c r="M82" s="21"/>
      <c r="N82" s="210">
        <f>N83+N84+N85+N86+N87+N89+N90+N91+N92+N93+N94+N95+N96+N97+N98+N99+N100+N101+N102+N103+N104+N88</f>
        <v>3971374.2300000004</v>
      </c>
      <c r="O82" s="210">
        <f t="shared" ref="O82:X82" si="43">O83+O84+O85+O86+O87+O89+O90+O91+O92+O93+O94+O95+O96+O97+O98+O99+O100+O101+O102+O103+O104+O88</f>
        <v>3274674.2300000004</v>
      </c>
      <c r="P82" s="210">
        <f t="shared" si="43"/>
        <v>0</v>
      </c>
      <c r="Q82" s="210">
        <f t="shared" si="43"/>
        <v>0</v>
      </c>
      <c r="R82" s="210">
        <f t="shared" si="43"/>
        <v>0</v>
      </c>
      <c r="S82" s="210">
        <f t="shared" si="43"/>
        <v>696700</v>
      </c>
      <c r="T82" s="210">
        <f t="shared" si="43"/>
        <v>0</v>
      </c>
      <c r="U82" s="210">
        <f t="shared" si="43"/>
        <v>0</v>
      </c>
      <c r="V82" s="210">
        <f t="shared" si="43"/>
        <v>3971374.2300000004</v>
      </c>
      <c r="W82" s="210">
        <f t="shared" si="43"/>
        <v>0</v>
      </c>
      <c r="X82" s="210">
        <f t="shared" si="43"/>
        <v>0</v>
      </c>
    </row>
    <row r="83" spans="1:24" ht="22.5" x14ac:dyDescent="0.2">
      <c r="A83" s="572"/>
      <c r="B83" s="22"/>
      <c r="C83" s="23" t="s">
        <v>488</v>
      </c>
      <c r="D83" s="24" t="s">
        <v>489</v>
      </c>
      <c r="E83" s="25" t="s">
        <v>490</v>
      </c>
      <c r="F83" s="211">
        <v>6058.29</v>
      </c>
      <c r="G83" s="212">
        <f t="shared" si="37"/>
        <v>0.93204461538461536</v>
      </c>
      <c r="H83" s="213">
        <v>6358.29</v>
      </c>
      <c r="I83" s="214">
        <v>6500</v>
      </c>
      <c r="J83" s="213"/>
      <c r="K83" s="215">
        <f>I83+J83</f>
        <v>6500</v>
      </c>
      <c r="L83" s="216">
        <f t="shared" si="38"/>
        <v>1</v>
      </c>
      <c r="M83" s="626"/>
      <c r="N83" s="217">
        <f>V83+W83+X83</f>
        <v>6500</v>
      </c>
      <c r="O83" s="26"/>
      <c r="P83" s="26"/>
      <c r="Q83" s="26"/>
      <c r="R83" s="26"/>
      <c r="S83" s="26">
        <v>6500</v>
      </c>
      <c r="T83" s="26"/>
      <c r="U83" s="26"/>
      <c r="V83" s="26">
        <f t="shared" si="17"/>
        <v>6500</v>
      </c>
      <c r="W83" s="26"/>
      <c r="X83" s="26"/>
    </row>
    <row r="84" spans="1:24" x14ac:dyDescent="0.2">
      <c r="A84" s="572"/>
      <c r="B84" s="22"/>
      <c r="C84" s="23" t="s">
        <v>373</v>
      </c>
      <c r="D84" s="24" t="s">
        <v>374</v>
      </c>
      <c r="E84" s="25" t="s">
        <v>491</v>
      </c>
      <c r="F84" s="211">
        <v>1558506.11</v>
      </c>
      <c r="G84" s="212">
        <f t="shared" si="37"/>
        <v>0.66470265041220522</v>
      </c>
      <c r="H84" s="213">
        <v>2299459.92</v>
      </c>
      <c r="I84" s="214">
        <v>2604717.65</v>
      </c>
      <c r="J84" s="213">
        <f>-20000-120166.6-5000-20000+4000-2909.57</f>
        <v>-164076.17000000001</v>
      </c>
      <c r="K84" s="215">
        <f t="shared" ref="K84:K104" si="44">I84+J84</f>
        <v>2440641.48</v>
      </c>
      <c r="L84" s="216">
        <f t="shared" si="38"/>
        <v>1.0409332693998659</v>
      </c>
      <c r="M84" s="626"/>
      <c r="N84" s="217">
        <f t="shared" ref="N84:N104" si="45">V84+W84+X84</f>
        <v>2440641.48</v>
      </c>
      <c r="O84" s="211">
        <v>2440641.48</v>
      </c>
      <c r="P84" s="26"/>
      <c r="Q84" s="26"/>
      <c r="R84" s="26"/>
      <c r="S84" s="26"/>
      <c r="T84" s="26"/>
      <c r="U84" s="26"/>
      <c r="V84" s="26">
        <f t="shared" si="17"/>
        <v>2440641.48</v>
      </c>
      <c r="W84" s="26"/>
      <c r="X84" s="26"/>
    </row>
    <row r="85" spans="1:24" x14ac:dyDescent="0.2">
      <c r="A85" s="572"/>
      <c r="B85" s="22"/>
      <c r="C85" s="23" t="s">
        <v>466</v>
      </c>
      <c r="D85" s="24" t="s">
        <v>467</v>
      </c>
      <c r="E85" s="25" t="s">
        <v>492</v>
      </c>
      <c r="F85" s="211">
        <v>162130.22</v>
      </c>
      <c r="G85" s="212">
        <f t="shared" si="37"/>
        <v>1</v>
      </c>
      <c r="H85" s="213">
        <v>162130.22</v>
      </c>
      <c r="I85" s="214">
        <v>194474.16</v>
      </c>
      <c r="J85" s="213">
        <v>0</v>
      </c>
      <c r="K85" s="215">
        <f t="shared" si="44"/>
        <v>194474.16</v>
      </c>
      <c r="L85" s="216">
        <f t="shared" si="38"/>
        <v>1.1994935922494894</v>
      </c>
      <c r="M85" s="626"/>
      <c r="N85" s="217">
        <f t="shared" si="45"/>
        <v>194474.16</v>
      </c>
      <c r="O85" s="211">
        <v>194474.16</v>
      </c>
      <c r="P85" s="26"/>
      <c r="Q85" s="26"/>
      <c r="R85" s="26"/>
      <c r="S85" s="26"/>
      <c r="T85" s="26"/>
      <c r="U85" s="26"/>
      <c r="V85" s="26">
        <f t="shared" si="17"/>
        <v>194474.16</v>
      </c>
      <c r="W85" s="26"/>
      <c r="X85" s="26"/>
    </row>
    <row r="86" spans="1:24" x14ac:dyDescent="0.2">
      <c r="A86" s="572"/>
      <c r="B86" s="22"/>
      <c r="C86" s="23" t="s">
        <v>376</v>
      </c>
      <c r="D86" s="24" t="s">
        <v>377</v>
      </c>
      <c r="E86" s="25" t="s">
        <v>493</v>
      </c>
      <c r="F86" s="211">
        <v>267307.06</v>
      </c>
      <c r="G86" s="212">
        <f t="shared" si="37"/>
        <v>0.62745533536202858</v>
      </c>
      <c r="H86" s="213">
        <v>421448.71</v>
      </c>
      <c r="I86" s="214">
        <v>469998.66</v>
      </c>
      <c r="J86" s="213">
        <f>-19831.87-4000-500.15</f>
        <v>-24332.02</v>
      </c>
      <c r="K86" s="215">
        <f t="shared" si="44"/>
        <v>445666.63999999996</v>
      </c>
      <c r="L86" s="216">
        <f t="shared" si="38"/>
        <v>1.046122429616593</v>
      </c>
      <c r="M86" s="626"/>
      <c r="N86" s="217">
        <f t="shared" si="45"/>
        <v>445666.64</v>
      </c>
      <c r="O86" s="211">
        <v>445666.64</v>
      </c>
      <c r="P86" s="26"/>
      <c r="Q86" s="26"/>
      <c r="R86" s="26"/>
      <c r="S86" s="26"/>
      <c r="T86" s="26"/>
      <c r="U86" s="26"/>
      <c r="V86" s="26">
        <f t="shared" si="17"/>
        <v>445666.64</v>
      </c>
      <c r="W86" s="26"/>
      <c r="X86" s="26"/>
    </row>
    <row r="87" spans="1:24" x14ac:dyDescent="0.2">
      <c r="A87" s="572"/>
      <c r="B87" s="22"/>
      <c r="C87" s="23" t="s">
        <v>379</v>
      </c>
      <c r="D87" s="24" t="s">
        <v>380</v>
      </c>
      <c r="E87" s="25" t="s">
        <v>494</v>
      </c>
      <c r="F87" s="211">
        <v>26911.45</v>
      </c>
      <c r="G87" s="212">
        <f t="shared" si="37"/>
        <v>0.56748764130809082</v>
      </c>
      <c r="H87" s="213">
        <v>47422.09</v>
      </c>
      <c r="I87" s="214">
        <v>55148.76</v>
      </c>
      <c r="J87" s="213">
        <f>-2826.53-71.28</f>
        <v>-2897.8100000000004</v>
      </c>
      <c r="K87" s="215">
        <f t="shared" si="44"/>
        <v>52250.950000000004</v>
      </c>
      <c r="L87" s="216">
        <f t="shared" si="38"/>
        <v>1.1018272286185617</v>
      </c>
      <c r="M87" s="626"/>
      <c r="N87" s="217">
        <f t="shared" si="45"/>
        <v>52250.95</v>
      </c>
      <c r="O87" s="211">
        <v>52250.95</v>
      </c>
      <c r="P87" s="26"/>
      <c r="Q87" s="26"/>
      <c r="R87" s="26"/>
      <c r="S87" s="26"/>
      <c r="T87" s="26"/>
      <c r="U87" s="26"/>
      <c r="V87" s="26">
        <f t="shared" si="17"/>
        <v>52250.95</v>
      </c>
      <c r="W87" s="26"/>
      <c r="X87" s="26"/>
    </row>
    <row r="88" spans="1:24" ht="22.5" x14ac:dyDescent="0.2">
      <c r="A88" s="572"/>
      <c r="B88" s="22"/>
      <c r="C88" s="23" t="s">
        <v>495</v>
      </c>
      <c r="D88" s="24" t="s">
        <v>998</v>
      </c>
      <c r="E88" s="25">
        <v>0</v>
      </c>
      <c r="F88" s="211">
        <v>0</v>
      </c>
      <c r="G88" s="212">
        <v>0</v>
      </c>
      <c r="H88" s="213">
        <v>0</v>
      </c>
      <c r="I88" s="214">
        <v>30000</v>
      </c>
      <c r="J88" s="213"/>
      <c r="K88" s="215">
        <f t="shared" si="44"/>
        <v>30000</v>
      </c>
      <c r="L88" s="216">
        <v>0</v>
      </c>
      <c r="M88" s="626"/>
      <c r="N88" s="217">
        <f t="shared" si="45"/>
        <v>30000</v>
      </c>
      <c r="O88" s="26">
        <v>30000</v>
      </c>
      <c r="P88" s="26"/>
      <c r="Q88" s="26"/>
      <c r="R88" s="26"/>
      <c r="S88" s="26"/>
      <c r="T88" s="26"/>
      <c r="U88" s="26"/>
      <c r="V88" s="26">
        <f t="shared" si="17"/>
        <v>30000</v>
      </c>
      <c r="W88" s="26"/>
      <c r="X88" s="26"/>
    </row>
    <row r="89" spans="1:24" x14ac:dyDescent="0.2">
      <c r="A89" s="572"/>
      <c r="B89" s="22"/>
      <c r="C89" s="23" t="s">
        <v>398</v>
      </c>
      <c r="D89" s="24" t="s">
        <v>399</v>
      </c>
      <c r="E89" s="25" t="s">
        <v>496</v>
      </c>
      <c r="F89" s="211">
        <v>42131.73</v>
      </c>
      <c r="G89" s="212">
        <f t="shared" si="37"/>
        <v>0.69870199004975131</v>
      </c>
      <c r="H89" s="213">
        <v>52987.13</v>
      </c>
      <c r="I89" s="214"/>
      <c r="J89" s="213">
        <f>20000+5000</f>
        <v>25000</v>
      </c>
      <c r="K89" s="215">
        <f t="shared" si="44"/>
        <v>25000</v>
      </c>
      <c r="L89" s="216">
        <f t="shared" si="38"/>
        <v>0.41459369817578773</v>
      </c>
      <c r="M89" s="626"/>
      <c r="N89" s="217">
        <f t="shared" si="45"/>
        <v>25000</v>
      </c>
      <c r="O89" s="26">
        <v>25000</v>
      </c>
      <c r="P89" s="26"/>
      <c r="Q89" s="26"/>
      <c r="R89" s="26"/>
      <c r="S89" s="26"/>
      <c r="T89" s="26"/>
      <c r="U89" s="26"/>
      <c r="V89" s="26">
        <f t="shared" si="17"/>
        <v>25000</v>
      </c>
      <c r="W89" s="26"/>
      <c r="X89" s="26"/>
    </row>
    <row r="90" spans="1:24" x14ac:dyDescent="0.2">
      <c r="A90" s="572"/>
      <c r="B90" s="22"/>
      <c r="C90" s="23" t="s">
        <v>382</v>
      </c>
      <c r="D90" s="24" t="s">
        <v>383</v>
      </c>
      <c r="E90" s="25" t="s">
        <v>497</v>
      </c>
      <c r="F90" s="211">
        <v>72572.37</v>
      </c>
      <c r="G90" s="212">
        <f t="shared" si="37"/>
        <v>0.57827953551733169</v>
      </c>
      <c r="H90" s="213">
        <v>125497</v>
      </c>
      <c r="I90" s="214">
        <v>116700</v>
      </c>
      <c r="J90" s="213"/>
      <c r="K90" s="215">
        <f t="shared" si="44"/>
        <v>116700</v>
      </c>
      <c r="L90" s="216">
        <f t="shared" si="38"/>
        <v>0.92990241044729027</v>
      </c>
      <c r="M90" s="626"/>
      <c r="N90" s="217">
        <f t="shared" si="45"/>
        <v>116700</v>
      </c>
      <c r="O90" s="26"/>
      <c r="P90" s="26"/>
      <c r="Q90" s="26"/>
      <c r="R90" s="26"/>
      <c r="S90" s="26">
        <v>116700</v>
      </c>
      <c r="T90" s="26"/>
      <c r="U90" s="26"/>
      <c r="V90" s="26">
        <f t="shared" si="17"/>
        <v>116700</v>
      </c>
      <c r="W90" s="26"/>
      <c r="X90" s="26"/>
    </row>
    <row r="91" spans="1:24" x14ac:dyDescent="0.2">
      <c r="A91" s="572"/>
      <c r="B91" s="22"/>
      <c r="C91" s="23" t="s">
        <v>401</v>
      </c>
      <c r="D91" s="24" t="s">
        <v>402</v>
      </c>
      <c r="E91" s="25" t="s">
        <v>500</v>
      </c>
      <c r="F91" s="211">
        <v>52896.65</v>
      </c>
      <c r="G91" s="212">
        <f t="shared" si="37"/>
        <v>0.72461164383561649</v>
      </c>
      <c r="H91" s="213">
        <v>72528.87</v>
      </c>
      <c r="I91" s="214">
        <v>76000</v>
      </c>
      <c r="J91" s="213"/>
      <c r="K91" s="215">
        <f t="shared" si="44"/>
        <v>76000</v>
      </c>
      <c r="L91" s="216">
        <f t="shared" si="38"/>
        <v>1.0410958904109588</v>
      </c>
      <c r="M91" s="626"/>
      <c r="N91" s="217">
        <f t="shared" si="45"/>
        <v>76000</v>
      </c>
      <c r="O91" s="26"/>
      <c r="P91" s="26"/>
      <c r="Q91" s="26"/>
      <c r="R91" s="26"/>
      <c r="S91" s="211">
        <v>76000</v>
      </c>
      <c r="T91" s="26"/>
      <c r="U91" s="26"/>
      <c r="V91" s="26">
        <f t="shared" si="17"/>
        <v>76000</v>
      </c>
      <c r="W91" s="26"/>
      <c r="X91" s="26"/>
    </row>
    <row r="92" spans="1:24" x14ac:dyDescent="0.2">
      <c r="A92" s="572"/>
      <c r="B92" s="22"/>
      <c r="C92" s="23" t="s">
        <v>416</v>
      </c>
      <c r="D92" s="24" t="s">
        <v>417</v>
      </c>
      <c r="E92" s="25" t="s">
        <v>501</v>
      </c>
      <c r="F92" s="211">
        <v>27632.62</v>
      </c>
      <c r="G92" s="212">
        <f t="shared" si="37"/>
        <v>0.74682756756756752</v>
      </c>
      <c r="H92" s="213">
        <v>37000</v>
      </c>
      <c r="I92" s="214">
        <v>72000</v>
      </c>
      <c r="J92" s="213"/>
      <c r="K92" s="215">
        <f t="shared" si="44"/>
        <v>72000</v>
      </c>
      <c r="L92" s="216">
        <f t="shared" si="38"/>
        <v>1.9459459459459461</v>
      </c>
      <c r="M92" s="626"/>
      <c r="N92" s="217">
        <f t="shared" si="45"/>
        <v>72000</v>
      </c>
      <c r="O92" s="26"/>
      <c r="P92" s="26"/>
      <c r="Q92" s="26"/>
      <c r="R92" s="26"/>
      <c r="S92" s="211">
        <v>72000</v>
      </c>
      <c r="T92" s="26"/>
      <c r="U92" s="26"/>
      <c r="V92" s="26">
        <f t="shared" si="17"/>
        <v>72000</v>
      </c>
      <c r="W92" s="26"/>
      <c r="X92" s="26"/>
    </row>
    <row r="93" spans="1:24" x14ac:dyDescent="0.2">
      <c r="A93" s="572"/>
      <c r="B93" s="22"/>
      <c r="C93" s="23" t="s">
        <v>502</v>
      </c>
      <c r="D93" s="24" t="s">
        <v>503</v>
      </c>
      <c r="E93" s="25" t="s">
        <v>504</v>
      </c>
      <c r="F93" s="211">
        <v>1715</v>
      </c>
      <c r="G93" s="212">
        <f t="shared" si="37"/>
        <v>0.68600000000000005</v>
      </c>
      <c r="H93" s="213">
        <v>1865</v>
      </c>
      <c r="I93" s="214">
        <v>2500</v>
      </c>
      <c r="J93" s="213"/>
      <c r="K93" s="215">
        <f t="shared" si="44"/>
        <v>2500</v>
      </c>
      <c r="L93" s="216">
        <f t="shared" si="38"/>
        <v>1</v>
      </c>
      <c r="M93" s="626"/>
      <c r="N93" s="217">
        <f t="shared" si="45"/>
        <v>2500</v>
      </c>
      <c r="O93" s="26"/>
      <c r="P93" s="26"/>
      <c r="Q93" s="26"/>
      <c r="R93" s="26"/>
      <c r="S93" s="211">
        <v>2500</v>
      </c>
      <c r="T93" s="26"/>
      <c r="U93" s="26"/>
      <c r="V93" s="26">
        <f t="shared" ref="V93:V156" si="46">SUM(O93:U93)</f>
        <v>2500</v>
      </c>
      <c r="W93" s="26"/>
      <c r="X93" s="26"/>
    </row>
    <row r="94" spans="1:24" x14ac:dyDescent="0.2">
      <c r="A94" s="572"/>
      <c r="B94" s="22"/>
      <c r="C94" s="23" t="s">
        <v>386</v>
      </c>
      <c r="D94" s="24" t="s">
        <v>387</v>
      </c>
      <c r="E94" s="25" t="s">
        <v>505</v>
      </c>
      <c r="F94" s="211">
        <v>144768.74</v>
      </c>
      <c r="G94" s="212">
        <f t="shared" si="37"/>
        <v>0.65933141745874868</v>
      </c>
      <c r="H94" s="213">
        <v>219569</v>
      </c>
      <c r="I94" s="214">
        <v>228500</v>
      </c>
      <c r="J94" s="213">
        <v>-10000</v>
      </c>
      <c r="K94" s="215">
        <f t="shared" si="44"/>
        <v>218500</v>
      </c>
      <c r="L94" s="216">
        <f t="shared" si="38"/>
        <v>0.99513137100410354</v>
      </c>
      <c r="M94" s="626"/>
      <c r="N94" s="217">
        <f t="shared" si="45"/>
        <v>218500</v>
      </c>
      <c r="O94" s="26"/>
      <c r="P94" s="26"/>
      <c r="Q94" s="26"/>
      <c r="R94" s="26"/>
      <c r="S94" s="211">
        <v>218500</v>
      </c>
      <c r="T94" s="26"/>
      <c r="U94" s="26"/>
      <c r="V94" s="26">
        <f t="shared" si="46"/>
        <v>218500</v>
      </c>
      <c r="W94" s="26"/>
      <c r="X94" s="26"/>
    </row>
    <row r="95" spans="1:24" ht="22.5" x14ac:dyDescent="0.2">
      <c r="A95" s="572"/>
      <c r="B95" s="22"/>
      <c r="C95" s="23" t="s">
        <v>506</v>
      </c>
      <c r="D95" s="24" t="s">
        <v>507</v>
      </c>
      <c r="E95" s="25" t="s">
        <v>265</v>
      </c>
      <c r="F95" s="211">
        <v>19225.71</v>
      </c>
      <c r="G95" s="212">
        <f t="shared" si="37"/>
        <v>0.62018419354838705</v>
      </c>
      <c r="H95" s="213">
        <v>28634.28</v>
      </c>
      <c r="I95" s="214">
        <v>32500</v>
      </c>
      <c r="J95" s="213"/>
      <c r="K95" s="215">
        <f t="shared" si="44"/>
        <v>32500</v>
      </c>
      <c r="L95" s="216">
        <f t="shared" si="38"/>
        <v>1.0483870967741935</v>
      </c>
      <c r="M95" s="626"/>
      <c r="N95" s="217">
        <f t="shared" si="45"/>
        <v>32500</v>
      </c>
      <c r="O95" s="26"/>
      <c r="P95" s="26"/>
      <c r="Q95" s="26"/>
      <c r="R95" s="26"/>
      <c r="S95" s="211">
        <v>32500</v>
      </c>
      <c r="T95" s="26"/>
      <c r="U95" s="26"/>
      <c r="V95" s="26">
        <f t="shared" si="46"/>
        <v>32500</v>
      </c>
      <c r="W95" s="26"/>
      <c r="X95" s="26"/>
    </row>
    <row r="96" spans="1:24" x14ac:dyDescent="0.2">
      <c r="A96" s="572"/>
      <c r="B96" s="22"/>
      <c r="C96" s="23" t="s">
        <v>508</v>
      </c>
      <c r="D96" s="24" t="s">
        <v>509</v>
      </c>
      <c r="E96" s="25" t="s">
        <v>104</v>
      </c>
      <c r="F96" s="211">
        <v>0</v>
      </c>
      <c r="G96" s="212">
        <f t="shared" si="37"/>
        <v>0</v>
      </c>
      <c r="H96" s="213">
        <v>0</v>
      </c>
      <c r="I96" s="214">
        <v>1000</v>
      </c>
      <c r="J96" s="213"/>
      <c r="K96" s="215">
        <f t="shared" si="44"/>
        <v>1000</v>
      </c>
      <c r="L96" s="216">
        <f t="shared" si="38"/>
        <v>1</v>
      </c>
      <c r="M96" s="626"/>
      <c r="N96" s="217">
        <f t="shared" si="45"/>
        <v>1000</v>
      </c>
      <c r="O96" s="26"/>
      <c r="P96" s="26"/>
      <c r="Q96" s="26"/>
      <c r="R96" s="26"/>
      <c r="S96" s="211">
        <v>1000</v>
      </c>
      <c r="T96" s="26"/>
      <c r="U96" s="26"/>
      <c r="V96" s="26">
        <f t="shared" si="46"/>
        <v>1000</v>
      </c>
      <c r="W96" s="26"/>
      <c r="X96" s="26"/>
    </row>
    <row r="97" spans="1:24" ht="22.5" x14ac:dyDescent="0.2">
      <c r="A97" s="572"/>
      <c r="B97" s="22"/>
      <c r="C97" s="23" t="s">
        <v>510</v>
      </c>
      <c r="D97" s="24" t="s">
        <v>511</v>
      </c>
      <c r="E97" s="25" t="s">
        <v>512</v>
      </c>
      <c r="F97" s="211">
        <v>27450</v>
      </c>
      <c r="G97" s="212">
        <f t="shared" si="37"/>
        <v>0.36599999999999999</v>
      </c>
      <c r="H97" s="213">
        <v>68000</v>
      </c>
      <c r="I97" s="214">
        <v>57000</v>
      </c>
      <c r="J97" s="213"/>
      <c r="K97" s="215">
        <f t="shared" si="44"/>
        <v>57000</v>
      </c>
      <c r="L97" s="216">
        <f t="shared" si="38"/>
        <v>0.76</v>
      </c>
      <c r="M97" s="626"/>
      <c r="N97" s="217">
        <f t="shared" si="45"/>
        <v>57000</v>
      </c>
      <c r="O97" s="26"/>
      <c r="P97" s="26"/>
      <c r="Q97" s="26"/>
      <c r="R97" s="26"/>
      <c r="S97" s="211">
        <v>57000</v>
      </c>
      <c r="T97" s="26"/>
      <c r="U97" s="26"/>
      <c r="V97" s="26">
        <f t="shared" si="46"/>
        <v>57000</v>
      </c>
      <c r="W97" s="26"/>
      <c r="X97" s="26"/>
    </row>
    <row r="98" spans="1:24" x14ac:dyDescent="0.2">
      <c r="A98" s="572"/>
      <c r="B98" s="22"/>
      <c r="C98" s="23" t="s">
        <v>473</v>
      </c>
      <c r="D98" s="24" t="s">
        <v>474</v>
      </c>
      <c r="E98" s="25" t="s">
        <v>513</v>
      </c>
      <c r="F98" s="211">
        <v>23139.31</v>
      </c>
      <c r="G98" s="212">
        <f t="shared" si="37"/>
        <v>0.59782029358140432</v>
      </c>
      <c r="H98" s="213">
        <v>36402.31</v>
      </c>
      <c r="I98" s="214">
        <v>38000</v>
      </c>
      <c r="J98" s="213"/>
      <c r="K98" s="215">
        <f t="shared" si="44"/>
        <v>38000</v>
      </c>
      <c r="L98" s="216">
        <f t="shared" si="38"/>
        <v>0.9817566364810949</v>
      </c>
      <c r="M98" s="626"/>
      <c r="N98" s="217">
        <f t="shared" si="45"/>
        <v>38000</v>
      </c>
      <c r="O98" s="26"/>
      <c r="P98" s="26"/>
      <c r="Q98" s="26"/>
      <c r="R98" s="26"/>
      <c r="S98" s="211">
        <v>38000</v>
      </c>
      <c r="T98" s="26"/>
      <c r="U98" s="26"/>
      <c r="V98" s="26">
        <f t="shared" si="46"/>
        <v>38000</v>
      </c>
      <c r="W98" s="26"/>
      <c r="X98" s="26"/>
    </row>
    <row r="99" spans="1:24" x14ac:dyDescent="0.2">
      <c r="A99" s="572"/>
      <c r="B99" s="22"/>
      <c r="C99" s="23" t="s">
        <v>486</v>
      </c>
      <c r="D99" s="24" t="s">
        <v>487</v>
      </c>
      <c r="E99" s="25" t="s">
        <v>79</v>
      </c>
      <c r="F99" s="211">
        <v>3258.89</v>
      </c>
      <c r="G99" s="212">
        <f t="shared" si="37"/>
        <v>0.81472250000000002</v>
      </c>
      <c r="H99" s="213">
        <v>3258.89</v>
      </c>
      <c r="I99" s="214">
        <v>4000</v>
      </c>
      <c r="J99" s="213"/>
      <c r="K99" s="215">
        <f t="shared" si="44"/>
        <v>4000</v>
      </c>
      <c r="L99" s="216">
        <f t="shared" si="38"/>
        <v>1</v>
      </c>
      <c r="M99" s="626"/>
      <c r="N99" s="217">
        <f t="shared" si="45"/>
        <v>4000</v>
      </c>
      <c r="O99" s="26"/>
      <c r="P99" s="26"/>
      <c r="Q99" s="26"/>
      <c r="R99" s="26"/>
      <c r="S99" s="211">
        <v>4000</v>
      </c>
      <c r="T99" s="26"/>
      <c r="U99" s="26"/>
      <c r="V99" s="26">
        <f t="shared" si="46"/>
        <v>4000</v>
      </c>
      <c r="W99" s="26"/>
      <c r="X99" s="26"/>
    </row>
    <row r="100" spans="1:24" x14ac:dyDescent="0.2">
      <c r="A100" s="572"/>
      <c r="B100" s="22"/>
      <c r="C100" s="23" t="s">
        <v>390</v>
      </c>
      <c r="D100" s="24" t="s">
        <v>391</v>
      </c>
      <c r="E100" s="25" t="s">
        <v>485</v>
      </c>
      <c r="F100" s="211">
        <v>12591.46</v>
      </c>
      <c r="G100" s="212">
        <f t="shared" si="37"/>
        <v>0.96857384615384612</v>
      </c>
      <c r="H100" s="213">
        <v>12591.46</v>
      </c>
      <c r="I100" s="214">
        <f>15000</f>
        <v>15000</v>
      </c>
      <c r="J100" s="213"/>
      <c r="K100" s="215">
        <f t="shared" si="44"/>
        <v>15000</v>
      </c>
      <c r="L100" s="216">
        <f t="shared" si="38"/>
        <v>1.1538461538461537</v>
      </c>
      <c r="M100" s="626" t="s">
        <v>514</v>
      </c>
      <c r="N100" s="217">
        <f t="shared" si="45"/>
        <v>15000</v>
      </c>
      <c r="O100" s="26"/>
      <c r="P100" s="26"/>
      <c r="Q100" s="26"/>
      <c r="R100" s="26"/>
      <c r="S100" s="211">
        <f>15000</f>
        <v>15000</v>
      </c>
      <c r="T100" s="26"/>
      <c r="U100" s="26"/>
      <c r="V100" s="26">
        <f t="shared" si="46"/>
        <v>15000</v>
      </c>
      <c r="W100" s="26"/>
      <c r="X100" s="26"/>
    </row>
    <row r="101" spans="1:24" ht="22.5" x14ac:dyDescent="0.2">
      <c r="A101" s="572"/>
      <c r="B101" s="22"/>
      <c r="C101" s="23" t="s">
        <v>515</v>
      </c>
      <c r="D101" s="24" t="s">
        <v>516</v>
      </c>
      <c r="E101" s="25" t="s">
        <v>517</v>
      </c>
      <c r="F101" s="211">
        <v>66845</v>
      </c>
      <c r="G101" s="212">
        <f t="shared" si="37"/>
        <v>1</v>
      </c>
      <c r="H101" s="213">
        <v>66845</v>
      </c>
      <c r="I101" s="214">
        <v>69741</v>
      </c>
      <c r="J101" s="213"/>
      <c r="K101" s="215">
        <f t="shared" si="44"/>
        <v>69741</v>
      </c>
      <c r="L101" s="216">
        <f t="shared" si="38"/>
        <v>1.0433241080110705</v>
      </c>
      <c r="M101" s="626"/>
      <c r="N101" s="217">
        <f t="shared" si="45"/>
        <v>69741</v>
      </c>
      <c r="O101" s="26">
        <v>69741</v>
      </c>
      <c r="P101" s="26"/>
      <c r="Q101" s="26"/>
      <c r="R101" s="26"/>
      <c r="S101" s="26"/>
      <c r="T101" s="26"/>
      <c r="U101" s="26"/>
      <c r="V101" s="26">
        <f t="shared" si="46"/>
        <v>69741</v>
      </c>
      <c r="W101" s="26"/>
      <c r="X101" s="26"/>
    </row>
    <row r="102" spans="1:24" ht="22.5" x14ac:dyDescent="0.2">
      <c r="A102" s="572"/>
      <c r="B102" s="22"/>
      <c r="C102" s="23" t="s">
        <v>450</v>
      </c>
      <c r="D102" s="24" t="s">
        <v>451</v>
      </c>
      <c r="E102" s="25" t="s">
        <v>518</v>
      </c>
      <c r="F102" s="211">
        <v>14443.74</v>
      </c>
      <c r="G102" s="212">
        <f t="shared" si="37"/>
        <v>0.60182250000000004</v>
      </c>
      <c r="H102" s="213">
        <v>19258.32</v>
      </c>
      <c r="I102" s="214">
        <v>16000</v>
      </c>
      <c r="J102" s="213">
        <f>900-4.37</f>
        <v>895.63</v>
      </c>
      <c r="K102" s="215">
        <f t="shared" si="44"/>
        <v>16895.63</v>
      </c>
      <c r="L102" s="216">
        <f t="shared" si="38"/>
        <v>0.70398458333333336</v>
      </c>
      <c r="M102" s="626"/>
      <c r="N102" s="217">
        <f t="shared" si="45"/>
        <v>16900</v>
      </c>
      <c r="O102" s="26">
        <v>16900</v>
      </c>
      <c r="P102" s="26"/>
      <c r="Q102" s="26"/>
      <c r="R102" s="26"/>
      <c r="S102" s="211"/>
      <c r="T102" s="26"/>
      <c r="U102" s="26"/>
      <c r="V102" s="26">
        <f t="shared" si="46"/>
        <v>16900</v>
      </c>
      <c r="W102" s="26"/>
      <c r="X102" s="26"/>
    </row>
    <row r="103" spans="1:24" ht="22.5" x14ac:dyDescent="0.2">
      <c r="A103" s="572"/>
      <c r="B103" s="22"/>
      <c r="C103" s="23" t="s">
        <v>475</v>
      </c>
      <c r="D103" s="24" t="s">
        <v>476</v>
      </c>
      <c r="E103" s="25" t="s">
        <v>519</v>
      </c>
      <c r="F103" s="211">
        <v>19155.97</v>
      </c>
      <c r="G103" s="212">
        <f t="shared" si="37"/>
        <v>0.62602129769882242</v>
      </c>
      <c r="H103" s="213">
        <v>26362.63</v>
      </c>
      <c r="I103" s="214">
        <v>27000</v>
      </c>
      <c r="J103" s="213"/>
      <c r="K103" s="215">
        <f t="shared" si="44"/>
        <v>27000</v>
      </c>
      <c r="L103" s="216">
        <f t="shared" si="38"/>
        <v>0.88236591714584045</v>
      </c>
      <c r="M103" s="626"/>
      <c r="N103" s="217">
        <f t="shared" si="45"/>
        <v>27000</v>
      </c>
      <c r="O103" s="26"/>
      <c r="P103" s="26"/>
      <c r="Q103" s="26"/>
      <c r="R103" s="26"/>
      <c r="S103" s="211">
        <v>27000</v>
      </c>
      <c r="T103" s="26"/>
      <c r="U103" s="26"/>
      <c r="V103" s="26">
        <f t="shared" si="46"/>
        <v>27000</v>
      </c>
      <c r="W103" s="26"/>
      <c r="X103" s="26"/>
    </row>
    <row r="104" spans="1:24" ht="22.5" x14ac:dyDescent="0.2">
      <c r="A104" s="572"/>
      <c r="B104" s="22"/>
      <c r="C104" s="23" t="s">
        <v>453</v>
      </c>
      <c r="D104" s="24" t="s">
        <v>454</v>
      </c>
      <c r="E104" s="25" t="s">
        <v>31</v>
      </c>
      <c r="F104" s="211">
        <v>0</v>
      </c>
      <c r="G104" s="212">
        <f t="shared" si="37"/>
        <v>0</v>
      </c>
      <c r="H104" s="213">
        <v>0</v>
      </c>
      <c r="I104" s="214">
        <v>30000</v>
      </c>
      <c r="J104" s="213"/>
      <c r="K104" s="215">
        <f t="shared" si="44"/>
        <v>30000</v>
      </c>
      <c r="L104" s="216">
        <f t="shared" si="38"/>
        <v>1.5</v>
      </c>
      <c r="M104" s="626"/>
      <c r="N104" s="217">
        <f t="shared" si="45"/>
        <v>30000</v>
      </c>
      <c r="O104" s="26"/>
      <c r="P104" s="26"/>
      <c r="Q104" s="26"/>
      <c r="R104" s="26"/>
      <c r="S104" s="211">
        <v>30000</v>
      </c>
      <c r="T104" s="26"/>
      <c r="U104" s="26"/>
      <c r="V104" s="26">
        <f t="shared" si="46"/>
        <v>30000</v>
      </c>
      <c r="W104" s="26"/>
      <c r="X104" s="26"/>
    </row>
    <row r="105" spans="1:24" ht="22.5" x14ac:dyDescent="0.2">
      <c r="A105" s="571"/>
      <c r="B105" s="15" t="s">
        <v>520</v>
      </c>
      <c r="C105" s="16"/>
      <c r="D105" s="17" t="s">
        <v>521</v>
      </c>
      <c r="E105" s="18">
        <f>E106+E107+E108+E109+E110</f>
        <v>46500</v>
      </c>
      <c r="F105" s="18">
        <f t="shared" ref="F105:X105" si="47">F106+F107+F108+F109+F110</f>
        <v>39462.199999999997</v>
      </c>
      <c r="G105" s="218">
        <f t="shared" si="37"/>
        <v>0.84864946236559136</v>
      </c>
      <c r="H105" s="18">
        <f t="shared" si="47"/>
        <v>46233.64</v>
      </c>
      <c r="I105" s="20">
        <f t="shared" si="47"/>
        <v>106000</v>
      </c>
      <c r="J105" s="114">
        <f t="shared" si="47"/>
        <v>-30000</v>
      </c>
      <c r="K105" s="209">
        <f t="shared" si="47"/>
        <v>76000</v>
      </c>
      <c r="L105" s="219">
        <f t="shared" si="38"/>
        <v>1.6344086021505377</v>
      </c>
      <c r="M105" s="21"/>
      <c r="N105" s="210">
        <f t="shared" si="47"/>
        <v>76000</v>
      </c>
      <c r="O105" s="95">
        <f t="shared" si="47"/>
        <v>0</v>
      </c>
      <c r="P105" s="95">
        <f t="shared" si="47"/>
        <v>0</v>
      </c>
      <c r="Q105" s="95">
        <f t="shared" si="47"/>
        <v>0</v>
      </c>
      <c r="R105" s="95">
        <f t="shared" si="47"/>
        <v>76000</v>
      </c>
      <c r="S105" s="95">
        <f t="shared" si="47"/>
        <v>0</v>
      </c>
      <c r="T105" s="95">
        <f t="shared" si="47"/>
        <v>0</v>
      </c>
      <c r="U105" s="95">
        <f t="shared" si="47"/>
        <v>0</v>
      </c>
      <c r="V105" s="26">
        <f t="shared" si="46"/>
        <v>76000</v>
      </c>
      <c r="W105" s="95">
        <f t="shared" si="47"/>
        <v>0</v>
      </c>
      <c r="X105" s="95">
        <f t="shared" si="47"/>
        <v>0</v>
      </c>
    </row>
    <row r="106" spans="1:24" ht="67.5" x14ac:dyDescent="0.2">
      <c r="A106" s="572"/>
      <c r="B106" s="22"/>
      <c r="C106" s="23" t="s">
        <v>85</v>
      </c>
      <c r="D106" s="24" t="s">
        <v>522</v>
      </c>
      <c r="E106" s="25" t="s">
        <v>91</v>
      </c>
      <c r="F106" s="211">
        <v>1500</v>
      </c>
      <c r="G106" s="212">
        <f t="shared" si="37"/>
        <v>1</v>
      </c>
      <c r="H106" s="213">
        <v>1500</v>
      </c>
      <c r="I106" s="214"/>
      <c r="J106" s="213"/>
      <c r="K106" s="215">
        <f>I106+J106</f>
        <v>0</v>
      </c>
      <c r="L106" s="216">
        <f t="shared" si="38"/>
        <v>0</v>
      </c>
      <c r="M106" s="626"/>
      <c r="N106" s="217">
        <f>V106+W106+X106</f>
        <v>0</v>
      </c>
      <c r="O106" s="26"/>
      <c r="P106" s="26"/>
      <c r="Q106" s="26"/>
      <c r="R106" s="26"/>
      <c r="S106" s="26"/>
      <c r="T106" s="26"/>
      <c r="U106" s="26"/>
      <c r="V106" s="26">
        <f t="shared" si="46"/>
        <v>0</v>
      </c>
      <c r="W106" s="26"/>
      <c r="X106" s="26"/>
    </row>
    <row r="107" spans="1:24" x14ac:dyDescent="0.2">
      <c r="A107" s="572"/>
      <c r="B107" s="22"/>
      <c r="C107" s="23" t="s">
        <v>376</v>
      </c>
      <c r="D107" s="24" t="s">
        <v>377</v>
      </c>
      <c r="E107" s="25" t="s">
        <v>404</v>
      </c>
      <c r="F107" s="211">
        <v>0</v>
      </c>
      <c r="G107" s="212">
        <f t="shared" si="37"/>
        <v>0</v>
      </c>
      <c r="H107" s="213">
        <v>283.64</v>
      </c>
      <c r="I107" s="214">
        <v>0</v>
      </c>
      <c r="J107" s="213"/>
      <c r="K107" s="215">
        <f t="shared" ref="K107:K110" si="48">I107+J107</f>
        <v>0</v>
      </c>
      <c r="L107" s="216">
        <f t="shared" si="38"/>
        <v>0</v>
      </c>
      <c r="M107" s="626"/>
      <c r="N107" s="217">
        <f t="shared" ref="N107:N110" si="49">V107+W107+X107</f>
        <v>0</v>
      </c>
      <c r="O107" s="26"/>
      <c r="P107" s="26"/>
      <c r="Q107" s="26"/>
      <c r="R107" s="26"/>
      <c r="S107" s="26"/>
      <c r="T107" s="26"/>
      <c r="U107" s="26"/>
      <c r="V107" s="26">
        <f t="shared" si="46"/>
        <v>0</v>
      </c>
      <c r="W107" s="26"/>
      <c r="X107" s="26"/>
    </row>
    <row r="108" spans="1:24" x14ac:dyDescent="0.2">
      <c r="A108" s="572"/>
      <c r="B108" s="22"/>
      <c r="C108" s="23" t="s">
        <v>398</v>
      </c>
      <c r="D108" s="24" t="s">
        <v>399</v>
      </c>
      <c r="E108" s="25" t="s">
        <v>523</v>
      </c>
      <c r="F108" s="211">
        <v>1235.43</v>
      </c>
      <c r="G108" s="212">
        <f t="shared" si="37"/>
        <v>0.45756666666666668</v>
      </c>
      <c r="H108" s="213">
        <v>2450</v>
      </c>
      <c r="I108" s="214">
        <v>4500</v>
      </c>
      <c r="J108" s="213"/>
      <c r="K108" s="215">
        <f t="shared" si="48"/>
        <v>4500</v>
      </c>
      <c r="L108" s="216">
        <f t="shared" si="38"/>
        <v>1.6666666666666667</v>
      </c>
      <c r="M108" s="626"/>
      <c r="N108" s="217">
        <f t="shared" si="49"/>
        <v>4500</v>
      </c>
      <c r="O108" s="26"/>
      <c r="P108" s="26"/>
      <c r="Q108" s="26"/>
      <c r="R108" s="26">
        <v>4500</v>
      </c>
      <c r="S108" s="26"/>
      <c r="T108" s="26"/>
      <c r="U108" s="26"/>
      <c r="V108" s="26">
        <f t="shared" si="46"/>
        <v>4500</v>
      </c>
      <c r="W108" s="26"/>
      <c r="X108" s="26"/>
    </row>
    <row r="109" spans="1:24" x14ac:dyDescent="0.2">
      <c r="A109" s="572"/>
      <c r="B109" s="22"/>
      <c r="C109" s="23" t="s">
        <v>382</v>
      </c>
      <c r="D109" s="24" t="s">
        <v>383</v>
      </c>
      <c r="E109" s="25" t="s">
        <v>372</v>
      </c>
      <c r="F109" s="211">
        <v>15874.17</v>
      </c>
      <c r="G109" s="212">
        <f t="shared" si="37"/>
        <v>0.9337747058823529</v>
      </c>
      <c r="H109" s="213">
        <v>17000</v>
      </c>
      <c r="I109" s="214">
        <v>41500</v>
      </c>
      <c r="J109" s="213">
        <v>-10000</v>
      </c>
      <c r="K109" s="215">
        <f t="shared" si="48"/>
        <v>31500</v>
      </c>
      <c r="L109" s="216">
        <f t="shared" si="38"/>
        <v>1.8529411764705883</v>
      </c>
      <c r="M109" s="626"/>
      <c r="N109" s="217">
        <f t="shared" si="49"/>
        <v>31500</v>
      </c>
      <c r="O109" s="26"/>
      <c r="P109" s="26"/>
      <c r="Q109" s="26"/>
      <c r="R109" s="26">
        <v>31500</v>
      </c>
      <c r="S109" s="26"/>
      <c r="T109" s="26"/>
      <c r="U109" s="26"/>
      <c r="V109" s="26">
        <f t="shared" si="46"/>
        <v>31500</v>
      </c>
      <c r="W109" s="26"/>
      <c r="X109" s="26"/>
    </row>
    <row r="110" spans="1:24" x14ac:dyDescent="0.2">
      <c r="A110" s="572"/>
      <c r="B110" s="22"/>
      <c r="C110" s="23" t="s">
        <v>386</v>
      </c>
      <c r="D110" s="24" t="s">
        <v>387</v>
      </c>
      <c r="E110" s="25" t="s">
        <v>524</v>
      </c>
      <c r="F110" s="211">
        <v>20852.599999999999</v>
      </c>
      <c r="G110" s="212">
        <f t="shared" si="37"/>
        <v>0.83410399999999996</v>
      </c>
      <c r="H110" s="213">
        <v>25000</v>
      </c>
      <c r="I110" s="214">
        <v>60000</v>
      </c>
      <c r="J110" s="213">
        <v>-20000</v>
      </c>
      <c r="K110" s="215">
        <f t="shared" si="48"/>
        <v>40000</v>
      </c>
      <c r="L110" s="216">
        <f t="shared" si="38"/>
        <v>1.6</v>
      </c>
      <c r="M110" s="626"/>
      <c r="N110" s="217">
        <f t="shared" si="49"/>
        <v>40000</v>
      </c>
      <c r="O110" s="26"/>
      <c r="P110" s="26"/>
      <c r="Q110" s="26"/>
      <c r="R110" s="26">
        <v>40000</v>
      </c>
      <c r="S110" s="26"/>
      <c r="T110" s="26"/>
      <c r="U110" s="26"/>
      <c r="V110" s="26">
        <f t="shared" si="46"/>
        <v>40000</v>
      </c>
      <c r="W110" s="26"/>
      <c r="X110" s="26"/>
    </row>
    <row r="111" spans="1:24" ht="22.5" x14ac:dyDescent="0.2">
      <c r="A111" s="571"/>
      <c r="B111" s="15" t="s">
        <v>525</v>
      </c>
      <c r="C111" s="16"/>
      <c r="D111" s="17" t="s">
        <v>526</v>
      </c>
      <c r="E111" s="18">
        <f>E112+E113+E115+E116+E117+E118+E119+E120+E121+E122+E123+E124+E125+E126+E114</f>
        <v>294629.67</v>
      </c>
      <c r="F111" s="18">
        <f>F112+F113+F115+F116+F117+F118+F119+F120+F121+F122+F123+F124+F125+F126+F114</f>
        <v>100269.85000000003</v>
      </c>
      <c r="G111" s="218">
        <f t="shared" si="37"/>
        <v>0.34032502564999662</v>
      </c>
      <c r="H111" s="18">
        <f>H112+H113+H115+H116+H117+H118+H119+H120+H121+H122+H123+H124+H125+H126+H114</f>
        <v>270047.83</v>
      </c>
      <c r="I111" s="20">
        <f t="shared" ref="I111:X111" si="50">I112+I113+I115+I116+I117+I118+I119+I120+I121+I122+I123+I124+I125+I126+I114</f>
        <v>890747</v>
      </c>
      <c r="J111" s="114">
        <f t="shared" si="50"/>
        <v>-38000</v>
      </c>
      <c r="K111" s="209">
        <f t="shared" si="50"/>
        <v>852747</v>
      </c>
      <c r="L111" s="219">
        <f t="shared" si="38"/>
        <v>2.8943011747594873</v>
      </c>
      <c r="M111" s="21"/>
      <c r="N111" s="210">
        <f t="shared" si="50"/>
        <v>852747</v>
      </c>
      <c r="O111" s="95">
        <f t="shared" si="50"/>
        <v>0</v>
      </c>
      <c r="P111" s="95">
        <f t="shared" si="50"/>
        <v>0</v>
      </c>
      <c r="Q111" s="95">
        <f t="shared" si="50"/>
        <v>0</v>
      </c>
      <c r="R111" s="95">
        <f t="shared" si="50"/>
        <v>0</v>
      </c>
      <c r="S111" s="95">
        <f t="shared" si="50"/>
        <v>0</v>
      </c>
      <c r="T111" s="95">
        <f t="shared" si="50"/>
        <v>0</v>
      </c>
      <c r="U111" s="95">
        <f t="shared" si="50"/>
        <v>0</v>
      </c>
      <c r="V111" s="26">
        <f t="shared" si="46"/>
        <v>0</v>
      </c>
      <c r="W111" s="95">
        <f t="shared" si="50"/>
        <v>852747</v>
      </c>
      <c r="X111" s="95">
        <f t="shared" si="50"/>
        <v>0</v>
      </c>
    </row>
    <row r="112" spans="1:24" ht="22.5" x14ac:dyDescent="0.2">
      <c r="A112" s="572"/>
      <c r="B112" s="22"/>
      <c r="C112" s="23" t="s">
        <v>488</v>
      </c>
      <c r="D112" s="24" t="s">
        <v>489</v>
      </c>
      <c r="E112" s="25" t="s">
        <v>104</v>
      </c>
      <c r="F112" s="211">
        <v>0</v>
      </c>
      <c r="G112" s="212">
        <f t="shared" si="37"/>
        <v>0</v>
      </c>
      <c r="H112" s="213">
        <v>0</v>
      </c>
      <c r="I112" s="214">
        <v>1350</v>
      </c>
      <c r="J112" s="213"/>
      <c r="K112" s="215">
        <f>I112+J112</f>
        <v>1350</v>
      </c>
      <c r="L112" s="216">
        <f t="shared" si="38"/>
        <v>1.35</v>
      </c>
      <c r="M112" s="626"/>
      <c r="N112" s="217">
        <f>V112+W112+X112</f>
        <v>1350</v>
      </c>
      <c r="O112" s="26"/>
      <c r="P112" s="26"/>
      <c r="Q112" s="26"/>
      <c r="R112" s="26"/>
      <c r="S112" s="26"/>
      <c r="T112" s="26"/>
      <c r="U112" s="26"/>
      <c r="V112" s="26">
        <f t="shared" si="46"/>
        <v>0</v>
      </c>
      <c r="W112" s="211">
        <v>1350</v>
      </c>
      <c r="X112" s="26"/>
    </row>
    <row r="113" spans="1:24" x14ac:dyDescent="0.2">
      <c r="A113" s="572"/>
      <c r="B113" s="22"/>
      <c r="C113" s="23" t="s">
        <v>373</v>
      </c>
      <c r="D113" s="24" t="s">
        <v>374</v>
      </c>
      <c r="E113" s="25" t="s">
        <v>527</v>
      </c>
      <c r="F113" s="211">
        <v>70444.02</v>
      </c>
      <c r="G113" s="212">
        <f t="shared" si="37"/>
        <v>0.35222010000000004</v>
      </c>
      <c r="H113" s="213">
        <v>182467.62</v>
      </c>
      <c r="I113" s="214">
        <v>551413</v>
      </c>
      <c r="J113" s="213"/>
      <c r="K113" s="215">
        <f t="shared" ref="K113:K126" si="51">I113+J113</f>
        <v>551413</v>
      </c>
      <c r="L113" s="216">
        <f t="shared" si="38"/>
        <v>2.7570649999999999</v>
      </c>
      <c r="M113" s="626"/>
      <c r="N113" s="217">
        <f t="shared" ref="N113:N126" si="52">V113+W113+X113</f>
        <v>551413</v>
      </c>
      <c r="O113" s="26"/>
      <c r="P113" s="26"/>
      <c r="Q113" s="26"/>
      <c r="R113" s="26"/>
      <c r="S113" s="26"/>
      <c r="T113" s="26"/>
      <c r="U113" s="26"/>
      <c r="V113" s="26">
        <f t="shared" si="46"/>
        <v>0</v>
      </c>
      <c r="W113" s="211">
        <v>551413</v>
      </c>
      <c r="X113" s="26"/>
    </row>
    <row r="114" spans="1:24" x14ac:dyDescent="0.2">
      <c r="A114" s="572"/>
      <c r="B114" s="22"/>
      <c r="C114" s="23" t="s">
        <v>466</v>
      </c>
      <c r="D114" s="24" t="s">
        <v>467</v>
      </c>
      <c r="E114" s="25">
        <v>0</v>
      </c>
      <c r="F114" s="211">
        <v>0</v>
      </c>
      <c r="G114" s="212"/>
      <c r="H114" s="213">
        <v>0</v>
      </c>
      <c r="I114" s="214">
        <v>39335</v>
      </c>
      <c r="J114" s="213"/>
      <c r="K114" s="215">
        <f t="shared" si="51"/>
        <v>39335</v>
      </c>
      <c r="L114" s="216"/>
      <c r="M114" s="626"/>
      <c r="N114" s="217">
        <f t="shared" si="52"/>
        <v>39335</v>
      </c>
      <c r="O114" s="26"/>
      <c r="P114" s="26"/>
      <c r="Q114" s="26"/>
      <c r="R114" s="26"/>
      <c r="S114" s="26"/>
      <c r="T114" s="26"/>
      <c r="U114" s="26"/>
      <c r="V114" s="26">
        <f t="shared" si="46"/>
        <v>0</v>
      </c>
      <c r="W114" s="211">
        <v>39335</v>
      </c>
      <c r="X114" s="26"/>
    </row>
    <row r="115" spans="1:24" x14ac:dyDescent="0.2">
      <c r="A115" s="572"/>
      <c r="B115" s="22"/>
      <c r="C115" s="23" t="s">
        <v>376</v>
      </c>
      <c r="D115" s="24" t="s">
        <v>377</v>
      </c>
      <c r="E115" s="25" t="s">
        <v>528</v>
      </c>
      <c r="F115" s="211">
        <v>5672.24</v>
      </c>
      <c r="G115" s="212">
        <f t="shared" si="37"/>
        <v>0.16585497076023392</v>
      </c>
      <c r="H115" s="213">
        <v>31366.18</v>
      </c>
      <c r="I115" s="214">
        <v>98644</v>
      </c>
      <c r="J115" s="213"/>
      <c r="K115" s="215">
        <f t="shared" si="51"/>
        <v>98644</v>
      </c>
      <c r="L115" s="216">
        <f t="shared" si="38"/>
        <v>2.8843274853801169</v>
      </c>
      <c r="M115" s="626"/>
      <c r="N115" s="217">
        <f t="shared" si="52"/>
        <v>98644</v>
      </c>
      <c r="O115" s="26"/>
      <c r="P115" s="26"/>
      <c r="Q115" s="26"/>
      <c r="R115" s="26"/>
      <c r="S115" s="26"/>
      <c r="T115" s="26"/>
      <c r="U115" s="26"/>
      <c r="V115" s="26">
        <f t="shared" si="46"/>
        <v>0</v>
      </c>
      <c r="W115" s="211">
        <v>98644</v>
      </c>
      <c r="X115" s="26"/>
    </row>
    <row r="116" spans="1:24" x14ac:dyDescent="0.2">
      <c r="A116" s="572"/>
      <c r="B116" s="22"/>
      <c r="C116" s="23" t="s">
        <v>379</v>
      </c>
      <c r="D116" s="24" t="s">
        <v>380</v>
      </c>
      <c r="E116" s="25" t="s">
        <v>529</v>
      </c>
      <c r="F116" s="211">
        <v>403.02</v>
      </c>
      <c r="G116" s="212">
        <f t="shared" si="37"/>
        <v>8.2248979591836732E-2</v>
      </c>
      <c r="H116" s="213">
        <v>4470.46</v>
      </c>
      <c r="I116" s="214">
        <v>14133</v>
      </c>
      <c r="J116" s="213"/>
      <c r="K116" s="215">
        <f t="shared" si="51"/>
        <v>14133</v>
      </c>
      <c r="L116" s="216">
        <f t="shared" si="38"/>
        <v>2.8842857142857143</v>
      </c>
      <c r="M116" s="626"/>
      <c r="N116" s="217">
        <f t="shared" si="52"/>
        <v>14133</v>
      </c>
      <c r="O116" s="26"/>
      <c r="P116" s="26"/>
      <c r="Q116" s="26"/>
      <c r="R116" s="26"/>
      <c r="S116" s="26"/>
      <c r="T116" s="26"/>
      <c r="U116" s="26"/>
      <c r="V116" s="26">
        <f t="shared" si="46"/>
        <v>0</v>
      </c>
      <c r="W116" s="211">
        <v>14133</v>
      </c>
      <c r="X116" s="26"/>
    </row>
    <row r="117" spans="1:24" x14ac:dyDescent="0.2">
      <c r="A117" s="572"/>
      <c r="B117" s="22"/>
      <c r="C117" s="23" t="s">
        <v>382</v>
      </c>
      <c r="D117" s="24" t="s">
        <v>383</v>
      </c>
      <c r="E117" s="25" t="s">
        <v>48</v>
      </c>
      <c r="F117" s="211">
        <v>1491.83</v>
      </c>
      <c r="G117" s="212">
        <f t="shared" si="37"/>
        <v>0.12431916666666666</v>
      </c>
      <c r="H117" s="213">
        <v>12000</v>
      </c>
      <c r="I117" s="214">
        <f>40000+6000</f>
        <v>46000</v>
      </c>
      <c r="J117" s="213">
        <v>-6000</v>
      </c>
      <c r="K117" s="215">
        <f t="shared" si="51"/>
        <v>40000</v>
      </c>
      <c r="L117" s="216">
        <f t="shared" si="38"/>
        <v>3.3333333333333335</v>
      </c>
      <c r="M117" s="626"/>
      <c r="N117" s="217">
        <f t="shared" si="52"/>
        <v>40000</v>
      </c>
      <c r="O117" s="26"/>
      <c r="P117" s="26"/>
      <c r="Q117" s="26"/>
      <c r="R117" s="26"/>
      <c r="S117" s="26"/>
      <c r="T117" s="26"/>
      <c r="U117" s="26"/>
      <c r="V117" s="26">
        <f t="shared" si="46"/>
        <v>0</v>
      </c>
      <c r="W117" s="211">
        <v>40000</v>
      </c>
      <c r="X117" s="26"/>
    </row>
    <row r="118" spans="1:24" x14ac:dyDescent="0.2">
      <c r="A118" s="572"/>
      <c r="B118" s="22"/>
      <c r="C118" s="23" t="s">
        <v>401</v>
      </c>
      <c r="D118" s="24" t="s">
        <v>402</v>
      </c>
      <c r="E118" s="25" t="s">
        <v>530</v>
      </c>
      <c r="F118" s="211">
        <v>2057.21</v>
      </c>
      <c r="G118" s="212">
        <f t="shared" si="37"/>
        <v>0.97962380952380956</v>
      </c>
      <c r="H118" s="213">
        <v>2100</v>
      </c>
      <c r="I118" s="214">
        <v>4500</v>
      </c>
      <c r="J118" s="213"/>
      <c r="K118" s="215">
        <f t="shared" si="51"/>
        <v>4500</v>
      </c>
      <c r="L118" s="216">
        <f t="shared" si="38"/>
        <v>2.1428571428571428</v>
      </c>
      <c r="M118" s="626"/>
      <c r="N118" s="217">
        <f t="shared" si="52"/>
        <v>4500</v>
      </c>
      <c r="O118" s="26"/>
      <c r="P118" s="26"/>
      <c r="Q118" s="26"/>
      <c r="R118" s="26"/>
      <c r="S118" s="26"/>
      <c r="T118" s="26"/>
      <c r="U118" s="26"/>
      <c r="V118" s="26">
        <f t="shared" si="46"/>
        <v>0</v>
      </c>
      <c r="W118" s="211">
        <v>4500</v>
      </c>
      <c r="X118" s="26"/>
    </row>
    <row r="119" spans="1:24" x14ac:dyDescent="0.2">
      <c r="A119" s="572"/>
      <c r="B119" s="22"/>
      <c r="C119" s="23" t="s">
        <v>416</v>
      </c>
      <c r="D119" s="24" t="s">
        <v>417</v>
      </c>
      <c r="E119" s="25" t="s">
        <v>531</v>
      </c>
      <c r="F119" s="211">
        <v>8733</v>
      </c>
      <c r="G119" s="212">
        <f t="shared" si="37"/>
        <v>0.78678014751789915</v>
      </c>
      <c r="H119" s="213">
        <v>11099.67</v>
      </c>
      <c r="I119" s="214">
        <v>25000</v>
      </c>
      <c r="J119" s="213"/>
      <c r="K119" s="215">
        <f t="shared" si="51"/>
        <v>25000</v>
      </c>
      <c r="L119" s="216">
        <f t="shared" si="38"/>
        <v>2.2523192130937226</v>
      </c>
      <c r="M119" s="626"/>
      <c r="N119" s="217">
        <f t="shared" si="52"/>
        <v>25000</v>
      </c>
      <c r="O119" s="26"/>
      <c r="P119" s="26"/>
      <c r="Q119" s="26"/>
      <c r="R119" s="26"/>
      <c r="S119" s="26"/>
      <c r="T119" s="26"/>
      <c r="U119" s="26"/>
      <c r="V119" s="26">
        <f t="shared" si="46"/>
        <v>0</v>
      </c>
      <c r="W119" s="211">
        <v>25000</v>
      </c>
      <c r="X119" s="26"/>
    </row>
    <row r="120" spans="1:24" x14ac:dyDescent="0.2">
      <c r="A120" s="572"/>
      <c r="B120" s="22"/>
      <c r="C120" s="23" t="s">
        <v>502</v>
      </c>
      <c r="D120" s="24" t="s">
        <v>503</v>
      </c>
      <c r="E120" s="25" t="s">
        <v>404</v>
      </c>
      <c r="F120" s="211">
        <v>85</v>
      </c>
      <c r="G120" s="212">
        <f t="shared" si="37"/>
        <v>0.28333333333333333</v>
      </c>
      <c r="H120" s="213">
        <v>85</v>
      </c>
      <c r="I120" s="214">
        <v>500</v>
      </c>
      <c r="J120" s="213"/>
      <c r="K120" s="215">
        <f t="shared" si="51"/>
        <v>500</v>
      </c>
      <c r="L120" s="216">
        <f t="shared" si="38"/>
        <v>1.6666666666666667</v>
      </c>
      <c r="M120" s="626"/>
      <c r="N120" s="217">
        <f t="shared" si="52"/>
        <v>500</v>
      </c>
      <c r="O120" s="26"/>
      <c r="P120" s="26"/>
      <c r="Q120" s="26"/>
      <c r="R120" s="26"/>
      <c r="S120" s="26"/>
      <c r="T120" s="26"/>
      <c r="U120" s="26"/>
      <c r="V120" s="26">
        <f t="shared" si="46"/>
        <v>0</v>
      </c>
      <c r="W120" s="211">
        <v>500</v>
      </c>
      <c r="X120" s="26"/>
    </row>
    <row r="121" spans="1:24" x14ac:dyDescent="0.2">
      <c r="A121" s="572"/>
      <c r="B121" s="22"/>
      <c r="C121" s="23" t="s">
        <v>386</v>
      </c>
      <c r="D121" s="24" t="s">
        <v>387</v>
      </c>
      <c r="E121" s="25" t="s">
        <v>464</v>
      </c>
      <c r="F121" s="211">
        <v>3150.13</v>
      </c>
      <c r="G121" s="212">
        <f t="shared" si="37"/>
        <v>0.31501299999999999</v>
      </c>
      <c r="H121" s="213">
        <v>8300.26</v>
      </c>
      <c r="I121" s="214">
        <f>28000+32000</f>
        <v>60000</v>
      </c>
      <c r="J121" s="213">
        <v>-32000</v>
      </c>
      <c r="K121" s="215">
        <f t="shared" si="51"/>
        <v>28000</v>
      </c>
      <c r="L121" s="216">
        <f t="shared" si="38"/>
        <v>2.8</v>
      </c>
      <c r="M121" s="626"/>
      <c r="N121" s="217">
        <f t="shared" si="52"/>
        <v>28000</v>
      </c>
      <c r="O121" s="26"/>
      <c r="P121" s="26"/>
      <c r="Q121" s="26"/>
      <c r="R121" s="26"/>
      <c r="S121" s="26"/>
      <c r="T121" s="26"/>
      <c r="U121" s="26"/>
      <c r="V121" s="26">
        <f t="shared" si="46"/>
        <v>0</v>
      </c>
      <c r="W121" s="211">
        <v>28000</v>
      </c>
      <c r="X121" s="26"/>
    </row>
    <row r="122" spans="1:24" ht="22.5" x14ac:dyDescent="0.2">
      <c r="A122" s="572"/>
      <c r="B122" s="22"/>
      <c r="C122" s="23" t="s">
        <v>506</v>
      </c>
      <c r="D122" s="24" t="s">
        <v>507</v>
      </c>
      <c r="E122" s="25" t="s">
        <v>104</v>
      </c>
      <c r="F122" s="211">
        <v>479.32</v>
      </c>
      <c r="G122" s="212">
        <f t="shared" si="37"/>
        <v>0.47931999999999997</v>
      </c>
      <c r="H122" s="213">
        <v>958.64</v>
      </c>
      <c r="I122" s="214">
        <v>2880</v>
      </c>
      <c r="J122" s="213"/>
      <c r="K122" s="215">
        <f t="shared" si="51"/>
        <v>2880</v>
      </c>
      <c r="L122" s="216">
        <f t="shared" si="38"/>
        <v>2.88</v>
      </c>
      <c r="M122" s="626"/>
      <c r="N122" s="217">
        <f t="shared" si="52"/>
        <v>2880</v>
      </c>
      <c r="O122" s="26"/>
      <c r="P122" s="26"/>
      <c r="Q122" s="26"/>
      <c r="R122" s="26"/>
      <c r="S122" s="26"/>
      <c r="T122" s="26"/>
      <c r="U122" s="26"/>
      <c r="V122" s="26">
        <f t="shared" si="46"/>
        <v>0</v>
      </c>
      <c r="W122" s="211">
        <v>2880</v>
      </c>
      <c r="X122" s="26"/>
    </row>
    <row r="123" spans="1:24" ht="22.5" x14ac:dyDescent="0.2">
      <c r="A123" s="572"/>
      <c r="B123" s="22"/>
      <c r="C123" s="23" t="s">
        <v>510</v>
      </c>
      <c r="D123" s="24" t="s">
        <v>511</v>
      </c>
      <c r="E123" s="25" t="s">
        <v>532</v>
      </c>
      <c r="F123" s="211">
        <v>5000</v>
      </c>
      <c r="G123" s="212">
        <f t="shared" si="37"/>
        <v>0.4</v>
      </c>
      <c r="H123" s="213">
        <v>12500</v>
      </c>
      <c r="I123" s="214">
        <v>30000</v>
      </c>
      <c r="J123" s="213"/>
      <c r="K123" s="215">
        <f t="shared" si="51"/>
        <v>30000</v>
      </c>
      <c r="L123" s="216">
        <f t="shared" si="38"/>
        <v>2.4</v>
      </c>
      <c r="M123" s="626"/>
      <c r="N123" s="217">
        <f t="shared" si="52"/>
        <v>30000</v>
      </c>
      <c r="O123" s="26"/>
      <c r="P123" s="26"/>
      <c r="Q123" s="26"/>
      <c r="R123" s="26"/>
      <c r="S123" s="26"/>
      <c r="T123" s="26"/>
      <c r="U123" s="26"/>
      <c r="V123" s="26">
        <f t="shared" si="46"/>
        <v>0</v>
      </c>
      <c r="W123" s="211">
        <v>30000</v>
      </c>
      <c r="X123" s="26"/>
    </row>
    <row r="124" spans="1:24" x14ac:dyDescent="0.2">
      <c r="A124" s="572"/>
      <c r="B124" s="22"/>
      <c r="C124" s="23" t="s">
        <v>473</v>
      </c>
      <c r="D124" s="24" t="s">
        <v>474</v>
      </c>
      <c r="E124" s="25" t="s">
        <v>533</v>
      </c>
      <c r="F124" s="211">
        <v>474.08</v>
      </c>
      <c r="G124" s="212">
        <f t="shared" si="37"/>
        <v>0.37926399999999999</v>
      </c>
      <c r="H124" s="213">
        <v>1250</v>
      </c>
      <c r="I124" s="214">
        <v>3600</v>
      </c>
      <c r="J124" s="213"/>
      <c r="K124" s="215">
        <f t="shared" si="51"/>
        <v>3600</v>
      </c>
      <c r="L124" s="216">
        <f t="shared" si="38"/>
        <v>2.88</v>
      </c>
      <c r="M124" s="626"/>
      <c r="N124" s="217">
        <f t="shared" si="52"/>
        <v>3600</v>
      </c>
      <c r="O124" s="26"/>
      <c r="P124" s="26"/>
      <c r="Q124" s="26"/>
      <c r="R124" s="26"/>
      <c r="S124" s="26"/>
      <c r="T124" s="26"/>
      <c r="U124" s="26"/>
      <c r="V124" s="26">
        <f t="shared" si="46"/>
        <v>0</v>
      </c>
      <c r="W124" s="211">
        <v>3600</v>
      </c>
      <c r="X124" s="26"/>
    </row>
    <row r="125" spans="1:24" ht="22.5" x14ac:dyDescent="0.2">
      <c r="A125" s="572"/>
      <c r="B125" s="22"/>
      <c r="C125" s="23" t="s">
        <v>515</v>
      </c>
      <c r="D125" s="24" t="s">
        <v>516</v>
      </c>
      <c r="E125" s="25" t="s">
        <v>534</v>
      </c>
      <c r="F125" s="211">
        <v>2280</v>
      </c>
      <c r="G125" s="212">
        <f t="shared" si="37"/>
        <v>1</v>
      </c>
      <c r="H125" s="213">
        <v>2280</v>
      </c>
      <c r="I125" s="214">
        <v>10392</v>
      </c>
      <c r="J125" s="213"/>
      <c r="K125" s="215">
        <f t="shared" si="51"/>
        <v>10392</v>
      </c>
      <c r="L125" s="216">
        <f t="shared" si="38"/>
        <v>4.5578947368421057</v>
      </c>
      <c r="M125" s="626"/>
      <c r="N125" s="217">
        <f t="shared" si="52"/>
        <v>10392</v>
      </c>
      <c r="O125" s="26"/>
      <c r="P125" s="26"/>
      <c r="Q125" s="26"/>
      <c r="R125" s="26"/>
      <c r="S125" s="26"/>
      <c r="T125" s="26"/>
      <c r="U125" s="26"/>
      <c r="V125" s="26">
        <f t="shared" si="46"/>
        <v>0</v>
      </c>
      <c r="W125" s="211">
        <v>10392</v>
      </c>
      <c r="X125" s="26"/>
    </row>
    <row r="126" spans="1:24" ht="22.5" x14ac:dyDescent="0.2">
      <c r="A126" s="572"/>
      <c r="B126" s="22"/>
      <c r="C126" s="23" t="s">
        <v>475</v>
      </c>
      <c r="D126" s="24" t="s">
        <v>476</v>
      </c>
      <c r="E126" s="25" t="s">
        <v>535</v>
      </c>
      <c r="F126" s="211">
        <v>0</v>
      </c>
      <c r="G126" s="212">
        <f t="shared" si="37"/>
        <v>0</v>
      </c>
      <c r="H126" s="213">
        <v>1170</v>
      </c>
      <c r="I126" s="214">
        <v>3000</v>
      </c>
      <c r="J126" s="213"/>
      <c r="K126" s="215">
        <f t="shared" si="51"/>
        <v>3000</v>
      </c>
      <c r="L126" s="216">
        <f t="shared" si="38"/>
        <v>1.5</v>
      </c>
      <c r="M126" s="626"/>
      <c r="N126" s="217">
        <f t="shared" si="52"/>
        <v>3000</v>
      </c>
      <c r="O126" s="26"/>
      <c r="P126" s="26"/>
      <c r="Q126" s="26"/>
      <c r="R126" s="26"/>
      <c r="S126" s="26"/>
      <c r="T126" s="26"/>
      <c r="U126" s="26"/>
      <c r="V126" s="26">
        <f t="shared" si="46"/>
        <v>0</v>
      </c>
      <c r="W126" s="211">
        <v>3000</v>
      </c>
      <c r="X126" s="26"/>
    </row>
    <row r="127" spans="1:24" ht="15" x14ac:dyDescent="0.2">
      <c r="A127" s="571"/>
      <c r="B127" s="15" t="s">
        <v>536</v>
      </c>
      <c r="C127" s="16"/>
      <c r="D127" s="17" t="s">
        <v>22</v>
      </c>
      <c r="E127" s="18">
        <f>E128+E129+E130</f>
        <v>170144</v>
      </c>
      <c r="F127" s="18">
        <f t="shared" ref="F127:X127" si="53">F128+F129+F130</f>
        <v>140247.20000000001</v>
      </c>
      <c r="G127" s="218">
        <f t="shared" si="37"/>
        <v>0.82428531126575144</v>
      </c>
      <c r="H127" s="18">
        <f t="shared" si="53"/>
        <v>164979.20000000001</v>
      </c>
      <c r="I127" s="20">
        <f t="shared" si="53"/>
        <v>183280</v>
      </c>
      <c r="J127" s="114">
        <f t="shared" si="53"/>
        <v>0</v>
      </c>
      <c r="K127" s="209">
        <f t="shared" si="53"/>
        <v>183280</v>
      </c>
      <c r="L127" s="219">
        <f t="shared" si="38"/>
        <v>1.0772051908971225</v>
      </c>
      <c r="M127" s="21"/>
      <c r="N127" s="210">
        <f t="shared" si="53"/>
        <v>183280</v>
      </c>
      <c r="O127" s="95">
        <f t="shared" si="53"/>
        <v>76000</v>
      </c>
      <c r="P127" s="95">
        <f t="shared" si="53"/>
        <v>0</v>
      </c>
      <c r="Q127" s="95">
        <f t="shared" si="53"/>
        <v>0</v>
      </c>
      <c r="R127" s="95">
        <f t="shared" si="53"/>
        <v>0</v>
      </c>
      <c r="S127" s="95">
        <f t="shared" si="53"/>
        <v>0</v>
      </c>
      <c r="T127" s="95">
        <f t="shared" si="53"/>
        <v>107280</v>
      </c>
      <c r="U127" s="95">
        <f t="shared" si="53"/>
        <v>0</v>
      </c>
      <c r="V127" s="26">
        <f t="shared" si="46"/>
        <v>183280</v>
      </c>
      <c r="W127" s="95">
        <f t="shared" si="53"/>
        <v>0</v>
      </c>
      <c r="X127" s="95">
        <f t="shared" si="53"/>
        <v>0</v>
      </c>
    </row>
    <row r="128" spans="1:24" x14ac:dyDescent="0.2">
      <c r="A128" s="572"/>
      <c r="B128" s="22"/>
      <c r="C128" s="23" t="s">
        <v>480</v>
      </c>
      <c r="D128" s="24" t="s">
        <v>481</v>
      </c>
      <c r="E128" s="25" t="s">
        <v>537</v>
      </c>
      <c r="F128" s="211">
        <v>73593</v>
      </c>
      <c r="G128" s="212">
        <f t="shared" si="37"/>
        <v>0.75</v>
      </c>
      <c r="H128" s="213">
        <v>98124</v>
      </c>
      <c r="I128" s="214">
        <v>106080</v>
      </c>
      <c r="J128" s="213"/>
      <c r="K128" s="215">
        <f>I128+J128</f>
        <v>106080</v>
      </c>
      <c r="L128" s="216">
        <f t="shared" si="38"/>
        <v>1.0810810810810811</v>
      </c>
      <c r="M128" s="626"/>
      <c r="N128" s="217">
        <f>V128+W128+X128</f>
        <v>106080</v>
      </c>
      <c r="O128" s="26"/>
      <c r="P128" s="26"/>
      <c r="Q128" s="26"/>
      <c r="R128" s="26"/>
      <c r="S128" s="26"/>
      <c r="T128" s="26">
        <v>106080</v>
      </c>
      <c r="U128" s="26"/>
      <c r="V128" s="26">
        <f t="shared" si="46"/>
        <v>106080</v>
      </c>
      <c r="W128" s="26"/>
      <c r="X128" s="26"/>
    </row>
    <row r="129" spans="1:24" x14ac:dyDescent="0.2">
      <c r="A129" s="572"/>
      <c r="B129" s="22"/>
      <c r="C129" s="23" t="s">
        <v>538</v>
      </c>
      <c r="D129" s="24" t="s">
        <v>539</v>
      </c>
      <c r="E129" s="25" t="s">
        <v>540</v>
      </c>
      <c r="F129" s="211">
        <v>1461</v>
      </c>
      <c r="G129" s="212">
        <f t="shared" si="37"/>
        <v>0.24349999999999999</v>
      </c>
      <c r="H129" s="213">
        <v>1662</v>
      </c>
      <c r="I129" s="214">
        <v>6000</v>
      </c>
      <c r="J129" s="213"/>
      <c r="K129" s="215">
        <f t="shared" ref="K129:K130" si="54">I129+J129</f>
        <v>6000</v>
      </c>
      <c r="L129" s="216">
        <f t="shared" si="38"/>
        <v>1</v>
      </c>
      <c r="M129" s="626"/>
      <c r="N129" s="217">
        <f t="shared" ref="N129:N130" si="55">V129+W129+X129</f>
        <v>6000</v>
      </c>
      <c r="O129" s="26">
        <v>6000</v>
      </c>
      <c r="P129" s="26"/>
      <c r="Q129" s="26"/>
      <c r="R129" s="26"/>
      <c r="S129" s="26"/>
      <c r="T129" s="26"/>
      <c r="U129" s="26"/>
      <c r="V129" s="26">
        <f t="shared" si="46"/>
        <v>6000</v>
      </c>
      <c r="W129" s="26"/>
      <c r="X129" s="26"/>
    </row>
    <row r="130" spans="1:24" ht="22.5" x14ac:dyDescent="0.2">
      <c r="A130" s="572"/>
      <c r="B130" s="22"/>
      <c r="C130" s="23" t="s">
        <v>390</v>
      </c>
      <c r="D130" s="24" t="s">
        <v>391</v>
      </c>
      <c r="E130" s="25" t="s">
        <v>541</v>
      </c>
      <c r="F130" s="211">
        <v>65193.2</v>
      </c>
      <c r="G130" s="212">
        <f t="shared" si="37"/>
        <v>0.98747652226597993</v>
      </c>
      <c r="H130" s="213">
        <v>65193.2</v>
      </c>
      <c r="I130" s="214">
        <f>1200+70000</f>
        <v>71200</v>
      </c>
      <c r="J130" s="213"/>
      <c r="K130" s="215">
        <f t="shared" si="54"/>
        <v>71200</v>
      </c>
      <c r="L130" s="216">
        <f t="shared" si="38"/>
        <v>1.0784610724023023</v>
      </c>
      <c r="M130" s="626" t="s">
        <v>542</v>
      </c>
      <c r="N130" s="217">
        <f t="shared" si="55"/>
        <v>71200</v>
      </c>
      <c r="O130" s="26">
        <v>70000</v>
      </c>
      <c r="P130" s="26"/>
      <c r="Q130" s="26"/>
      <c r="R130" s="26"/>
      <c r="S130" s="26"/>
      <c r="T130" s="26">
        <v>1200</v>
      </c>
      <c r="U130" s="26"/>
      <c r="V130" s="26">
        <f t="shared" si="46"/>
        <v>71200</v>
      </c>
      <c r="W130" s="26"/>
      <c r="X130" s="26"/>
    </row>
    <row r="131" spans="1:24" ht="33.75" x14ac:dyDescent="0.2">
      <c r="A131" s="574" t="s">
        <v>95</v>
      </c>
      <c r="B131" s="39"/>
      <c r="C131" s="39"/>
      <c r="D131" s="40" t="s">
        <v>96</v>
      </c>
      <c r="E131" s="41">
        <f>E132</f>
        <v>15857</v>
      </c>
      <c r="F131" s="41">
        <f t="shared" ref="F131:X131" si="56">F132</f>
        <v>14986</v>
      </c>
      <c r="G131" s="220">
        <f t="shared" si="37"/>
        <v>0.94507157722141644</v>
      </c>
      <c r="H131" s="41">
        <f t="shared" si="56"/>
        <v>15857</v>
      </c>
      <c r="I131" s="43">
        <f t="shared" si="56"/>
        <v>0</v>
      </c>
      <c r="J131" s="111">
        <f t="shared" si="56"/>
        <v>3491</v>
      </c>
      <c r="K131" s="206">
        <f t="shared" si="56"/>
        <v>3491</v>
      </c>
      <c r="L131" s="221">
        <f t="shared" si="38"/>
        <v>0.22015513653276156</v>
      </c>
      <c r="M131" s="207"/>
      <c r="N131" s="208">
        <f t="shared" si="56"/>
        <v>3491</v>
      </c>
      <c r="O131" s="109">
        <f t="shared" si="56"/>
        <v>3491</v>
      </c>
      <c r="P131" s="109">
        <f t="shared" si="56"/>
        <v>0</v>
      </c>
      <c r="Q131" s="109">
        <f t="shared" si="56"/>
        <v>0</v>
      </c>
      <c r="R131" s="109">
        <f t="shared" si="56"/>
        <v>0</v>
      </c>
      <c r="S131" s="109">
        <f t="shared" si="56"/>
        <v>0</v>
      </c>
      <c r="T131" s="109">
        <f t="shared" si="56"/>
        <v>0</v>
      </c>
      <c r="U131" s="109">
        <f t="shared" si="56"/>
        <v>0</v>
      </c>
      <c r="V131" s="230">
        <f t="shared" si="46"/>
        <v>3491</v>
      </c>
      <c r="W131" s="109">
        <f t="shared" si="56"/>
        <v>0</v>
      </c>
      <c r="X131" s="109">
        <f t="shared" si="56"/>
        <v>0</v>
      </c>
    </row>
    <row r="132" spans="1:24" ht="22.5" x14ac:dyDescent="0.2">
      <c r="A132" s="571"/>
      <c r="B132" s="15" t="s">
        <v>97</v>
      </c>
      <c r="C132" s="16"/>
      <c r="D132" s="17" t="s">
        <v>98</v>
      </c>
      <c r="E132" s="18">
        <f>E133+E134+E135+E136</f>
        <v>15857</v>
      </c>
      <c r="F132" s="18">
        <f t="shared" ref="F132:X132" si="57">F133+F134+F135+F136</f>
        <v>14986</v>
      </c>
      <c r="G132" s="218">
        <f t="shared" si="37"/>
        <v>0.94507157722141644</v>
      </c>
      <c r="H132" s="18">
        <f t="shared" si="57"/>
        <v>15857</v>
      </c>
      <c r="I132" s="20">
        <f t="shared" si="57"/>
        <v>0</v>
      </c>
      <c r="J132" s="114">
        <f t="shared" si="57"/>
        <v>3491</v>
      </c>
      <c r="K132" s="209">
        <f t="shared" si="57"/>
        <v>3491</v>
      </c>
      <c r="L132" s="219">
        <f t="shared" si="38"/>
        <v>0.22015513653276156</v>
      </c>
      <c r="M132" s="21"/>
      <c r="N132" s="210">
        <f t="shared" si="57"/>
        <v>3491</v>
      </c>
      <c r="O132" s="95">
        <f t="shared" si="57"/>
        <v>3491</v>
      </c>
      <c r="P132" s="95">
        <f t="shared" si="57"/>
        <v>0</v>
      </c>
      <c r="Q132" s="95">
        <f t="shared" si="57"/>
        <v>0</v>
      </c>
      <c r="R132" s="95">
        <f t="shared" si="57"/>
        <v>0</v>
      </c>
      <c r="S132" s="95">
        <f t="shared" si="57"/>
        <v>0</v>
      </c>
      <c r="T132" s="95">
        <f t="shared" si="57"/>
        <v>0</v>
      </c>
      <c r="U132" s="95">
        <f t="shared" si="57"/>
        <v>0</v>
      </c>
      <c r="V132" s="26">
        <f t="shared" si="46"/>
        <v>3491</v>
      </c>
      <c r="W132" s="95">
        <f t="shared" si="57"/>
        <v>0</v>
      </c>
      <c r="X132" s="95">
        <f t="shared" si="57"/>
        <v>0</v>
      </c>
    </row>
    <row r="133" spans="1:24" x14ac:dyDescent="0.2">
      <c r="A133" s="572"/>
      <c r="B133" s="22"/>
      <c r="C133" s="23" t="s">
        <v>373</v>
      </c>
      <c r="D133" s="24" t="s">
        <v>374</v>
      </c>
      <c r="E133" s="25" t="s">
        <v>543</v>
      </c>
      <c r="F133" s="211">
        <v>2229.12</v>
      </c>
      <c r="G133" s="212">
        <f t="shared" si="37"/>
        <v>0.76613382733531066</v>
      </c>
      <c r="H133" s="25" t="s">
        <v>543</v>
      </c>
      <c r="I133" s="214">
        <v>0</v>
      </c>
      <c r="J133" s="213">
        <v>2917.92</v>
      </c>
      <c r="K133" s="215">
        <v>2917.92</v>
      </c>
      <c r="L133" s="216">
        <f t="shared" si="38"/>
        <v>1.0028698398732458</v>
      </c>
      <c r="M133" s="626"/>
      <c r="N133" s="217">
        <f>V133+W133+X133</f>
        <v>2917.92</v>
      </c>
      <c r="O133" s="26">
        <v>2917.92</v>
      </c>
      <c r="P133" s="26"/>
      <c r="Q133" s="26"/>
      <c r="R133" s="26"/>
      <c r="S133" s="26"/>
      <c r="T133" s="26"/>
      <c r="U133" s="26"/>
      <c r="V133" s="26">
        <f t="shared" si="46"/>
        <v>2917.92</v>
      </c>
      <c r="W133" s="26"/>
      <c r="X133" s="26"/>
    </row>
    <row r="134" spans="1:24" x14ac:dyDescent="0.2">
      <c r="A134" s="572"/>
      <c r="B134" s="22"/>
      <c r="C134" s="23" t="s">
        <v>376</v>
      </c>
      <c r="D134" s="24" t="s">
        <v>377</v>
      </c>
      <c r="E134" s="25" t="s">
        <v>544</v>
      </c>
      <c r="F134" s="211">
        <v>333.36</v>
      </c>
      <c r="G134" s="212">
        <f t="shared" si="37"/>
        <v>0.66652004398680398</v>
      </c>
      <c r="H134" s="25" t="s">
        <v>544</v>
      </c>
      <c r="I134" s="214">
        <v>0</v>
      </c>
      <c r="J134" s="213">
        <v>501.59</v>
      </c>
      <c r="K134" s="215">
        <v>501.59</v>
      </c>
      <c r="L134" s="216">
        <f t="shared" si="38"/>
        <v>1.0028791362591223</v>
      </c>
      <c r="M134" s="626"/>
      <c r="N134" s="217">
        <f t="shared" ref="N134:N136" si="58">V134+W134+X134</f>
        <v>501.59</v>
      </c>
      <c r="O134" s="26">
        <v>501.59</v>
      </c>
      <c r="P134" s="26"/>
      <c r="Q134" s="26"/>
      <c r="R134" s="26"/>
      <c r="S134" s="26"/>
      <c r="T134" s="26"/>
      <c r="U134" s="26"/>
      <c r="V134" s="26">
        <f t="shared" si="46"/>
        <v>501.59</v>
      </c>
      <c r="W134" s="26"/>
      <c r="X134" s="26"/>
    </row>
    <row r="135" spans="1:24" x14ac:dyDescent="0.2">
      <c r="A135" s="572"/>
      <c r="B135" s="22"/>
      <c r="C135" s="23" t="s">
        <v>379</v>
      </c>
      <c r="D135" s="24" t="s">
        <v>380</v>
      </c>
      <c r="E135" s="25" t="s">
        <v>545</v>
      </c>
      <c r="F135" s="211">
        <v>47.52</v>
      </c>
      <c r="G135" s="212">
        <f t="shared" si="37"/>
        <v>0.66666666666666674</v>
      </c>
      <c r="H135" s="25" t="s">
        <v>545</v>
      </c>
      <c r="I135" s="214">
        <v>0</v>
      </c>
      <c r="J135" s="213">
        <v>71.489999999999995</v>
      </c>
      <c r="K135" s="215">
        <v>71.489999999999995</v>
      </c>
      <c r="L135" s="216">
        <f t="shared" si="38"/>
        <v>1.0029461279461278</v>
      </c>
      <c r="M135" s="626"/>
      <c r="N135" s="217">
        <f t="shared" si="58"/>
        <v>71.489999999999995</v>
      </c>
      <c r="O135" s="26">
        <v>71.489999999999995</v>
      </c>
      <c r="P135" s="26"/>
      <c r="Q135" s="26"/>
      <c r="R135" s="26"/>
      <c r="S135" s="26"/>
      <c r="T135" s="26"/>
      <c r="U135" s="26"/>
      <c r="V135" s="26">
        <f t="shared" si="46"/>
        <v>71.489999999999995</v>
      </c>
      <c r="W135" s="26"/>
      <c r="X135" s="26"/>
    </row>
    <row r="136" spans="1:24" x14ac:dyDescent="0.2">
      <c r="A136" s="572"/>
      <c r="B136" s="22"/>
      <c r="C136" s="23" t="s">
        <v>382</v>
      </c>
      <c r="D136" s="24" t="s">
        <v>383</v>
      </c>
      <c r="E136" s="25" t="s">
        <v>546</v>
      </c>
      <c r="F136" s="211">
        <v>12376</v>
      </c>
      <c r="G136" s="212">
        <f t="shared" si="37"/>
        <v>1</v>
      </c>
      <c r="H136" s="25" t="s">
        <v>546</v>
      </c>
      <c r="I136" s="214">
        <v>0</v>
      </c>
      <c r="J136" s="213">
        <v>0</v>
      </c>
      <c r="K136" s="215">
        <f t="shared" ref="K136" si="59">I136+J136</f>
        <v>0</v>
      </c>
      <c r="L136" s="216">
        <f t="shared" si="38"/>
        <v>0</v>
      </c>
      <c r="M136" s="626"/>
      <c r="N136" s="217">
        <f t="shared" si="58"/>
        <v>0</v>
      </c>
      <c r="O136" s="26"/>
      <c r="P136" s="26"/>
      <c r="Q136" s="26"/>
      <c r="R136" s="26"/>
      <c r="S136" s="26"/>
      <c r="T136" s="26"/>
      <c r="U136" s="26"/>
      <c r="V136" s="26">
        <f t="shared" si="46"/>
        <v>0</v>
      </c>
      <c r="W136" s="26"/>
      <c r="X136" s="26"/>
    </row>
    <row r="137" spans="1:24" ht="22.5" x14ac:dyDescent="0.2">
      <c r="A137" s="574" t="s">
        <v>100</v>
      </c>
      <c r="B137" s="39"/>
      <c r="C137" s="39"/>
      <c r="D137" s="40" t="s">
        <v>101</v>
      </c>
      <c r="E137" s="41">
        <f>E138+E140+E142+E159+E164+E166</f>
        <v>631184</v>
      </c>
      <c r="F137" s="41">
        <f t="shared" ref="F137:X137" si="60">F138+F140+F142+F159+F164+F166</f>
        <v>427418.89</v>
      </c>
      <c r="G137" s="220">
        <f t="shared" si="37"/>
        <v>0.67717003282719468</v>
      </c>
      <c r="H137" s="41">
        <f t="shared" si="60"/>
        <v>612215.89999999991</v>
      </c>
      <c r="I137" s="43">
        <f t="shared" si="60"/>
        <v>577710.97</v>
      </c>
      <c r="J137" s="111">
        <f t="shared" si="60"/>
        <v>-33000</v>
      </c>
      <c r="K137" s="206">
        <f t="shared" si="60"/>
        <v>544710.97</v>
      </c>
      <c r="L137" s="221">
        <f t="shared" si="38"/>
        <v>0.86299869768561932</v>
      </c>
      <c r="M137" s="207"/>
      <c r="N137" s="208">
        <f t="shared" si="60"/>
        <v>544710.97</v>
      </c>
      <c r="O137" s="109">
        <f t="shared" si="60"/>
        <v>47032.88</v>
      </c>
      <c r="P137" s="109">
        <f t="shared" si="60"/>
        <v>9648.09</v>
      </c>
      <c r="Q137" s="109">
        <f t="shared" si="60"/>
        <v>0</v>
      </c>
      <c r="R137" s="109">
        <f t="shared" si="60"/>
        <v>47000</v>
      </c>
      <c r="S137" s="109">
        <f t="shared" si="60"/>
        <v>9200</v>
      </c>
      <c r="T137" s="109">
        <f t="shared" si="60"/>
        <v>0</v>
      </c>
      <c r="U137" s="109">
        <f t="shared" si="60"/>
        <v>431830</v>
      </c>
      <c r="V137" s="230">
        <f t="shared" si="46"/>
        <v>544710.97</v>
      </c>
      <c r="W137" s="109">
        <f t="shared" si="60"/>
        <v>0</v>
      </c>
      <c r="X137" s="109">
        <f t="shared" si="60"/>
        <v>0</v>
      </c>
    </row>
    <row r="138" spans="1:24" ht="15" x14ac:dyDescent="0.2">
      <c r="A138" s="571"/>
      <c r="B138" s="15" t="s">
        <v>547</v>
      </c>
      <c r="C138" s="16"/>
      <c r="D138" s="17" t="s">
        <v>548</v>
      </c>
      <c r="E138" s="18" t="str">
        <f>E139</f>
        <v>10 000,00</v>
      </c>
      <c r="F138" s="18">
        <f t="shared" ref="F138:X138" si="61">F139</f>
        <v>10000</v>
      </c>
      <c r="G138" s="218">
        <f t="shared" ref="G138:G205" si="62">F138/E138</f>
        <v>1</v>
      </c>
      <c r="H138" s="18">
        <f t="shared" si="61"/>
        <v>10000</v>
      </c>
      <c r="I138" s="20">
        <f t="shared" si="61"/>
        <v>0</v>
      </c>
      <c r="J138" s="114">
        <f t="shared" si="61"/>
        <v>0</v>
      </c>
      <c r="K138" s="209">
        <f t="shared" si="61"/>
        <v>0</v>
      </c>
      <c r="L138" s="219">
        <f t="shared" ref="L138:L201" si="63">K138/E138</f>
        <v>0</v>
      </c>
      <c r="M138" s="21"/>
      <c r="N138" s="210">
        <f t="shared" si="61"/>
        <v>0</v>
      </c>
      <c r="O138" s="95">
        <f t="shared" si="61"/>
        <v>0</v>
      </c>
      <c r="P138" s="95">
        <f t="shared" si="61"/>
        <v>0</v>
      </c>
      <c r="Q138" s="95">
        <f t="shared" si="61"/>
        <v>0</v>
      </c>
      <c r="R138" s="95">
        <f t="shared" si="61"/>
        <v>0</v>
      </c>
      <c r="S138" s="95">
        <f t="shared" si="61"/>
        <v>0</v>
      </c>
      <c r="T138" s="95">
        <f t="shared" si="61"/>
        <v>0</v>
      </c>
      <c r="U138" s="95">
        <f t="shared" si="61"/>
        <v>0</v>
      </c>
      <c r="V138" s="26">
        <f t="shared" si="46"/>
        <v>0</v>
      </c>
      <c r="W138" s="95">
        <f t="shared" si="61"/>
        <v>0</v>
      </c>
      <c r="X138" s="95">
        <f t="shared" si="61"/>
        <v>0</v>
      </c>
    </row>
    <row r="139" spans="1:24" ht="22.5" x14ac:dyDescent="0.2">
      <c r="A139" s="572"/>
      <c r="B139" s="22"/>
      <c r="C139" s="23" t="s">
        <v>549</v>
      </c>
      <c r="D139" s="24" t="s">
        <v>550</v>
      </c>
      <c r="E139" s="25" t="s">
        <v>464</v>
      </c>
      <c r="F139" s="211">
        <v>10000</v>
      </c>
      <c r="G139" s="212">
        <f t="shared" si="62"/>
        <v>1</v>
      </c>
      <c r="H139" s="213">
        <v>10000</v>
      </c>
      <c r="I139" s="214"/>
      <c r="J139" s="213"/>
      <c r="K139" s="215">
        <f>I139+J139</f>
        <v>0</v>
      </c>
      <c r="L139" s="216">
        <f t="shared" si="63"/>
        <v>0</v>
      </c>
      <c r="M139" s="626"/>
      <c r="N139" s="217">
        <f>V139+W139+X139</f>
        <v>0</v>
      </c>
      <c r="O139" s="26"/>
      <c r="P139" s="26"/>
      <c r="Q139" s="26"/>
      <c r="R139" s="26"/>
      <c r="S139" s="26"/>
      <c r="T139" s="26"/>
      <c r="U139" s="26"/>
      <c r="V139" s="26">
        <f t="shared" si="46"/>
        <v>0</v>
      </c>
      <c r="W139" s="26"/>
      <c r="X139" s="26"/>
    </row>
    <row r="140" spans="1:24" ht="22.5" x14ac:dyDescent="0.2">
      <c r="A140" s="571"/>
      <c r="B140" s="15" t="s">
        <v>551</v>
      </c>
      <c r="C140" s="16"/>
      <c r="D140" s="17" t="s">
        <v>552</v>
      </c>
      <c r="E140" s="18" t="str">
        <f>E141</f>
        <v>13 000,00</v>
      </c>
      <c r="F140" s="18">
        <f t="shared" ref="F140:X140" si="64">F141</f>
        <v>13000</v>
      </c>
      <c r="G140" s="218">
        <f t="shared" si="62"/>
        <v>1</v>
      </c>
      <c r="H140" s="18">
        <f t="shared" si="64"/>
        <v>13000</v>
      </c>
      <c r="I140" s="20">
        <f t="shared" si="64"/>
        <v>0</v>
      </c>
      <c r="J140" s="114">
        <f t="shared" si="64"/>
        <v>0</v>
      </c>
      <c r="K140" s="209">
        <f t="shared" si="64"/>
        <v>0</v>
      </c>
      <c r="L140" s="219">
        <f t="shared" si="63"/>
        <v>0</v>
      </c>
      <c r="M140" s="21"/>
      <c r="N140" s="210">
        <f t="shared" si="64"/>
        <v>0</v>
      </c>
      <c r="O140" s="95">
        <f t="shared" si="64"/>
        <v>0</v>
      </c>
      <c r="P140" s="95">
        <f t="shared" si="64"/>
        <v>0</v>
      </c>
      <c r="Q140" s="95">
        <f t="shared" si="64"/>
        <v>0</v>
      </c>
      <c r="R140" s="95">
        <f t="shared" si="64"/>
        <v>0</v>
      </c>
      <c r="S140" s="95">
        <f t="shared" si="64"/>
        <v>0</v>
      </c>
      <c r="T140" s="95">
        <f t="shared" si="64"/>
        <v>0</v>
      </c>
      <c r="U140" s="95">
        <f t="shared" si="64"/>
        <v>0</v>
      </c>
      <c r="V140" s="26">
        <f t="shared" si="46"/>
        <v>0</v>
      </c>
      <c r="W140" s="95">
        <f t="shared" si="64"/>
        <v>0</v>
      </c>
      <c r="X140" s="95">
        <f t="shared" si="64"/>
        <v>0</v>
      </c>
    </row>
    <row r="141" spans="1:24" ht="22.5" x14ac:dyDescent="0.2">
      <c r="A141" s="572"/>
      <c r="B141" s="22"/>
      <c r="C141" s="23" t="s">
        <v>549</v>
      </c>
      <c r="D141" s="24" t="s">
        <v>550</v>
      </c>
      <c r="E141" s="25" t="s">
        <v>485</v>
      </c>
      <c r="F141" s="211">
        <v>13000</v>
      </c>
      <c r="G141" s="212">
        <f t="shared" si="62"/>
        <v>1</v>
      </c>
      <c r="H141" s="213">
        <v>13000</v>
      </c>
      <c r="I141" s="214"/>
      <c r="J141" s="213"/>
      <c r="K141" s="215">
        <f>I141+J141</f>
        <v>0</v>
      </c>
      <c r="L141" s="216">
        <f t="shared" si="63"/>
        <v>0</v>
      </c>
      <c r="M141" s="626"/>
      <c r="N141" s="217">
        <f>V141+W141+X141</f>
        <v>0</v>
      </c>
      <c r="O141" s="26"/>
      <c r="P141" s="26"/>
      <c r="Q141" s="26"/>
      <c r="R141" s="26"/>
      <c r="S141" s="26"/>
      <c r="T141" s="26"/>
      <c r="U141" s="26"/>
      <c r="V141" s="26">
        <f t="shared" si="46"/>
        <v>0</v>
      </c>
      <c r="W141" s="26"/>
      <c r="X141" s="26"/>
    </row>
    <row r="142" spans="1:24" ht="15" x14ac:dyDescent="0.2">
      <c r="A142" s="571"/>
      <c r="B142" s="15" t="s">
        <v>102</v>
      </c>
      <c r="C142" s="16"/>
      <c r="D142" s="17" t="s">
        <v>103</v>
      </c>
      <c r="E142" s="18">
        <f>E143+E144+E145+E146+E147+E148+E149+E150+E152+E153+E154+E155+E156+E157+E158+E151</f>
        <v>513854</v>
      </c>
      <c r="F142" s="18">
        <f>F143+F144+F145+F146+F147+F148+F149+F150+F152+F153+F154+F155+F156+F157+F158+F151</f>
        <v>352592.58999999997</v>
      </c>
      <c r="G142" s="218">
        <f t="shared" si="62"/>
        <v>0.68617270664429963</v>
      </c>
      <c r="H142" s="18">
        <f>H143+H144+H145+H146+H147+H148+H149+H150+H152+H153+H154+H155+H156+H157+H158+H151</f>
        <v>510398.58999999997</v>
      </c>
      <c r="I142" s="20">
        <f t="shared" ref="I142:X142" si="65">I143+I144+I145+I146+I147+I148+I149+I150+I152+I153+I154+I155+I156+I157+I158+I151</f>
        <v>520680.97</v>
      </c>
      <c r="J142" s="114">
        <f t="shared" si="65"/>
        <v>-70000</v>
      </c>
      <c r="K142" s="209">
        <f t="shared" si="65"/>
        <v>450680.97</v>
      </c>
      <c r="L142" s="219">
        <f t="shared" si="63"/>
        <v>0.87706035177307162</v>
      </c>
      <c r="M142" s="21"/>
      <c r="N142" s="210">
        <f t="shared" si="65"/>
        <v>450680.97</v>
      </c>
      <c r="O142" s="95">
        <f t="shared" si="65"/>
        <v>47032.88</v>
      </c>
      <c r="P142" s="95">
        <f t="shared" si="65"/>
        <v>9648.09</v>
      </c>
      <c r="Q142" s="95">
        <f t="shared" si="65"/>
        <v>0</v>
      </c>
      <c r="R142" s="95">
        <f t="shared" si="65"/>
        <v>0</v>
      </c>
      <c r="S142" s="95">
        <f t="shared" si="65"/>
        <v>0</v>
      </c>
      <c r="T142" s="95">
        <f t="shared" si="65"/>
        <v>0</v>
      </c>
      <c r="U142" s="95">
        <f t="shared" si="65"/>
        <v>394000</v>
      </c>
      <c r="V142" s="26">
        <f t="shared" si="46"/>
        <v>450680.97</v>
      </c>
      <c r="W142" s="95">
        <f t="shared" si="65"/>
        <v>0</v>
      </c>
      <c r="X142" s="95">
        <f t="shared" si="65"/>
        <v>0</v>
      </c>
    </row>
    <row r="143" spans="1:24" ht="33.75" x14ac:dyDescent="0.2">
      <c r="A143" s="572"/>
      <c r="B143" s="22"/>
      <c r="C143" s="23" t="s">
        <v>363</v>
      </c>
      <c r="D143" s="24" t="s">
        <v>364</v>
      </c>
      <c r="E143" s="25" t="s">
        <v>524</v>
      </c>
      <c r="F143" s="211">
        <v>24999.95</v>
      </c>
      <c r="G143" s="212">
        <f t="shared" si="62"/>
        <v>0.99999800000000005</v>
      </c>
      <c r="H143" s="213">
        <v>24999.95</v>
      </c>
      <c r="I143" s="214">
        <v>30000</v>
      </c>
      <c r="J143" s="213"/>
      <c r="K143" s="215">
        <f>I143+J143</f>
        <v>30000</v>
      </c>
      <c r="L143" s="216">
        <f t="shared" si="63"/>
        <v>1.2</v>
      </c>
      <c r="M143" s="626"/>
      <c r="N143" s="217">
        <f>V143+W143+X143</f>
        <v>30000</v>
      </c>
      <c r="O143" s="26"/>
      <c r="P143" s="26"/>
      <c r="Q143" s="26"/>
      <c r="R143" s="26"/>
      <c r="S143" s="26"/>
      <c r="T143" s="26"/>
      <c r="U143" s="26">
        <v>30000</v>
      </c>
      <c r="V143" s="26">
        <f t="shared" si="46"/>
        <v>30000</v>
      </c>
      <c r="W143" s="26"/>
      <c r="X143" s="26"/>
    </row>
    <row r="144" spans="1:24" x14ac:dyDescent="0.2">
      <c r="A144" s="572"/>
      <c r="B144" s="22"/>
      <c r="C144" s="23" t="s">
        <v>480</v>
      </c>
      <c r="D144" s="24" t="s">
        <v>481</v>
      </c>
      <c r="E144" s="25" t="s">
        <v>553</v>
      </c>
      <c r="F144" s="211">
        <v>39906</v>
      </c>
      <c r="G144" s="212">
        <f t="shared" si="62"/>
        <v>0.72556363636363641</v>
      </c>
      <c r="H144" s="213">
        <v>55000</v>
      </c>
      <c r="I144" s="214">
        <v>70000</v>
      </c>
      <c r="J144" s="213">
        <v>-10000</v>
      </c>
      <c r="K144" s="215">
        <f t="shared" ref="K144:K158" si="66">I144+J144</f>
        <v>60000</v>
      </c>
      <c r="L144" s="216">
        <f t="shared" si="63"/>
        <v>1.0909090909090908</v>
      </c>
      <c r="M144" s="626"/>
      <c r="N144" s="217">
        <f t="shared" ref="N144:N158" si="67">V144+W144+X144</f>
        <v>60000</v>
      </c>
      <c r="O144" s="26"/>
      <c r="P144" s="26"/>
      <c r="Q144" s="26"/>
      <c r="R144" s="26"/>
      <c r="S144" s="26"/>
      <c r="T144" s="26"/>
      <c r="U144" s="26">
        <v>60000</v>
      </c>
      <c r="V144" s="26">
        <f t="shared" si="46"/>
        <v>60000</v>
      </c>
      <c r="W144" s="26"/>
      <c r="X144" s="26"/>
    </row>
    <row r="145" spans="1:24" x14ac:dyDescent="0.2">
      <c r="A145" s="572"/>
      <c r="B145" s="22"/>
      <c r="C145" s="23" t="s">
        <v>376</v>
      </c>
      <c r="D145" s="24" t="s">
        <v>377</v>
      </c>
      <c r="E145" s="25" t="s">
        <v>554</v>
      </c>
      <c r="F145" s="211">
        <v>3228.32</v>
      </c>
      <c r="G145" s="212">
        <f t="shared" si="62"/>
        <v>0.64773675762439809</v>
      </c>
      <c r="H145" s="213">
        <v>4674.3</v>
      </c>
      <c r="I145" s="214">
        <v>6757.73</v>
      </c>
      <c r="J145" s="213"/>
      <c r="K145" s="215">
        <f t="shared" si="66"/>
        <v>6757.73</v>
      </c>
      <c r="L145" s="216">
        <f t="shared" si="63"/>
        <v>1.3558848314606742</v>
      </c>
      <c r="M145" s="626"/>
      <c r="N145" s="217">
        <f t="shared" si="67"/>
        <v>6757.73</v>
      </c>
      <c r="O145" s="211">
        <v>6757.73</v>
      </c>
      <c r="P145" s="26"/>
      <c r="Q145" s="26"/>
      <c r="R145" s="26"/>
      <c r="S145" s="26"/>
      <c r="T145" s="26"/>
      <c r="U145" s="26"/>
      <c r="V145" s="26">
        <f t="shared" si="46"/>
        <v>6757.73</v>
      </c>
      <c r="W145" s="26"/>
      <c r="X145" s="26"/>
    </row>
    <row r="146" spans="1:24" x14ac:dyDescent="0.2">
      <c r="A146" s="572"/>
      <c r="B146" s="22"/>
      <c r="C146" s="23" t="s">
        <v>379</v>
      </c>
      <c r="D146" s="24" t="s">
        <v>380</v>
      </c>
      <c r="E146" s="25" t="s">
        <v>555</v>
      </c>
      <c r="F146" s="211">
        <v>420.92</v>
      </c>
      <c r="G146" s="212">
        <f t="shared" si="62"/>
        <v>0.69458745874587458</v>
      </c>
      <c r="H146" s="213">
        <v>605.6</v>
      </c>
      <c r="I146" s="214">
        <v>963.15</v>
      </c>
      <c r="J146" s="213"/>
      <c r="K146" s="215">
        <f t="shared" si="66"/>
        <v>963.15</v>
      </c>
      <c r="L146" s="216">
        <f t="shared" si="63"/>
        <v>1.5893564356435643</v>
      </c>
      <c r="M146" s="626"/>
      <c r="N146" s="217">
        <f t="shared" si="67"/>
        <v>963.15</v>
      </c>
      <c r="O146" s="211">
        <v>963.15</v>
      </c>
      <c r="P146" s="26"/>
      <c r="Q146" s="26"/>
      <c r="R146" s="26"/>
      <c r="S146" s="26"/>
      <c r="T146" s="26"/>
      <c r="U146" s="26"/>
      <c r="V146" s="26">
        <f t="shared" si="46"/>
        <v>963.15</v>
      </c>
      <c r="W146" s="26"/>
      <c r="X146" s="26"/>
    </row>
    <row r="147" spans="1:24" x14ac:dyDescent="0.2">
      <c r="A147" s="572"/>
      <c r="B147" s="22"/>
      <c r="C147" s="23" t="s">
        <v>398</v>
      </c>
      <c r="D147" s="24" t="s">
        <v>399</v>
      </c>
      <c r="E147" s="25" t="s">
        <v>556</v>
      </c>
      <c r="F147" s="211">
        <v>20465.740000000002</v>
      </c>
      <c r="G147" s="212">
        <f t="shared" si="62"/>
        <v>0.72128497920631574</v>
      </c>
      <c r="H147" s="213">
        <v>28200</v>
      </c>
      <c r="I147" s="214">
        <v>39312</v>
      </c>
      <c r="J147" s="213"/>
      <c r="K147" s="215">
        <f t="shared" si="66"/>
        <v>39312</v>
      </c>
      <c r="L147" s="216">
        <f t="shared" si="63"/>
        <v>1.3854937618946923</v>
      </c>
      <c r="M147" s="626"/>
      <c r="N147" s="217">
        <f t="shared" si="67"/>
        <v>39312</v>
      </c>
      <c r="O147" s="211">
        <v>39312</v>
      </c>
      <c r="P147" s="26"/>
      <c r="Q147" s="26"/>
      <c r="R147" s="26"/>
      <c r="S147" s="26"/>
      <c r="T147" s="26"/>
      <c r="U147" s="26"/>
      <c r="V147" s="26">
        <f t="shared" si="46"/>
        <v>39312</v>
      </c>
      <c r="W147" s="26"/>
      <c r="X147" s="26"/>
    </row>
    <row r="148" spans="1:24" x14ac:dyDescent="0.2">
      <c r="A148" s="572"/>
      <c r="B148" s="22"/>
      <c r="C148" s="23" t="s">
        <v>483</v>
      </c>
      <c r="D148" s="24" t="s">
        <v>484</v>
      </c>
      <c r="E148" s="25" t="s">
        <v>557</v>
      </c>
      <c r="F148" s="211">
        <v>750</v>
      </c>
      <c r="G148" s="212">
        <f t="shared" si="62"/>
        <v>1</v>
      </c>
      <c r="H148" s="213">
        <v>750</v>
      </c>
      <c r="I148" s="214">
        <v>0</v>
      </c>
      <c r="J148" s="213"/>
      <c r="K148" s="215">
        <f t="shared" si="66"/>
        <v>0</v>
      </c>
      <c r="L148" s="216">
        <f t="shared" si="63"/>
        <v>0</v>
      </c>
      <c r="M148" s="626"/>
      <c r="N148" s="217">
        <f t="shared" si="67"/>
        <v>0</v>
      </c>
      <c r="O148" s="26"/>
      <c r="P148" s="26"/>
      <c r="Q148" s="26"/>
      <c r="R148" s="26"/>
      <c r="S148" s="26"/>
      <c r="T148" s="26"/>
      <c r="U148" s="211">
        <v>0</v>
      </c>
      <c r="V148" s="26">
        <f t="shared" si="46"/>
        <v>0</v>
      </c>
      <c r="W148" s="26"/>
      <c r="X148" s="26"/>
    </row>
    <row r="149" spans="1:24" x14ac:dyDescent="0.2">
      <c r="A149" s="572"/>
      <c r="B149" s="22"/>
      <c r="C149" s="23" t="s">
        <v>382</v>
      </c>
      <c r="D149" s="24" t="s">
        <v>383</v>
      </c>
      <c r="E149" s="25" t="s">
        <v>558</v>
      </c>
      <c r="F149" s="211">
        <v>96237.59</v>
      </c>
      <c r="G149" s="212">
        <f t="shared" si="62"/>
        <v>0.75039056530214421</v>
      </c>
      <c r="H149" s="213">
        <v>128250</v>
      </c>
      <c r="I149" s="214">
        <f>185000+9648.09</f>
        <v>194648.09</v>
      </c>
      <c r="J149" s="213">
        <v>-50000</v>
      </c>
      <c r="K149" s="215">
        <f t="shared" si="66"/>
        <v>144648.09</v>
      </c>
      <c r="L149" s="216">
        <f t="shared" si="63"/>
        <v>1.1278603508771929</v>
      </c>
      <c r="M149" s="626" t="s">
        <v>559</v>
      </c>
      <c r="N149" s="217">
        <f t="shared" si="67"/>
        <v>144648.09</v>
      </c>
      <c r="O149" s="26"/>
      <c r="P149" s="26">
        <v>9648.09</v>
      </c>
      <c r="Q149" s="26"/>
      <c r="R149" s="26"/>
      <c r="S149" s="26"/>
      <c r="T149" s="26"/>
      <c r="U149" s="211">
        <f>135000</f>
        <v>135000</v>
      </c>
      <c r="V149" s="26">
        <f t="shared" si="46"/>
        <v>144648.09</v>
      </c>
      <c r="W149" s="26"/>
      <c r="X149" s="26"/>
    </row>
    <row r="150" spans="1:24" x14ac:dyDescent="0.2">
      <c r="A150" s="572"/>
      <c r="B150" s="22"/>
      <c r="C150" s="23" t="s">
        <v>401</v>
      </c>
      <c r="D150" s="24" t="s">
        <v>402</v>
      </c>
      <c r="E150" s="25" t="s">
        <v>150</v>
      </c>
      <c r="F150" s="211">
        <v>25747.66</v>
      </c>
      <c r="G150" s="212">
        <f t="shared" si="62"/>
        <v>0.54782255319148931</v>
      </c>
      <c r="H150" s="213">
        <v>44736.83</v>
      </c>
      <c r="I150" s="214">
        <v>52000</v>
      </c>
      <c r="J150" s="213"/>
      <c r="K150" s="215">
        <f t="shared" si="66"/>
        <v>52000</v>
      </c>
      <c r="L150" s="216">
        <f t="shared" si="63"/>
        <v>1.1063829787234043</v>
      </c>
      <c r="M150" s="626"/>
      <c r="N150" s="217">
        <f t="shared" si="67"/>
        <v>52000</v>
      </c>
      <c r="O150" s="26"/>
      <c r="P150" s="26"/>
      <c r="Q150" s="26"/>
      <c r="R150" s="26"/>
      <c r="S150" s="26"/>
      <c r="T150" s="26"/>
      <c r="U150" s="211">
        <v>52000</v>
      </c>
      <c r="V150" s="26">
        <f t="shared" si="46"/>
        <v>52000</v>
      </c>
      <c r="W150" s="26"/>
      <c r="X150" s="26"/>
    </row>
    <row r="151" spans="1:24" x14ac:dyDescent="0.2">
      <c r="A151" s="572"/>
      <c r="B151" s="22"/>
      <c r="C151" s="23" t="s">
        <v>416</v>
      </c>
      <c r="D151" s="24" t="s">
        <v>417</v>
      </c>
      <c r="E151" s="25">
        <v>0</v>
      </c>
      <c r="F151" s="211">
        <v>0</v>
      </c>
      <c r="G151" s="212">
        <v>0</v>
      </c>
      <c r="H151" s="213">
        <v>0</v>
      </c>
      <c r="I151" s="214">
        <v>10000</v>
      </c>
      <c r="J151" s="213"/>
      <c r="K151" s="215">
        <f t="shared" si="66"/>
        <v>10000</v>
      </c>
      <c r="L151" s="216">
        <v>0</v>
      </c>
      <c r="M151" s="626"/>
      <c r="N151" s="217">
        <f t="shared" si="67"/>
        <v>10000</v>
      </c>
      <c r="O151" s="26"/>
      <c r="P151" s="26"/>
      <c r="Q151" s="26"/>
      <c r="R151" s="26"/>
      <c r="S151" s="26"/>
      <c r="T151" s="26"/>
      <c r="U151" s="211">
        <v>10000</v>
      </c>
      <c r="V151" s="26">
        <f t="shared" si="46"/>
        <v>10000</v>
      </c>
      <c r="W151" s="26"/>
      <c r="X151" s="26"/>
    </row>
    <row r="152" spans="1:24" x14ac:dyDescent="0.2">
      <c r="A152" s="572"/>
      <c r="B152" s="22"/>
      <c r="C152" s="23" t="s">
        <v>502</v>
      </c>
      <c r="D152" s="24" t="s">
        <v>503</v>
      </c>
      <c r="E152" s="25" t="s">
        <v>48</v>
      </c>
      <c r="F152" s="211">
        <v>100</v>
      </c>
      <c r="G152" s="212">
        <f t="shared" si="62"/>
        <v>8.3333333333333332E-3</v>
      </c>
      <c r="H152" s="213">
        <v>12000</v>
      </c>
      <c r="I152" s="214">
        <v>25000</v>
      </c>
      <c r="J152" s="213"/>
      <c r="K152" s="215">
        <f t="shared" si="66"/>
        <v>25000</v>
      </c>
      <c r="L152" s="216">
        <f t="shared" si="63"/>
        <v>2.0833333333333335</v>
      </c>
      <c r="M152" s="626"/>
      <c r="N152" s="217">
        <f t="shared" si="67"/>
        <v>25000</v>
      </c>
      <c r="O152" s="26"/>
      <c r="P152" s="26"/>
      <c r="Q152" s="26"/>
      <c r="R152" s="26"/>
      <c r="S152" s="26"/>
      <c r="T152" s="26"/>
      <c r="U152" s="211">
        <v>25000</v>
      </c>
      <c r="V152" s="26">
        <f t="shared" si="46"/>
        <v>25000</v>
      </c>
      <c r="W152" s="26"/>
      <c r="X152" s="26"/>
    </row>
    <row r="153" spans="1:24" x14ac:dyDescent="0.2">
      <c r="A153" s="572"/>
      <c r="B153" s="22"/>
      <c r="C153" s="23" t="s">
        <v>386</v>
      </c>
      <c r="D153" s="24" t="s">
        <v>387</v>
      </c>
      <c r="E153" s="25" t="s">
        <v>560</v>
      </c>
      <c r="F153" s="211">
        <v>30851.119999999999</v>
      </c>
      <c r="G153" s="212">
        <f t="shared" si="62"/>
        <v>0.719307997202145</v>
      </c>
      <c r="H153" s="213">
        <v>42890</v>
      </c>
      <c r="I153" s="214">
        <v>52000</v>
      </c>
      <c r="J153" s="213">
        <v>-10000</v>
      </c>
      <c r="K153" s="215">
        <f t="shared" si="66"/>
        <v>42000</v>
      </c>
      <c r="L153" s="216">
        <f t="shared" si="63"/>
        <v>0.97924924224761012</v>
      </c>
      <c r="M153" s="626"/>
      <c r="N153" s="217">
        <f t="shared" si="67"/>
        <v>42000</v>
      </c>
      <c r="O153" s="26"/>
      <c r="P153" s="26"/>
      <c r="Q153" s="26"/>
      <c r="R153" s="26"/>
      <c r="S153" s="26"/>
      <c r="T153" s="26"/>
      <c r="U153" s="211">
        <v>42000</v>
      </c>
      <c r="V153" s="26">
        <f t="shared" si="46"/>
        <v>42000</v>
      </c>
      <c r="W153" s="26"/>
      <c r="X153" s="26"/>
    </row>
    <row r="154" spans="1:24" ht="22.5" x14ac:dyDescent="0.2">
      <c r="A154" s="572"/>
      <c r="B154" s="22"/>
      <c r="C154" s="23" t="s">
        <v>506</v>
      </c>
      <c r="D154" s="24" t="s">
        <v>507</v>
      </c>
      <c r="E154" s="25" t="s">
        <v>535</v>
      </c>
      <c r="F154" s="211">
        <v>1268.93</v>
      </c>
      <c r="G154" s="212">
        <f t="shared" si="62"/>
        <v>0.63446500000000006</v>
      </c>
      <c r="H154" s="213">
        <v>1691.91</v>
      </c>
      <c r="I154" s="214">
        <v>3000</v>
      </c>
      <c r="J154" s="213"/>
      <c r="K154" s="215">
        <f t="shared" si="66"/>
        <v>3000</v>
      </c>
      <c r="L154" s="216">
        <f t="shared" si="63"/>
        <v>1.5</v>
      </c>
      <c r="M154" s="626"/>
      <c r="N154" s="217">
        <f t="shared" si="67"/>
        <v>3000</v>
      </c>
      <c r="O154" s="26"/>
      <c r="P154" s="26"/>
      <c r="Q154" s="26"/>
      <c r="R154" s="26"/>
      <c r="S154" s="26"/>
      <c r="T154" s="26"/>
      <c r="U154" s="211">
        <v>3000</v>
      </c>
      <c r="V154" s="26">
        <f t="shared" si="46"/>
        <v>3000</v>
      </c>
      <c r="W154" s="26"/>
      <c r="X154" s="26"/>
    </row>
    <row r="155" spans="1:24" x14ac:dyDescent="0.2">
      <c r="A155" s="572"/>
      <c r="B155" s="22"/>
      <c r="C155" s="23" t="s">
        <v>390</v>
      </c>
      <c r="D155" s="24" t="s">
        <v>391</v>
      </c>
      <c r="E155" s="25" t="s">
        <v>561</v>
      </c>
      <c r="F155" s="211">
        <v>22603</v>
      </c>
      <c r="G155" s="212">
        <f t="shared" si="62"/>
        <v>0.8371481481481482</v>
      </c>
      <c r="H155" s="213">
        <v>27000</v>
      </c>
      <c r="I155" s="214">
        <v>37000</v>
      </c>
      <c r="J155" s="213"/>
      <c r="K155" s="215">
        <f t="shared" si="66"/>
        <v>37000</v>
      </c>
      <c r="L155" s="216">
        <f t="shared" si="63"/>
        <v>1.3703703703703705</v>
      </c>
      <c r="M155" s="626"/>
      <c r="N155" s="217">
        <f t="shared" si="67"/>
        <v>37000</v>
      </c>
      <c r="O155" s="26"/>
      <c r="P155" s="26"/>
      <c r="Q155" s="26"/>
      <c r="R155" s="26"/>
      <c r="S155" s="26"/>
      <c r="T155" s="26"/>
      <c r="U155" s="211">
        <v>37000</v>
      </c>
      <c r="V155" s="26">
        <f t="shared" si="46"/>
        <v>37000</v>
      </c>
      <c r="W155" s="26"/>
      <c r="X155" s="26"/>
    </row>
    <row r="156" spans="1:24" ht="22.5" x14ac:dyDescent="0.2">
      <c r="A156" s="572"/>
      <c r="B156" s="22"/>
      <c r="C156" s="23" t="s">
        <v>393</v>
      </c>
      <c r="D156" s="24" t="s">
        <v>394</v>
      </c>
      <c r="E156" s="25" t="s">
        <v>31</v>
      </c>
      <c r="F156" s="211">
        <v>6413.36</v>
      </c>
      <c r="G156" s="212">
        <f t="shared" si="62"/>
        <v>0.32066800000000001</v>
      </c>
      <c r="H156" s="213">
        <v>20000</v>
      </c>
      <c r="I156" s="214"/>
      <c r="J156" s="213"/>
      <c r="K156" s="215">
        <f t="shared" si="66"/>
        <v>0</v>
      </c>
      <c r="L156" s="216">
        <f t="shared" si="63"/>
        <v>0</v>
      </c>
      <c r="M156" s="626"/>
      <c r="N156" s="217">
        <f t="shared" si="67"/>
        <v>0</v>
      </c>
      <c r="O156" s="26"/>
      <c r="P156" s="26"/>
      <c r="Q156" s="26"/>
      <c r="R156" s="26"/>
      <c r="S156" s="26"/>
      <c r="T156" s="26"/>
      <c r="U156" s="26"/>
      <c r="V156" s="26">
        <f t="shared" si="46"/>
        <v>0</v>
      </c>
      <c r="W156" s="26"/>
      <c r="X156" s="26"/>
    </row>
    <row r="157" spans="1:24" ht="22.5" x14ac:dyDescent="0.2">
      <c r="A157" s="572"/>
      <c r="B157" s="22"/>
      <c r="C157" s="23" t="s">
        <v>453</v>
      </c>
      <c r="D157" s="24" t="s">
        <v>454</v>
      </c>
      <c r="E157" s="25" t="s">
        <v>173</v>
      </c>
      <c r="F157" s="211">
        <v>79600</v>
      </c>
      <c r="G157" s="212">
        <f t="shared" si="62"/>
        <v>0.995</v>
      </c>
      <c r="H157" s="213">
        <v>79600</v>
      </c>
      <c r="I157" s="214"/>
      <c r="J157" s="213"/>
      <c r="K157" s="215">
        <f t="shared" si="66"/>
        <v>0</v>
      </c>
      <c r="L157" s="216">
        <f t="shared" si="63"/>
        <v>0</v>
      </c>
      <c r="M157" s="626"/>
      <c r="N157" s="217">
        <f t="shared" si="67"/>
        <v>0</v>
      </c>
      <c r="O157" s="26"/>
      <c r="P157" s="26"/>
      <c r="Q157" s="26"/>
      <c r="R157" s="26"/>
      <c r="S157" s="26"/>
      <c r="T157" s="26"/>
      <c r="U157" s="26"/>
      <c r="V157" s="26">
        <f t="shared" ref="V157:V221" si="68">SUM(O157:U157)</f>
        <v>0</v>
      </c>
      <c r="W157" s="26"/>
      <c r="X157" s="26"/>
    </row>
    <row r="158" spans="1:24" ht="56.25" x14ac:dyDescent="0.2">
      <c r="A158" s="572"/>
      <c r="B158" s="22"/>
      <c r="C158" s="23" t="s">
        <v>562</v>
      </c>
      <c r="D158" s="24" t="s">
        <v>563</v>
      </c>
      <c r="E158" s="25" t="s">
        <v>564</v>
      </c>
      <c r="F158" s="211">
        <v>0</v>
      </c>
      <c r="G158" s="212">
        <f t="shared" si="62"/>
        <v>0</v>
      </c>
      <c r="H158" s="213">
        <v>40000</v>
      </c>
      <c r="I158" s="214"/>
      <c r="J158" s="213"/>
      <c r="K158" s="215">
        <f t="shared" si="66"/>
        <v>0</v>
      </c>
      <c r="L158" s="216">
        <f t="shared" si="63"/>
        <v>0</v>
      </c>
      <c r="M158" s="626"/>
      <c r="N158" s="217">
        <f t="shared" si="67"/>
        <v>0</v>
      </c>
      <c r="O158" s="26"/>
      <c r="P158" s="26"/>
      <c r="Q158" s="26"/>
      <c r="R158" s="26"/>
      <c r="S158" s="26"/>
      <c r="T158" s="26"/>
      <c r="U158" s="26"/>
      <c r="V158" s="26">
        <f t="shared" si="68"/>
        <v>0</v>
      </c>
      <c r="W158" s="26"/>
      <c r="X158" s="26"/>
    </row>
    <row r="159" spans="1:24" ht="15" x14ac:dyDescent="0.2">
      <c r="A159" s="571"/>
      <c r="B159" s="15" t="s">
        <v>565</v>
      </c>
      <c r="C159" s="16"/>
      <c r="D159" s="17" t="s">
        <v>566</v>
      </c>
      <c r="E159" s="18">
        <f>E160+E161+E162+E163</f>
        <v>27500</v>
      </c>
      <c r="F159" s="18">
        <f>F160+F161+F162+F163</f>
        <v>2053.52</v>
      </c>
      <c r="G159" s="218">
        <f t="shared" si="62"/>
        <v>7.4673454545454543E-2</v>
      </c>
      <c r="H159" s="18">
        <f>H160+H161+H162+H163</f>
        <v>15932.69</v>
      </c>
      <c r="I159" s="20">
        <f>I160+I161++I163+I162</f>
        <v>9200</v>
      </c>
      <c r="J159" s="20">
        <f>J160+J161++J163</f>
        <v>0</v>
      </c>
      <c r="K159" s="209">
        <f>K160+K161+K162+K163</f>
        <v>9200</v>
      </c>
      <c r="L159" s="634">
        <f>K159/E159</f>
        <v>0.33454545454545453</v>
      </c>
      <c r="M159" s="21">
        <f t="shared" ref="M159" si="69">M160+M161+M162</f>
        <v>0</v>
      </c>
      <c r="N159" s="210">
        <f>N160+N161+N162+N163</f>
        <v>9200</v>
      </c>
      <c r="O159" s="210">
        <f t="shared" ref="O159:X159" si="70">O160+O161+O162+O163</f>
        <v>0</v>
      </c>
      <c r="P159" s="210">
        <f t="shared" si="70"/>
        <v>0</v>
      </c>
      <c r="Q159" s="210">
        <f t="shared" si="70"/>
        <v>0</v>
      </c>
      <c r="R159" s="210">
        <f t="shared" si="70"/>
        <v>0</v>
      </c>
      <c r="S159" s="210">
        <f t="shared" si="70"/>
        <v>9200</v>
      </c>
      <c r="T159" s="210">
        <f t="shared" si="70"/>
        <v>0</v>
      </c>
      <c r="U159" s="210">
        <f t="shared" si="70"/>
        <v>0</v>
      </c>
      <c r="V159" s="210">
        <f t="shared" si="70"/>
        <v>9200</v>
      </c>
      <c r="W159" s="210">
        <f t="shared" si="70"/>
        <v>0</v>
      </c>
      <c r="X159" s="210">
        <f t="shared" si="70"/>
        <v>0</v>
      </c>
    </row>
    <row r="160" spans="1:24" x14ac:dyDescent="0.2">
      <c r="A160" s="572"/>
      <c r="B160" s="22"/>
      <c r="C160" s="23" t="s">
        <v>382</v>
      </c>
      <c r="D160" s="24" t="s">
        <v>383</v>
      </c>
      <c r="E160" s="25" t="s">
        <v>128</v>
      </c>
      <c r="F160" s="211">
        <v>739</v>
      </c>
      <c r="G160" s="212">
        <f t="shared" si="62"/>
        <v>4.9266666666666667E-2</v>
      </c>
      <c r="H160" s="213">
        <v>5000</v>
      </c>
      <c r="I160" s="214">
        <v>6500</v>
      </c>
      <c r="J160" s="231">
        <v>-3500</v>
      </c>
      <c r="K160" s="619">
        <f>I160+J160</f>
        <v>3000</v>
      </c>
      <c r="L160" s="232">
        <f t="shared" si="63"/>
        <v>0.2</v>
      </c>
      <c r="M160" s="626"/>
      <c r="N160" s="217">
        <f>V160+W160+X160</f>
        <v>3000</v>
      </c>
      <c r="O160" s="26"/>
      <c r="P160" s="26"/>
      <c r="Q160" s="26"/>
      <c r="R160" s="26"/>
      <c r="S160" s="211">
        <v>3000</v>
      </c>
      <c r="T160" s="26"/>
      <c r="U160" s="26"/>
      <c r="V160" s="26">
        <f t="shared" si="68"/>
        <v>3000</v>
      </c>
      <c r="W160" s="26"/>
      <c r="X160" s="26"/>
    </row>
    <row r="161" spans="1:24" x14ac:dyDescent="0.2">
      <c r="A161" s="572"/>
      <c r="B161" s="22"/>
      <c r="C161" s="23" t="s">
        <v>401</v>
      </c>
      <c r="D161" s="24" t="s">
        <v>402</v>
      </c>
      <c r="E161" s="25" t="s">
        <v>91</v>
      </c>
      <c r="F161" s="211">
        <v>699.52</v>
      </c>
      <c r="G161" s="212">
        <f t="shared" si="62"/>
        <v>0.46634666666666663</v>
      </c>
      <c r="H161" s="213">
        <v>1132.69</v>
      </c>
      <c r="I161" s="214">
        <v>1200</v>
      </c>
      <c r="J161" s="213"/>
      <c r="K161" s="215">
        <f t="shared" ref="K161:K163" si="71">I161+J161</f>
        <v>1200</v>
      </c>
      <c r="L161" s="216">
        <f t="shared" si="63"/>
        <v>0.8</v>
      </c>
      <c r="M161" s="626"/>
      <c r="N161" s="217">
        <f t="shared" ref="N161:N163" si="72">V161+W161+X161</f>
        <v>1200</v>
      </c>
      <c r="O161" s="26"/>
      <c r="P161" s="26"/>
      <c r="Q161" s="26"/>
      <c r="R161" s="26"/>
      <c r="S161" s="211">
        <v>1200</v>
      </c>
      <c r="T161" s="26"/>
      <c r="U161" s="26"/>
      <c r="V161" s="26">
        <f t="shared" si="68"/>
        <v>1200</v>
      </c>
      <c r="W161" s="26"/>
      <c r="X161" s="26"/>
    </row>
    <row r="162" spans="1:24" x14ac:dyDescent="0.2">
      <c r="A162" s="572"/>
      <c r="B162" s="22"/>
      <c r="C162" s="23" t="s">
        <v>386</v>
      </c>
      <c r="D162" s="24" t="s">
        <v>387</v>
      </c>
      <c r="E162" s="44" t="s">
        <v>145</v>
      </c>
      <c r="F162" s="223">
        <v>615</v>
      </c>
      <c r="G162" s="212">
        <f t="shared" si="62"/>
        <v>5.5909090909090908E-2</v>
      </c>
      <c r="H162" s="213">
        <v>9800</v>
      </c>
      <c r="I162" s="214">
        <v>1500</v>
      </c>
      <c r="J162" s="213"/>
      <c r="K162" s="215">
        <f t="shared" si="71"/>
        <v>1500</v>
      </c>
      <c r="L162" s="216">
        <f t="shared" si="63"/>
        <v>0.13636363636363635</v>
      </c>
      <c r="M162" s="626"/>
      <c r="N162" s="217">
        <f t="shared" si="72"/>
        <v>1500</v>
      </c>
      <c r="O162" s="26"/>
      <c r="P162" s="26"/>
      <c r="Q162" s="26"/>
      <c r="R162" s="26"/>
      <c r="S162" s="211">
        <v>1500</v>
      </c>
      <c r="T162" s="26"/>
      <c r="U162" s="26"/>
      <c r="V162" s="26">
        <f t="shared" si="68"/>
        <v>1500</v>
      </c>
      <c r="W162" s="26"/>
      <c r="X162" s="26"/>
    </row>
    <row r="163" spans="1:24" ht="22.5" x14ac:dyDescent="0.2">
      <c r="A163" s="572"/>
      <c r="B163" s="22"/>
      <c r="C163" s="23" t="s">
        <v>506</v>
      </c>
      <c r="D163" s="49" t="s">
        <v>507</v>
      </c>
      <c r="E163" s="50">
        <v>0</v>
      </c>
      <c r="F163" s="211">
        <v>0</v>
      </c>
      <c r="G163" s="212">
        <v>0</v>
      </c>
      <c r="H163" s="233">
        <v>0</v>
      </c>
      <c r="I163" s="234">
        <v>0</v>
      </c>
      <c r="J163" s="231">
        <v>3500</v>
      </c>
      <c r="K163" s="620">
        <f t="shared" si="71"/>
        <v>3500</v>
      </c>
      <c r="L163" s="216">
        <v>0</v>
      </c>
      <c r="M163" s="235"/>
      <c r="N163" s="217">
        <f t="shared" si="72"/>
        <v>3500</v>
      </c>
      <c r="O163" s="26"/>
      <c r="P163" s="26"/>
      <c r="Q163" s="26"/>
      <c r="R163" s="26"/>
      <c r="S163" s="211">
        <v>3500</v>
      </c>
      <c r="T163" s="26"/>
      <c r="U163" s="26"/>
      <c r="V163" s="26">
        <f t="shared" si="68"/>
        <v>3500</v>
      </c>
      <c r="W163" s="26"/>
      <c r="X163" s="26"/>
    </row>
    <row r="164" spans="1:24" ht="15" x14ac:dyDescent="0.2">
      <c r="A164" s="571"/>
      <c r="B164" s="15" t="s">
        <v>567</v>
      </c>
      <c r="C164" s="16"/>
      <c r="D164" s="17" t="s">
        <v>568</v>
      </c>
      <c r="E164" s="54" t="str">
        <f>E165</f>
        <v>40 000,00</v>
      </c>
      <c r="F164" s="54">
        <f t="shared" ref="F164:X164" si="73">F165</f>
        <v>40000</v>
      </c>
      <c r="G164" s="218">
        <f t="shared" si="62"/>
        <v>1</v>
      </c>
      <c r="H164" s="18">
        <f t="shared" si="73"/>
        <v>40000</v>
      </c>
      <c r="I164" s="20">
        <f t="shared" si="73"/>
        <v>0</v>
      </c>
      <c r="J164" s="114">
        <f t="shared" si="73"/>
        <v>47000</v>
      </c>
      <c r="K164" s="209">
        <f t="shared" si="73"/>
        <v>47000</v>
      </c>
      <c r="L164" s="219">
        <f t="shared" si="63"/>
        <v>1.175</v>
      </c>
      <c r="M164" s="21"/>
      <c r="N164" s="210">
        <f t="shared" si="73"/>
        <v>47000</v>
      </c>
      <c r="O164" s="95">
        <f t="shared" si="73"/>
        <v>0</v>
      </c>
      <c r="P164" s="95">
        <f t="shared" si="73"/>
        <v>0</v>
      </c>
      <c r="Q164" s="95">
        <f t="shared" si="73"/>
        <v>0</v>
      </c>
      <c r="R164" s="95">
        <f t="shared" si="73"/>
        <v>47000</v>
      </c>
      <c r="S164" s="95">
        <f t="shared" si="73"/>
        <v>0</v>
      </c>
      <c r="T164" s="95">
        <f t="shared" si="73"/>
        <v>0</v>
      </c>
      <c r="U164" s="95">
        <f t="shared" si="73"/>
        <v>0</v>
      </c>
      <c r="V164" s="26">
        <f t="shared" si="68"/>
        <v>47000</v>
      </c>
      <c r="W164" s="95">
        <f t="shared" si="73"/>
        <v>0</v>
      </c>
      <c r="X164" s="95">
        <f t="shared" si="73"/>
        <v>0</v>
      </c>
    </row>
    <row r="165" spans="1:24" ht="67.5" x14ac:dyDescent="0.2">
      <c r="A165" s="572"/>
      <c r="B165" s="22"/>
      <c r="C165" s="23" t="s">
        <v>85</v>
      </c>
      <c r="D165" s="24" t="s">
        <v>522</v>
      </c>
      <c r="E165" s="25" t="s">
        <v>564</v>
      </c>
      <c r="F165" s="211">
        <v>40000</v>
      </c>
      <c r="G165" s="212">
        <f t="shared" si="62"/>
        <v>1</v>
      </c>
      <c r="H165" s="213">
        <v>40000</v>
      </c>
      <c r="I165" s="214"/>
      <c r="J165" s="213">
        <v>47000</v>
      </c>
      <c r="K165" s="215">
        <f>I165+J165</f>
        <v>47000</v>
      </c>
      <c r="L165" s="216">
        <f t="shared" si="63"/>
        <v>1.175</v>
      </c>
      <c r="M165" s="626"/>
      <c r="N165" s="217">
        <f>V165+W165+X165</f>
        <v>47000</v>
      </c>
      <c r="O165" s="26"/>
      <c r="P165" s="26"/>
      <c r="Q165" s="26"/>
      <c r="R165" s="26">
        <v>47000</v>
      </c>
      <c r="S165" s="26"/>
      <c r="T165" s="26"/>
      <c r="U165" s="26"/>
      <c r="V165" s="26">
        <f t="shared" si="68"/>
        <v>47000</v>
      </c>
      <c r="W165" s="26"/>
      <c r="X165" s="26"/>
    </row>
    <row r="166" spans="1:24" ht="15" x14ac:dyDescent="0.2">
      <c r="A166" s="571"/>
      <c r="B166" s="15" t="s">
        <v>569</v>
      </c>
      <c r="C166" s="16"/>
      <c r="D166" s="17" t="s">
        <v>570</v>
      </c>
      <c r="E166" s="18">
        <f>E167+E168+E169+E170</f>
        <v>26830</v>
      </c>
      <c r="F166" s="18">
        <f t="shared" ref="F166:X166" si="74">F167+F168+F169+F170</f>
        <v>9772.7800000000007</v>
      </c>
      <c r="G166" s="218">
        <f t="shared" si="62"/>
        <v>0.36424822959373837</v>
      </c>
      <c r="H166" s="18">
        <f t="shared" si="74"/>
        <v>22884.620000000003</v>
      </c>
      <c r="I166" s="20">
        <f t="shared" si="74"/>
        <v>47830</v>
      </c>
      <c r="J166" s="114">
        <f t="shared" si="74"/>
        <v>-10000</v>
      </c>
      <c r="K166" s="209">
        <f t="shared" si="74"/>
        <v>37830</v>
      </c>
      <c r="L166" s="219">
        <f t="shared" si="63"/>
        <v>1.4099888184867686</v>
      </c>
      <c r="M166" s="21"/>
      <c r="N166" s="210">
        <f t="shared" si="74"/>
        <v>37830</v>
      </c>
      <c r="O166" s="95">
        <f t="shared" si="74"/>
        <v>0</v>
      </c>
      <c r="P166" s="95">
        <f t="shared" si="74"/>
        <v>0</v>
      </c>
      <c r="Q166" s="95">
        <f t="shared" si="74"/>
        <v>0</v>
      </c>
      <c r="R166" s="95">
        <f t="shared" si="74"/>
        <v>0</v>
      </c>
      <c r="S166" s="95">
        <f t="shared" si="74"/>
        <v>0</v>
      </c>
      <c r="T166" s="95">
        <f t="shared" si="74"/>
        <v>0</v>
      </c>
      <c r="U166" s="95">
        <f t="shared" si="74"/>
        <v>37830</v>
      </c>
      <c r="V166" s="26">
        <f t="shared" si="68"/>
        <v>37830</v>
      </c>
      <c r="W166" s="95">
        <f t="shared" si="74"/>
        <v>0</v>
      </c>
      <c r="X166" s="95">
        <f t="shared" si="74"/>
        <v>0</v>
      </c>
    </row>
    <row r="167" spans="1:24" ht="22.5" x14ac:dyDescent="0.2">
      <c r="A167" s="572"/>
      <c r="B167" s="22"/>
      <c r="C167" s="23" t="s">
        <v>488</v>
      </c>
      <c r="D167" s="24" t="s">
        <v>489</v>
      </c>
      <c r="E167" s="25" t="s">
        <v>571</v>
      </c>
      <c r="F167" s="211">
        <v>0</v>
      </c>
      <c r="G167" s="212">
        <f t="shared" si="62"/>
        <v>0</v>
      </c>
      <c r="H167" s="213">
        <v>2830</v>
      </c>
      <c r="I167" s="214">
        <v>12830</v>
      </c>
      <c r="J167" s="213"/>
      <c r="K167" s="215">
        <f>I167+J167</f>
        <v>12830</v>
      </c>
      <c r="L167" s="216">
        <f t="shared" si="63"/>
        <v>4.5335689045936398</v>
      </c>
      <c r="M167" s="626"/>
      <c r="N167" s="217">
        <f>V167+W167+X167</f>
        <v>12830</v>
      </c>
      <c r="O167" s="26"/>
      <c r="P167" s="26"/>
      <c r="Q167" s="26"/>
      <c r="R167" s="26"/>
      <c r="S167" s="26"/>
      <c r="T167" s="26"/>
      <c r="U167" s="211">
        <v>12830</v>
      </c>
      <c r="V167" s="26">
        <f t="shared" si="68"/>
        <v>12830</v>
      </c>
      <c r="W167" s="26"/>
      <c r="X167" s="26"/>
    </row>
    <row r="168" spans="1:24" x14ac:dyDescent="0.2">
      <c r="A168" s="572"/>
      <c r="B168" s="22"/>
      <c r="C168" s="23" t="s">
        <v>382</v>
      </c>
      <c r="D168" s="24" t="s">
        <v>383</v>
      </c>
      <c r="E168" s="25" t="s">
        <v>572</v>
      </c>
      <c r="F168" s="211">
        <v>6257.81</v>
      </c>
      <c r="G168" s="212">
        <f t="shared" si="62"/>
        <v>0.33826000000000001</v>
      </c>
      <c r="H168" s="213">
        <v>15515.62</v>
      </c>
      <c r="I168" s="214">
        <v>25000</v>
      </c>
      <c r="J168" s="213">
        <v>-10000</v>
      </c>
      <c r="K168" s="215">
        <f t="shared" ref="K168:K170" si="75">I168+J168</f>
        <v>15000</v>
      </c>
      <c r="L168" s="216">
        <f t="shared" si="63"/>
        <v>0.81081081081081086</v>
      </c>
      <c r="M168" s="626"/>
      <c r="N168" s="217">
        <f t="shared" ref="N168:N170" si="76">V168+W168+X168</f>
        <v>15000</v>
      </c>
      <c r="O168" s="26"/>
      <c r="P168" s="26"/>
      <c r="Q168" s="26"/>
      <c r="R168" s="26"/>
      <c r="S168" s="26"/>
      <c r="T168" s="26"/>
      <c r="U168" s="211">
        <v>15000</v>
      </c>
      <c r="V168" s="26">
        <f t="shared" si="68"/>
        <v>15000</v>
      </c>
      <c r="W168" s="26"/>
      <c r="X168" s="26"/>
    </row>
    <row r="169" spans="1:24" x14ac:dyDescent="0.2">
      <c r="A169" s="572"/>
      <c r="B169" s="22"/>
      <c r="C169" s="23" t="s">
        <v>386</v>
      </c>
      <c r="D169" s="24" t="s">
        <v>387</v>
      </c>
      <c r="E169" s="25" t="s">
        <v>573</v>
      </c>
      <c r="F169" s="211">
        <v>2475.9699999999998</v>
      </c>
      <c r="G169" s="212">
        <f t="shared" si="62"/>
        <v>0.70741999999999994</v>
      </c>
      <c r="H169" s="213">
        <v>3500</v>
      </c>
      <c r="I169" s="214">
        <v>4000</v>
      </c>
      <c r="J169" s="213"/>
      <c r="K169" s="215">
        <f t="shared" si="75"/>
        <v>4000</v>
      </c>
      <c r="L169" s="216">
        <f t="shared" si="63"/>
        <v>1.1428571428571428</v>
      </c>
      <c r="M169" s="626"/>
      <c r="N169" s="217">
        <f t="shared" si="76"/>
        <v>4000</v>
      </c>
      <c r="O169" s="26"/>
      <c r="P169" s="26"/>
      <c r="Q169" s="26"/>
      <c r="R169" s="26"/>
      <c r="S169" s="26"/>
      <c r="T169" s="26"/>
      <c r="U169" s="211">
        <v>4000</v>
      </c>
      <c r="V169" s="26">
        <f t="shared" si="68"/>
        <v>4000</v>
      </c>
      <c r="W169" s="26"/>
      <c r="X169" s="26"/>
    </row>
    <row r="170" spans="1:24" x14ac:dyDescent="0.2">
      <c r="A170" s="572"/>
      <c r="B170" s="22"/>
      <c r="C170" s="23" t="s">
        <v>390</v>
      </c>
      <c r="D170" s="24" t="s">
        <v>391</v>
      </c>
      <c r="E170" s="25" t="s">
        <v>535</v>
      </c>
      <c r="F170" s="211">
        <v>1039</v>
      </c>
      <c r="G170" s="212">
        <f t="shared" si="62"/>
        <v>0.51949999999999996</v>
      </c>
      <c r="H170" s="213">
        <v>1039</v>
      </c>
      <c r="I170" s="214">
        <v>6000</v>
      </c>
      <c r="J170" s="213"/>
      <c r="K170" s="215">
        <f t="shared" si="75"/>
        <v>6000</v>
      </c>
      <c r="L170" s="216">
        <f t="shared" si="63"/>
        <v>3</v>
      </c>
      <c r="M170" s="626"/>
      <c r="N170" s="217">
        <f t="shared" si="76"/>
        <v>6000</v>
      </c>
      <c r="O170" s="26"/>
      <c r="P170" s="26"/>
      <c r="Q170" s="26"/>
      <c r="R170" s="26"/>
      <c r="S170" s="26"/>
      <c r="T170" s="26"/>
      <c r="U170" s="211">
        <v>6000</v>
      </c>
      <c r="V170" s="26">
        <f t="shared" si="68"/>
        <v>6000</v>
      </c>
      <c r="W170" s="26"/>
      <c r="X170" s="26"/>
    </row>
    <row r="171" spans="1:24" x14ac:dyDescent="0.2">
      <c r="A171" s="574" t="s">
        <v>574</v>
      </c>
      <c r="B171" s="39"/>
      <c r="C171" s="39"/>
      <c r="D171" s="40" t="s">
        <v>575</v>
      </c>
      <c r="E171" s="41" t="str">
        <f>E172</f>
        <v>362 475,00</v>
      </c>
      <c r="F171" s="41">
        <f t="shared" ref="F171:X172" si="77">F172</f>
        <v>237813.21</v>
      </c>
      <c r="G171" s="220">
        <f t="shared" si="62"/>
        <v>0.65608168839230285</v>
      </c>
      <c r="H171" s="41">
        <f t="shared" si="77"/>
        <v>337813.21</v>
      </c>
      <c r="I171" s="43">
        <f t="shared" si="77"/>
        <v>362475</v>
      </c>
      <c r="J171" s="111">
        <f t="shared" si="77"/>
        <v>-36475</v>
      </c>
      <c r="K171" s="206">
        <f t="shared" si="77"/>
        <v>326000</v>
      </c>
      <c r="L171" s="221">
        <f t="shared" si="63"/>
        <v>0.89937237050831087</v>
      </c>
      <c r="M171" s="207"/>
      <c r="N171" s="208">
        <f t="shared" si="77"/>
        <v>326000</v>
      </c>
      <c r="O171" s="109">
        <f t="shared" si="77"/>
        <v>326000</v>
      </c>
      <c r="P171" s="109">
        <f t="shared" si="77"/>
        <v>0</v>
      </c>
      <c r="Q171" s="109">
        <f t="shared" si="77"/>
        <v>0</v>
      </c>
      <c r="R171" s="109">
        <f t="shared" si="77"/>
        <v>0</v>
      </c>
      <c r="S171" s="109">
        <f t="shared" si="77"/>
        <v>0</v>
      </c>
      <c r="T171" s="109">
        <f t="shared" si="77"/>
        <v>0</v>
      </c>
      <c r="U171" s="109">
        <f t="shared" si="77"/>
        <v>0</v>
      </c>
      <c r="V171" s="230">
        <f t="shared" si="68"/>
        <v>326000</v>
      </c>
      <c r="W171" s="109">
        <f t="shared" si="77"/>
        <v>0</v>
      </c>
      <c r="X171" s="109">
        <f t="shared" si="77"/>
        <v>0</v>
      </c>
    </row>
    <row r="172" spans="1:24" ht="33.75" x14ac:dyDescent="0.2">
      <c r="A172" s="571"/>
      <c r="B172" s="15" t="s">
        <v>576</v>
      </c>
      <c r="C172" s="16"/>
      <c r="D172" s="17" t="s">
        <v>577</v>
      </c>
      <c r="E172" s="18" t="str">
        <f>E173</f>
        <v>362 475,00</v>
      </c>
      <c r="F172" s="18">
        <f t="shared" si="77"/>
        <v>237813.21</v>
      </c>
      <c r="G172" s="218">
        <f t="shared" si="62"/>
        <v>0.65608168839230285</v>
      </c>
      <c r="H172" s="18">
        <f t="shared" si="77"/>
        <v>337813.21</v>
      </c>
      <c r="I172" s="20">
        <f t="shared" si="77"/>
        <v>362475</v>
      </c>
      <c r="J172" s="114">
        <f t="shared" si="77"/>
        <v>-36475</v>
      </c>
      <c r="K172" s="209">
        <f t="shared" si="77"/>
        <v>326000</v>
      </c>
      <c r="L172" s="219">
        <f t="shared" si="63"/>
        <v>0.89937237050831087</v>
      </c>
      <c r="M172" s="21"/>
      <c r="N172" s="210">
        <f t="shared" si="77"/>
        <v>326000</v>
      </c>
      <c r="O172" s="95">
        <f t="shared" si="77"/>
        <v>326000</v>
      </c>
      <c r="P172" s="95">
        <f t="shared" si="77"/>
        <v>0</v>
      </c>
      <c r="Q172" s="95">
        <f t="shared" si="77"/>
        <v>0</v>
      </c>
      <c r="R172" s="95">
        <f t="shared" si="77"/>
        <v>0</v>
      </c>
      <c r="S172" s="95">
        <f t="shared" si="77"/>
        <v>0</v>
      </c>
      <c r="T172" s="95">
        <f t="shared" si="77"/>
        <v>0</v>
      </c>
      <c r="U172" s="95">
        <f t="shared" si="77"/>
        <v>0</v>
      </c>
      <c r="V172" s="26">
        <f t="shared" si="68"/>
        <v>326000</v>
      </c>
      <c r="W172" s="95">
        <f t="shared" si="77"/>
        <v>0</v>
      </c>
      <c r="X172" s="95">
        <f t="shared" si="77"/>
        <v>0</v>
      </c>
    </row>
    <row r="173" spans="1:24" ht="45" x14ac:dyDescent="0.2">
      <c r="A173" s="572"/>
      <c r="B173" s="22"/>
      <c r="C173" s="23" t="s">
        <v>578</v>
      </c>
      <c r="D173" s="24" t="s">
        <v>579</v>
      </c>
      <c r="E173" s="25" t="s">
        <v>580</v>
      </c>
      <c r="F173" s="211">
        <v>237813.21</v>
      </c>
      <c r="G173" s="212">
        <f t="shared" si="62"/>
        <v>0.65608168839230285</v>
      </c>
      <c r="H173" s="213">
        <v>337813.21</v>
      </c>
      <c r="I173" s="214">
        <v>362475</v>
      </c>
      <c r="J173" s="213">
        <v>-36475</v>
      </c>
      <c r="K173" s="215">
        <f>I173+J173</f>
        <v>326000</v>
      </c>
      <c r="L173" s="216">
        <f t="shared" si="63"/>
        <v>0.89937237050831087</v>
      </c>
      <c r="M173" s="626"/>
      <c r="N173" s="217">
        <f>V173+W173+X173</f>
        <v>326000</v>
      </c>
      <c r="O173" s="26">
        <f>362475-36475</f>
        <v>326000</v>
      </c>
      <c r="P173" s="26"/>
      <c r="Q173" s="26"/>
      <c r="R173" s="26"/>
      <c r="S173" s="26"/>
      <c r="T173" s="26"/>
      <c r="U173" s="26"/>
      <c r="V173" s="26">
        <f t="shared" si="68"/>
        <v>326000</v>
      </c>
      <c r="W173" s="26"/>
      <c r="X173" s="26"/>
    </row>
    <row r="174" spans="1:24" x14ac:dyDescent="0.2">
      <c r="A174" s="574" t="s">
        <v>159</v>
      </c>
      <c r="B174" s="39"/>
      <c r="C174" s="39"/>
      <c r="D174" s="40" t="s">
        <v>160</v>
      </c>
      <c r="E174" s="41" t="str">
        <f>E175</f>
        <v>135 000,00</v>
      </c>
      <c r="F174" s="41">
        <f t="shared" ref="F174:X175" si="78">F175</f>
        <v>0</v>
      </c>
      <c r="G174" s="220">
        <f t="shared" si="62"/>
        <v>0</v>
      </c>
      <c r="H174" s="41">
        <f t="shared" si="78"/>
        <v>0</v>
      </c>
      <c r="I174" s="43">
        <f t="shared" si="78"/>
        <v>250000</v>
      </c>
      <c r="J174" s="111">
        <f t="shared" si="78"/>
        <v>50000</v>
      </c>
      <c r="K174" s="206">
        <f t="shared" si="78"/>
        <v>300000</v>
      </c>
      <c r="L174" s="221">
        <f t="shared" si="63"/>
        <v>2.2222222222222223</v>
      </c>
      <c r="M174" s="207"/>
      <c r="N174" s="208">
        <f t="shared" si="78"/>
        <v>300000</v>
      </c>
      <c r="O174" s="109">
        <f t="shared" si="78"/>
        <v>300000</v>
      </c>
      <c r="P174" s="109">
        <f t="shared" si="78"/>
        <v>0</v>
      </c>
      <c r="Q174" s="109">
        <f t="shared" si="78"/>
        <v>0</v>
      </c>
      <c r="R174" s="109">
        <f t="shared" si="78"/>
        <v>0</v>
      </c>
      <c r="S174" s="109">
        <f t="shared" si="78"/>
        <v>0</v>
      </c>
      <c r="T174" s="109">
        <f t="shared" si="78"/>
        <v>0</v>
      </c>
      <c r="U174" s="109">
        <f t="shared" si="78"/>
        <v>0</v>
      </c>
      <c r="V174" s="230">
        <f t="shared" si="68"/>
        <v>300000</v>
      </c>
      <c r="W174" s="109">
        <f t="shared" si="78"/>
        <v>0</v>
      </c>
      <c r="X174" s="109">
        <f t="shared" si="78"/>
        <v>0</v>
      </c>
    </row>
    <row r="175" spans="1:24" ht="15" x14ac:dyDescent="0.2">
      <c r="A175" s="571"/>
      <c r="B175" s="15" t="s">
        <v>581</v>
      </c>
      <c r="C175" s="16"/>
      <c r="D175" s="17" t="s">
        <v>582</v>
      </c>
      <c r="E175" s="18" t="str">
        <f>E176</f>
        <v>135 000,00</v>
      </c>
      <c r="F175" s="18">
        <f t="shared" si="78"/>
        <v>0</v>
      </c>
      <c r="G175" s="218">
        <f t="shared" si="62"/>
        <v>0</v>
      </c>
      <c r="H175" s="18">
        <f t="shared" si="78"/>
        <v>0</v>
      </c>
      <c r="I175" s="20">
        <f t="shared" si="78"/>
        <v>250000</v>
      </c>
      <c r="J175" s="114">
        <f t="shared" si="78"/>
        <v>50000</v>
      </c>
      <c r="K175" s="209">
        <f t="shared" si="78"/>
        <v>300000</v>
      </c>
      <c r="L175" s="219">
        <f t="shared" si="63"/>
        <v>2.2222222222222223</v>
      </c>
      <c r="M175" s="21"/>
      <c r="N175" s="210">
        <f t="shared" si="78"/>
        <v>300000</v>
      </c>
      <c r="O175" s="95">
        <f t="shared" si="78"/>
        <v>300000</v>
      </c>
      <c r="P175" s="95">
        <f t="shared" si="78"/>
        <v>0</v>
      </c>
      <c r="Q175" s="95">
        <f t="shared" si="78"/>
        <v>0</v>
      </c>
      <c r="R175" s="95">
        <f t="shared" si="78"/>
        <v>0</v>
      </c>
      <c r="S175" s="95">
        <f t="shared" si="78"/>
        <v>0</v>
      </c>
      <c r="T175" s="95">
        <f t="shared" si="78"/>
        <v>0</v>
      </c>
      <c r="U175" s="95">
        <f t="shared" si="78"/>
        <v>0</v>
      </c>
      <c r="V175" s="26">
        <f t="shared" si="68"/>
        <v>300000</v>
      </c>
      <c r="W175" s="95">
        <f t="shared" si="78"/>
        <v>0</v>
      </c>
      <c r="X175" s="95">
        <f t="shared" si="78"/>
        <v>0</v>
      </c>
    </row>
    <row r="176" spans="1:24" x14ac:dyDescent="0.2">
      <c r="A176" s="572"/>
      <c r="B176" s="22"/>
      <c r="C176" s="23" t="s">
        <v>583</v>
      </c>
      <c r="D176" s="24" t="s">
        <v>584</v>
      </c>
      <c r="E176" s="25" t="s">
        <v>585</v>
      </c>
      <c r="F176" s="211">
        <v>0</v>
      </c>
      <c r="G176" s="212">
        <f t="shared" si="62"/>
        <v>0</v>
      </c>
      <c r="H176" s="213">
        <v>0</v>
      </c>
      <c r="I176" s="214">
        <v>250000</v>
      </c>
      <c r="J176" s="213">
        <v>50000</v>
      </c>
      <c r="K176" s="215">
        <f>I176+J176</f>
        <v>300000</v>
      </c>
      <c r="L176" s="216">
        <f t="shared" si="63"/>
        <v>2.2222222222222223</v>
      </c>
      <c r="M176" s="626"/>
      <c r="N176" s="217">
        <f>V176+W176+X176</f>
        <v>300000</v>
      </c>
      <c r="O176" s="26">
        <f>250000+50000</f>
        <v>300000</v>
      </c>
      <c r="P176" s="26"/>
      <c r="Q176" s="26"/>
      <c r="R176" s="26"/>
      <c r="S176" s="26"/>
      <c r="T176" s="26"/>
      <c r="U176" s="26"/>
      <c r="V176" s="26">
        <f t="shared" si="68"/>
        <v>300000</v>
      </c>
      <c r="W176" s="26"/>
      <c r="X176" s="26"/>
    </row>
    <row r="177" spans="1:24" x14ac:dyDescent="0.2">
      <c r="A177" s="574" t="s">
        <v>189</v>
      </c>
      <c r="B177" s="39"/>
      <c r="C177" s="39"/>
      <c r="D177" s="40" t="s">
        <v>190</v>
      </c>
      <c r="E177" s="41">
        <f>E178+E200+E215+E238+E259+E263+E280+E283+E295+E309+E324</f>
        <v>23735948.779999997</v>
      </c>
      <c r="F177" s="41">
        <f t="shared" ref="F177:X177" si="79">F178+F200+F215+F238+F259+F263+F280+F283+F295+F309+F324</f>
        <v>17248894.269999996</v>
      </c>
      <c r="G177" s="220">
        <f t="shared" si="62"/>
        <v>0.72669916968029447</v>
      </c>
      <c r="H177" s="41">
        <f t="shared" si="79"/>
        <v>23461073.460000001</v>
      </c>
      <c r="I177" s="43">
        <f>I178+I200+I215+I238+I259+I263+I280+I283+I295+I309+I324</f>
        <v>24105800.52</v>
      </c>
      <c r="J177" s="111">
        <f t="shared" si="79"/>
        <v>-651100</v>
      </c>
      <c r="K177" s="206">
        <f t="shared" si="79"/>
        <v>23454700.52</v>
      </c>
      <c r="L177" s="221">
        <f t="shared" si="63"/>
        <v>0.98815095774739037</v>
      </c>
      <c r="M177" s="207"/>
      <c r="N177" s="208">
        <f t="shared" si="79"/>
        <v>23454700.52</v>
      </c>
      <c r="O177" s="109">
        <f t="shared" si="79"/>
        <v>3351847.52</v>
      </c>
      <c r="P177" s="109">
        <f t="shared" si="79"/>
        <v>5500</v>
      </c>
      <c r="Q177" s="109">
        <f t="shared" si="79"/>
        <v>0</v>
      </c>
      <c r="R177" s="109">
        <f t="shared" si="79"/>
        <v>16500</v>
      </c>
      <c r="S177" s="109">
        <f t="shared" si="79"/>
        <v>0</v>
      </c>
      <c r="T177" s="109">
        <f t="shared" si="79"/>
        <v>0</v>
      </c>
      <c r="U177" s="109">
        <f t="shared" si="79"/>
        <v>0</v>
      </c>
      <c r="V177" s="236">
        <f t="shared" si="68"/>
        <v>3373847.52</v>
      </c>
      <c r="W177" s="109">
        <f t="shared" si="79"/>
        <v>20080853</v>
      </c>
      <c r="X177" s="109">
        <f t="shared" si="79"/>
        <v>0</v>
      </c>
    </row>
    <row r="178" spans="1:24" ht="15" x14ac:dyDescent="0.2">
      <c r="A178" s="571"/>
      <c r="B178" s="15" t="s">
        <v>191</v>
      </c>
      <c r="C178" s="16"/>
      <c r="D178" s="17" t="s">
        <v>192</v>
      </c>
      <c r="E178" s="18">
        <f>E179+E180+E181+E182+E183+E184+E185+E186+E187+E188+E189+E190+E191+E192+E193+E194+E195+E196+E197+E198+E199</f>
        <v>10669878</v>
      </c>
      <c r="F178" s="18">
        <f>F179+F180+F181+F182+F183+F184+F185+F186+F187+F188+F189+F190+F191+F192+F193+F194+F195+F196+F197+F198+F199</f>
        <v>7890571.6599999974</v>
      </c>
      <c r="G178" s="218">
        <f t="shared" si="62"/>
        <v>0.73951845185108933</v>
      </c>
      <c r="H178" s="18">
        <f>H179+H180+H181+H182+H183+H184+H185+H186+H187+H188+H189+H190+H191+H192+H193+H194+H195+H196+H197+H198+H199</f>
        <v>10604244.110000001</v>
      </c>
      <c r="I178" s="20">
        <f t="shared" ref="I178:X178" si="80">I179+I180+I181+I182+I183+I184+I185+I186+I187+I188+I189+I190+I191+I192+I193+I194+I195+I196+I197+I198+I199</f>
        <v>10592998</v>
      </c>
      <c r="J178" s="114">
        <f t="shared" si="80"/>
        <v>-85400</v>
      </c>
      <c r="K178" s="209">
        <f t="shared" si="80"/>
        <v>10507598</v>
      </c>
      <c r="L178" s="219">
        <f t="shared" si="63"/>
        <v>0.98479082891107095</v>
      </c>
      <c r="M178" s="21"/>
      <c r="N178" s="210">
        <f t="shared" si="80"/>
        <v>10507598</v>
      </c>
      <c r="O178" s="95">
        <f t="shared" si="80"/>
        <v>2800</v>
      </c>
      <c r="P178" s="95">
        <f t="shared" si="80"/>
        <v>0</v>
      </c>
      <c r="Q178" s="95">
        <f t="shared" si="80"/>
        <v>0</v>
      </c>
      <c r="R178" s="95">
        <f t="shared" si="80"/>
        <v>0</v>
      </c>
      <c r="S178" s="95">
        <f t="shared" si="80"/>
        <v>0</v>
      </c>
      <c r="T178" s="95">
        <f t="shared" si="80"/>
        <v>0</v>
      </c>
      <c r="U178" s="95">
        <f t="shared" si="80"/>
        <v>0</v>
      </c>
      <c r="V178" s="26">
        <f t="shared" si="68"/>
        <v>2800</v>
      </c>
      <c r="W178" s="95">
        <f t="shared" si="80"/>
        <v>10504798</v>
      </c>
      <c r="X178" s="95">
        <f t="shared" si="80"/>
        <v>0</v>
      </c>
    </row>
    <row r="179" spans="1:24" ht="45" x14ac:dyDescent="0.2">
      <c r="A179" s="572"/>
      <c r="B179" s="22"/>
      <c r="C179" s="23" t="s">
        <v>211</v>
      </c>
      <c r="D179" s="24" t="s">
        <v>407</v>
      </c>
      <c r="E179" s="25" t="s">
        <v>586</v>
      </c>
      <c r="F179" s="211">
        <v>1900.62</v>
      </c>
      <c r="G179" s="212">
        <f t="shared" si="62"/>
        <v>0.67879285714285709</v>
      </c>
      <c r="H179" s="213">
        <v>1900.62</v>
      </c>
      <c r="I179" s="214">
        <v>2800</v>
      </c>
      <c r="J179" s="213"/>
      <c r="K179" s="215">
        <f>I179+J179</f>
        <v>2800</v>
      </c>
      <c r="L179" s="216">
        <f t="shared" si="63"/>
        <v>1</v>
      </c>
      <c r="M179" s="626"/>
      <c r="N179" s="217">
        <f>V179+W179+X179</f>
        <v>2800</v>
      </c>
      <c r="O179" s="26">
        <v>2800</v>
      </c>
      <c r="P179" s="26"/>
      <c r="Q179" s="26"/>
      <c r="R179" s="26"/>
      <c r="S179" s="26"/>
      <c r="T179" s="26"/>
      <c r="U179" s="26"/>
      <c r="V179" s="26">
        <f t="shared" si="68"/>
        <v>2800</v>
      </c>
      <c r="W179" s="26"/>
      <c r="X179" s="26"/>
    </row>
    <row r="180" spans="1:24" ht="22.5" x14ac:dyDescent="0.2">
      <c r="A180" s="572"/>
      <c r="B180" s="22"/>
      <c r="C180" s="23" t="s">
        <v>488</v>
      </c>
      <c r="D180" s="24" t="s">
        <v>489</v>
      </c>
      <c r="E180" s="25" t="s">
        <v>587</v>
      </c>
      <c r="F180" s="211">
        <v>248391.02</v>
      </c>
      <c r="G180" s="212">
        <f t="shared" si="62"/>
        <v>0.74695080291092797</v>
      </c>
      <c r="H180" s="213">
        <v>332540</v>
      </c>
      <c r="I180" s="214">
        <v>378911</v>
      </c>
      <c r="J180" s="213"/>
      <c r="K180" s="215">
        <f t="shared" ref="K180:K199" si="81">I180+J180</f>
        <v>378911</v>
      </c>
      <c r="L180" s="216">
        <f t="shared" si="63"/>
        <v>1.1394448788115716</v>
      </c>
      <c r="M180" s="626"/>
      <c r="N180" s="217">
        <f t="shared" ref="N180:N199" si="82">V180+W180+X180</f>
        <v>378911</v>
      </c>
      <c r="O180" s="26"/>
      <c r="P180" s="26"/>
      <c r="Q180" s="26"/>
      <c r="R180" s="26"/>
      <c r="S180" s="26"/>
      <c r="T180" s="26"/>
      <c r="U180" s="26"/>
      <c r="V180" s="26">
        <f t="shared" si="68"/>
        <v>0</v>
      </c>
      <c r="W180" s="211">
        <v>378911</v>
      </c>
      <c r="X180" s="26"/>
    </row>
    <row r="181" spans="1:24" x14ac:dyDescent="0.2">
      <c r="A181" s="572"/>
      <c r="B181" s="22"/>
      <c r="C181" s="23" t="s">
        <v>588</v>
      </c>
      <c r="D181" s="24" t="s">
        <v>589</v>
      </c>
      <c r="E181" s="25" t="s">
        <v>490</v>
      </c>
      <c r="F181" s="211">
        <v>5400</v>
      </c>
      <c r="G181" s="212">
        <f t="shared" si="62"/>
        <v>0.83076923076923082</v>
      </c>
      <c r="H181" s="213">
        <v>5400</v>
      </c>
      <c r="I181" s="214">
        <v>7400</v>
      </c>
      <c r="J181" s="213">
        <v>-7400</v>
      </c>
      <c r="K181" s="215">
        <f t="shared" si="81"/>
        <v>0</v>
      </c>
      <c r="L181" s="216">
        <f t="shared" si="63"/>
        <v>0</v>
      </c>
      <c r="M181" s="626"/>
      <c r="N181" s="217">
        <f t="shared" si="82"/>
        <v>0</v>
      </c>
      <c r="O181" s="26"/>
      <c r="P181" s="26"/>
      <c r="Q181" s="26"/>
      <c r="R181" s="26"/>
      <c r="S181" s="26"/>
      <c r="T181" s="26"/>
      <c r="U181" s="26"/>
      <c r="V181" s="26">
        <f t="shared" si="68"/>
        <v>0</v>
      </c>
      <c r="W181" s="211">
        <v>0</v>
      </c>
      <c r="X181" s="26"/>
    </row>
    <row r="182" spans="1:24" x14ac:dyDescent="0.2">
      <c r="A182" s="572"/>
      <c r="B182" s="22"/>
      <c r="C182" s="23" t="s">
        <v>373</v>
      </c>
      <c r="D182" s="24" t="s">
        <v>374</v>
      </c>
      <c r="E182" s="25" t="s">
        <v>590</v>
      </c>
      <c r="F182" s="211">
        <v>4980241.47</v>
      </c>
      <c r="G182" s="212">
        <f t="shared" si="62"/>
        <v>0.72979754248021345</v>
      </c>
      <c r="H182" s="213">
        <v>6824141.1900000004</v>
      </c>
      <c r="I182" s="214">
        <v>6583993</v>
      </c>
      <c r="J182" s="213"/>
      <c r="K182" s="215">
        <f t="shared" si="81"/>
        <v>6583993</v>
      </c>
      <c r="L182" s="216">
        <f t="shared" si="63"/>
        <v>0.96480902382970768</v>
      </c>
      <c r="M182" s="626"/>
      <c r="N182" s="217">
        <f t="shared" si="82"/>
        <v>6583993</v>
      </c>
      <c r="O182" s="26"/>
      <c r="P182" s="26"/>
      <c r="Q182" s="26"/>
      <c r="R182" s="26"/>
      <c r="S182" s="26"/>
      <c r="T182" s="26"/>
      <c r="U182" s="26"/>
      <c r="V182" s="26">
        <f t="shared" si="68"/>
        <v>0</v>
      </c>
      <c r="W182" s="211">
        <v>6583993</v>
      </c>
      <c r="X182" s="26"/>
    </row>
    <row r="183" spans="1:24" x14ac:dyDescent="0.2">
      <c r="A183" s="572"/>
      <c r="B183" s="22"/>
      <c r="C183" s="23" t="s">
        <v>466</v>
      </c>
      <c r="D183" s="24" t="s">
        <v>467</v>
      </c>
      <c r="E183" s="25" t="s">
        <v>591</v>
      </c>
      <c r="F183" s="211">
        <v>515319.05</v>
      </c>
      <c r="G183" s="212">
        <f t="shared" si="62"/>
        <v>1</v>
      </c>
      <c r="H183" s="213">
        <v>515319.05</v>
      </c>
      <c r="I183" s="214">
        <v>530638</v>
      </c>
      <c r="J183" s="213"/>
      <c r="K183" s="215">
        <f t="shared" si="81"/>
        <v>530638</v>
      </c>
      <c r="L183" s="216">
        <f t="shared" si="63"/>
        <v>1.0297271175983111</v>
      </c>
      <c r="M183" s="626"/>
      <c r="N183" s="217">
        <f t="shared" si="82"/>
        <v>530638</v>
      </c>
      <c r="O183" s="26"/>
      <c r="P183" s="26"/>
      <c r="Q183" s="26"/>
      <c r="R183" s="26"/>
      <c r="S183" s="26"/>
      <c r="T183" s="26"/>
      <c r="U183" s="26"/>
      <c r="V183" s="26">
        <f t="shared" si="68"/>
        <v>0</v>
      </c>
      <c r="W183" s="211">
        <v>530638</v>
      </c>
      <c r="X183" s="26"/>
    </row>
    <row r="184" spans="1:24" x14ac:dyDescent="0.2">
      <c r="A184" s="572"/>
      <c r="B184" s="22"/>
      <c r="C184" s="23" t="s">
        <v>376</v>
      </c>
      <c r="D184" s="24" t="s">
        <v>377</v>
      </c>
      <c r="E184" s="25" t="s">
        <v>592</v>
      </c>
      <c r="F184" s="211">
        <v>937144.43</v>
      </c>
      <c r="G184" s="212">
        <f t="shared" si="62"/>
        <v>0.70944086960866404</v>
      </c>
      <c r="H184" s="213">
        <v>1320962</v>
      </c>
      <c r="I184" s="214">
        <v>1262653</v>
      </c>
      <c r="J184" s="213"/>
      <c r="K184" s="215">
        <f t="shared" si="81"/>
        <v>1262653</v>
      </c>
      <c r="L184" s="216">
        <f t="shared" si="63"/>
        <v>0.95585868480698155</v>
      </c>
      <c r="M184" s="626"/>
      <c r="N184" s="217">
        <f t="shared" si="82"/>
        <v>1262653</v>
      </c>
      <c r="O184" s="26"/>
      <c r="P184" s="26"/>
      <c r="Q184" s="26"/>
      <c r="R184" s="26"/>
      <c r="S184" s="26"/>
      <c r="T184" s="26"/>
      <c r="U184" s="26"/>
      <c r="V184" s="26">
        <f t="shared" si="68"/>
        <v>0</v>
      </c>
      <c r="W184" s="211">
        <v>1262653</v>
      </c>
      <c r="X184" s="26"/>
    </row>
    <row r="185" spans="1:24" x14ac:dyDescent="0.2">
      <c r="A185" s="572"/>
      <c r="B185" s="22"/>
      <c r="C185" s="23" t="s">
        <v>379</v>
      </c>
      <c r="D185" s="24" t="s">
        <v>380</v>
      </c>
      <c r="E185" s="25" t="s">
        <v>593</v>
      </c>
      <c r="F185" s="211">
        <v>116868.78</v>
      </c>
      <c r="G185" s="212">
        <f t="shared" si="62"/>
        <v>0.65290273519213204</v>
      </c>
      <c r="H185" s="213">
        <v>178998.76</v>
      </c>
      <c r="I185" s="214">
        <v>179629</v>
      </c>
      <c r="J185" s="213"/>
      <c r="K185" s="215">
        <f t="shared" si="81"/>
        <v>179629</v>
      </c>
      <c r="L185" s="216">
        <f t="shared" si="63"/>
        <v>1.0035209182454672</v>
      </c>
      <c r="M185" s="626"/>
      <c r="N185" s="217">
        <f t="shared" si="82"/>
        <v>179629</v>
      </c>
      <c r="O185" s="26"/>
      <c r="P185" s="26"/>
      <c r="Q185" s="26"/>
      <c r="R185" s="26"/>
      <c r="S185" s="26"/>
      <c r="T185" s="26"/>
      <c r="U185" s="26"/>
      <c r="V185" s="26">
        <f t="shared" si="68"/>
        <v>0</v>
      </c>
      <c r="W185" s="211">
        <v>179629</v>
      </c>
      <c r="X185" s="26"/>
    </row>
    <row r="186" spans="1:24" x14ac:dyDescent="0.2">
      <c r="A186" s="572"/>
      <c r="B186" s="22"/>
      <c r="C186" s="23" t="s">
        <v>398</v>
      </c>
      <c r="D186" s="24" t="s">
        <v>399</v>
      </c>
      <c r="E186" s="25" t="s">
        <v>594</v>
      </c>
      <c r="F186" s="211">
        <v>17159.27</v>
      </c>
      <c r="G186" s="212">
        <f t="shared" si="62"/>
        <v>0.47294167906951107</v>
      </c>
      <c r="H186" s="213">
        <v>22879.03</v>
      </c>
      <c r="I186" s="214">
        <v>38858</v>
      </c>
      <c r="J186" s="213"/>
      <c r="K186" s="215">
        <f t="shared" si="81"/>
        <v>38858</v>
      </c>
      <c r="L186" s="216">
        <f t="shared" si="63"/>
        <v>1.070999393638719</v>
      </c>
      <c r="M186" s="626"/>
      <c r="N186" s="217">
        <f t="shared" si="82"/>
        <v>38858</v>
      </c>
      <c r="O186" s="26"/>
      <c r="P186" s="26"/>
      <c r="Q186" s="26"/>
      <c r="R186" s="26"/>
      <c r="S186" s="26"/>
      <c r="T186" s="26"/>
      <c r="U186" s="26"/>
      <c r="V186" s="26">
        <f t="shared" si="68"/>
        <v>0</v>
      </c>
      <c r="W186" s="211">
        <v>38858</v>
      </c>
      <c r="X186" s="26"/>
    </row>
    <row r="187" spans="1:24" x14ac:dyDescent="0.2">
      <c r="A187" s="572"/>
      <c r="B187" s="22"/>
      <c r="C187" s="23" t="s">
        <v>382</v>
      </c>
      <c r="D187" s="24" t="s">
        <v>383</v>
      </c>
      <c r="E187" s="25" t="s">
        <v>595</v>
      </c>
      <c r="F187" s="211">
        <v>194250.1</v>
      </c>
      <c r="G187" s="212">
        <f t="shared" si="62"/>
        <v>0.68440210873958318</v>
      </c>
      <c r="H187" s="213">
        <v>263314.71000000002</v>
      </c>
      <c r="I187" s="214">
        <v>298700</v>
      </c>
      <c r="J187" s="213"/>
      <c r="K187" s="215">
        <f t="shared" si="81"/>
        <v>298700</v>
      </c>
      <c r="L187" s="216">
        <f t="shared" si="63"/>
        <v>1.0524108346946204</v>
      </c>
      <c r="M187" s="626"/>
      <c r="N187" s="217">
        <f t="shared" si="82"/>
        <v>298700</v>
      </c>
      <c r="O187" s="26"/>
      <c r="P187" s="26"/>
      <c r="Q187" s="26"/>
      <c r="R187" s="26"/>
      <c r="S187" s="26"/>
      <c r="T187" s="26"/>
      <c r="U187" s="26"/>
      <c r="V187" s="26">
        <f t="shared" si="68"/>
        <v>0</v>
      </c>
      <c r="W187" s="211">
        <v>298700</v>
      </c>
      <c r="X187" s="26"/>
    </row>
    <row r="188" spans="1:24" x14ac:dyDescent="0.2">
      <c r="A188" s="572"/>
      <c r="B188" s="22"/>
      <c r="C188" s="23" t="s">
        <v>498</v>
      </c>
      <c r="D188" s="24" t="s">
        <v>499</v>
      </c>
      <c r="E188" s="25" t="s">
        <v>596</v>
      </c>
      <c r="F188" s="211">
        <v>41746.49</v>
      </c>
      <c r="G188" s="212">
        <f t="shared" si="62"/>
        <v>0.35935593182113396</v>
      </c>
      <c r="H188" s="213">
        <v>116170.31</v>
      </c>
      <c r="I188" s="214">
        <v>22500</v>
      </c>
      <c r="J188" s="213"/>
      <c r="K188" s="215">
        <f t="shared" si="81"/>
        <v>22500</v>
      </c>
      <c r="L188" s="216">
        <f t="shared" si="63"/>
        <v>0.1936811565709001</v>
      </c>
      <c r="M188" s="626"/>
      <c r="N188" s="217">
        <f t="shared" si="82"/>
        <v>22500</v>
      </c>
      <c r="O188" s="26"/>
      <c r="P188" s="26"/>
      <c r="Q188" s="26"/>
      <c r="R188" s="26"/>
      <c r="S188" s="26"/>
      <c r="T188" s="26"/>
      <c r="U188" s="26"/>
      <c r="V188" s="26">
        <f t="shared" si="68"/>
        <v>0</v>
      </c>
      <c r="W188" s="211">
        <v>22500</v>
      </c>
      <c r="X188" s="26"/>
    </row>
    <row r="189" spans="1:24" x14ac:dyDescent="0.2">
      <c r="A189" s="572"/>
      <c r="B189" s="22"/>
      <c r="C189" s="23" t="s">
        <v>401</v>
      </c>
      <c r="D189" s="24" t="s">
        <v>402</v>
      </c>
      <c r="E189" s="25" t="s">
        <v>597</v>
      </c>
      <c r="F189" s="211">
        <v>272215.17</v>
      </c>
      <c r="G189" s="212">
        <f t="shared" si="62"/>
        <v>0.68327100903614457</v>
      </c>
      <c r="H189" s="213">
        <v>381607.17</v>
      </c>
      <c r="I189" s="214">
        <v>399000</v>
      </c>
      <c r="J189" s="213"/>
      <c r="K189" s="215">
        <f t="shared" si="81"/>
        <v>399000</v>
      </c>
      <c r="L189" s="216">
        <f t="shared" si="63"/>
        <v>1.0015060240963856</v>
      </c>
      <c r="M189" s="626"/>
      <c r="N189" s="217">
        <f t="shared" si="82"/>
        <v>399000</v>
      </c>
      <c r="O189" s="26"/>
      <c r="P189" s="26"/>
      <c r="Q189" s="26"/>
      <c r="R189" s="26"/>
      <c r="S189" s="26"/>
      <c r="T189" s="26"/>
      <c r="U189" s="26"/>
      <c r="V189" s="26">
        <f t="shared" si="68"/>
        <v>0</v>
      </c>
      <c r="W189" s="211">
        <v>399000</v>
      </c>
      <c r="X189" s="26"/>
    </row>
    <row r="190" spans="1:24" x14ac:dyDescent="0.2">
      <c r="A190" s="572"/>
      <c r="B190" s="22"/>
      <c r="C190" s="23" t="s">
        <v>416</v>
      </c>
      <c r="D190" s="24" t="s">
        <v>417</v>
      </c>
      <c r="E190" s="25" t="s">
        <v>598</v>
      </c>
      <c r="F190" s="211">
        <v>1998.75</v>
      </c>
      <c r="G190" s="212">
        <f t="shared" si="62"/>
        <v>8.9408848154587967E-2</v>
      </c>
      <c r="H190" s="213">
        <v>22355.17</v>
      </c>
      <c r="I190" s="214">
        <v>92300</v>
      </c>
      <c r="J190" s="213">
        <v>-78000</v>
      </c>
      <c r="K190" s="215">
        <f t="shared" si="81"/>
        <v>14300</v>
      </c>
      <c r="L190" s="216">
        <f t="shared" si="63"/>
        <v>0.63967305996778379</v>
      </c>
      <c r="M190" s="626"/>
      <c r="N190" s="217">
        <f t="shared" si="82"/>
        <v>14300</v>
      </c>
      <c r="O190" s="26"/>
      <c r="P190" s="26"/>
      <c r="Q190" s="26"/>
      <c r="R190" s="26"/>
      <c r="S190" s="26"/>
      <c r="T190" s="26"/>
      <c r="U190" s="26"/>
      <c r="V190" s="26">
        <f t="shared" si="68"/>
        <v>0</v>
      </c>
      <c r="W190" s="211">
        <v>14300</v>
      </c>
      <c r="X190" s="26"/>
    </row>
    <row r="191" spans="1:24" x14ac:dyDescent="0.2">
      <c r="A191" s="572"/>
      <c r="B191" s="22"/>
      <c r="C191" s="23" t="s">
        <v>502</v>
      </c>
      <c r="D191" s="24" t="s">
        <v>503</v>
      </c>
      <c r="E191" s="25" t="s">
        <v>599</v>
      </c>
      <c r="F191" s="211">
        <v>12020</v>
      </c>
      <c r="G191" s="212">
        <f t="shared" si="62"/>
        <v>0.68685714285714283</v>
      </c>
      <c r="H191" s="213">
        <v>17250</v>
      </c>
      <c r="I191" s="214">
        <v>21800</v>
      </c>
      <c r="J191" s="213"/>
      <c r="K191" s="215">
        <f t="shared" si="81"/>
        <v>21800</v>
      </c>
      <c r="L191" s="216">
        <f t="shared" si="63"/>
        <v>1.2457142857142858</v>
      </c>
      <c r="M191" s="626"/>
      <c r="N191" s="217">
        <f t="shared" si="82"/>
        <v>21800</v>
      </c>
      <c r="O191" s="26"/>
      <c r="P191" s="26"/>
      <c r="Q191" s="26"/>
      <c r="R191" s="26"/>
      <c r="S191" s="26"/>
      <c r="T191" s="26"/>
      <c r="U191" s="26"/>
      <c r="V191" s="26">
        <f t="shared" si="68"/>
        <v>0</v>
      </c>
      <c r="W191" s="211">
        <v>21800</v>
      </c>
      <c r="X191" s="26"/>
    </row>
    <row r="192" spans="1:24" x14ac:dyDescent="0.2">
      <c r="A192" s="572"/>
      <c r="B192" s="22"/>
      <c r="C192" s="23" t="s">
        <v>386</v>
      </c>
      <c r="D192" s="24" t="s">
        <v>387</v>
      </c>
      <c r="E192" s="25" t="s">
        <v>600</v>
      </c>
      <c r="F192" s="211">
        <v>122018.27</v>
      </c>
      <c r="G192" s="212">
        <f t="shared" si="62"/>
        <v>0.71092960520182724</v>
      </c>
      <c r="H192" s="213">
        <v>166637.81</v>
      </c>
      <c r="I192" s="214">
        <v>174700</v>
      </c>
      <c r="J192" s="213"/>
      <c r="K192" s="215">
        <f t="shared" si="81"/>
        <v>174700</v>
      </c>
      <c r="L192" s="216">
        <f t="shared" si="63"/>
        <v>1.0178754544607067</v>
      </c>
      <c r="M192" s="626"/>
      <c r="N192" s="217">
        <f t="shared" si="82"/>
        <v>174700</v>
      </c>
      <c r="O192" s="26"/>
      <c r="P192" s="26"/>
      <c r="Q192" s="26"/>
      <c r="R192" s="26"/>
      <c r="S192" s="26"/>
      <c r="T192" s="26"/>
      <c r="U192" s="26"/>
      <c r="V192" s="26">
        <f t="shared" si="68"/>
        <v>0</v>
      </c>
      <c r="W192" s="211">
        <v>174700</v>
      </c>
      <c r="X192" s="26"/>
    </row>
    <row r="193" spans="1:24" ht="22.5" x14ac:dyDescent="0.2">
      <c r="A193" s="572"/>
      <c r="B193" s="22"/>
      <c r="C193" s="23" t="s">
        <v>506</v>
      </c>
      <c r="D193" s="24" t="s">
        <v>507</v>
      </c>
      <c r="E193" s="25" t="s">
        <v>601</v>
      </c>
      <c r="F193" s="211">
        <v>15118.1</v>
      </c>
      <c r="G193" s="212">
        <f t="shared" si="62"/>
        <v>0.64884549356223176</v>
      </c>
      <c r="H193" s="213">
        <v>20157.47</v>
      </c>
      <c r="I193" s="214">
        <v>36105</v>
      </c>
      <c r="J193" s="213"/>
      <c r="K193" s="215">
        <f t="shared" si="81"/>
        <v>36105</v>
      </c>
      <c r="L193" s="216">
        <f t="shared" si="63"/>
        <v>1.5495708154506438</v>
      </c>
      <c r="M193" s="626"/>
      <c r="N193" s="217">
        <f t="shared" si="82"/>
        <v>36105</v>
      </c>
      <c r="O193" s="26"/>
      <c r="P193" s="26"/>
      <c r="Q193" s="26"/>
      <c r="R193" s="26"/>
      <c r="S193" s="26"/>
      <c r="T193" s="26"/>
      <c r="U193" s="26"/>
      <c r="V193" s="26">
        <f t="shared" si="68"/>
        <v>0</v>
      </c>
      <c r="W193" s="211">
        <v>36105</v>
      </c>
      <c r="X193" s="26"/>
    </row>
    <row r="194" spans="1:24" x14ac:dyDescent="0.2">
      <c r="A194" s="572"/>
      <c r="B194" s="22"/>
      <c r="C194" s="23" t="s">
        <v>473</v>
      </c>
      <c r="D194" s="24" t="s">
        <v>474</v>
      </c>
      <c r="E194" s="25" t="s">
        <v>602</v>
      </c>
      <c r="F194" s="211">
        <v>4175.6400000000003</v>
      </c>
      <c r="G194" s="212">
        <f t="shared" si="62"/>
        <v>0.43047835051546396</v>
      </c>
      <c r="H194" s="213">
        <v>8567.52</v>
      </c>
      <c r="I194" s="214">
        <v>10100</v>
      </c>
      <c r="J194" s="213"/>
      <c r="K194" s="215">
        <f t="shared" si="81"/>
        <v>10100</v>
      </c>
      <c r="L194" s="216">
        <f t="shared" si="63"/>
        <v>1.0412371134020619</v>
      </c>
      <c r="M194" s="626"/>
      <c r="N194" s="217">
        <f t="shared" si="82"/>
        <v>10100</v>
      </c>
      <c r="O194" s="26"/>
      <c r="P194" s="26"/>
      <c r="Q194" s="26"/>
      <c r="R194" s="26"/>
      <c r="S194" s="26"/>
      <c r="T194" s="26"/>
      <c r="U194" s="26"/>
      <c r="V194" s="26">
        <f t="shared" si="68"/>
        <v>0</v>
      </c>
      <c r="W194" s="211">
        <v>10100</v>
      </c>
      <c r="X194" s="26"/>
    </row>
    <row r="195" spans="1:24" x14ac:dyDescent="0.2">
      <c r="A195" s="572"/>
      <c r="B195" s="22"/>
      <c r="C195" s="23" t="s">
        <v>390</v>
      </c>
      <c r="D195" s="24" t="s">
        <v>391</v>
      </c>
      <c r="E195" s="25" t="s">
        <v>603</v>
      </c>
      <c r="F195" s="211">
        <v>1316.5</v>
      </c>
      <c r="G195" s="212">
        <f t="shared" si="62"/>
        <v>0.22275803722504231</v>
      </c>
      <c r="H195" s="213">
        <v>2755.3</v>
      </c>
      <c r="I195" s="214">
        <v>5310</v>
      </c>
      <c r="J195" s="213"/>
      <c r="K195" s="215">
        <f t="shared" si="81"/>
        <v>5310</v>
      </c>
      <c r="L195" s="216">
        <f t="shared" si="63"/>
        <v>0.89847715736040612</v>
      </c>
      <c r="M195" s="626"/>
      <c r="N195" s="217">
        <f t="shared" si="82"/>
        <v>5310</v>
      </c>
      <c r="O195" s="26"/>
      <c r="P195" s="26"/>
      <c r="Q195" s="26"/>
      <c r="R195" s="26"/>
      <c r="S195" s="26"/>
      <c r="T195" s="26"/>
      <c r="U195" s="26"/>
      <c r="V195" s="26">
        <f t="shared" si="68"/>
        <v>0</v>
      </c>
      <c r="W195" s="211">
        <v>5310</v>
      </c>
      <c r="X195" s="26"/>
    </row>
    <row r="196" spans="1:24" ht="22.5" x14ac:dyDescent="0.2">
      <c r="A196" s="572"/>
      <c r="B196" s="22"/>
      <c r="C196" s="23" t="s">
        <v>515</v>
      </c>
      <c r="D196" s="24" t="s">
        <v>516</v>
      </c>
      <c r="E196" s="25" t="s">
        <v>604</v>
      </c>
      <c r="F196" s="211">
        <v>402543</v>
      </c>
      <c r="G196" s="212">
        <f t="shared" si="62"/>
        <v>1</v>
      </c>
      <c r="H196" s="213">
        <v>402543</v>
      </c>
      <c r="I196" s="214">
        <v>368809</v>
      </c>
      <c r="J196" s="213"/>
      <c r="K196" s="215">
        <f t="shared" si="81"/>
        <v>368809</v>
      </c>
      <c r="L196" s="216">
        <f t="shared" si="63"/>
        <v>0.9161977726603121</v>
      </c>
      <c r="M196" s="626"/>
      <c r="N196" s="217">
        <f t="shared" si="82"/>
        <v>368809</v>
      </c>
      <c r="O196" s="26"/>
      <c r="P196" s="26"/>
      <c r="Q196" s="26"/>
      <c r="R196" s="26"/>
      <c r="S196" s="26"/>
      <c r="T196" s="26"/>
      <c r="U196" s="26"/>
      <c r="V196" s="26">
        <f t="shared" si="68"/>
        <v>0</v>
      </c>
      <c r="W196" s="211">
        <v>368809</v>
      </c>
      <c r="X196" s="26"/>
    </row>
    <row r="197" spans="1:24" x14ac:dyDescent="0.2">
      <c r="A197" s="572"/>
      <c r="B197" s="22"/>
      <c r="C197" s="23" t="s">
        <v>605</v>
      </c>
      <c r="D197" s="24" t="s">
        <v>606</v>
      </c>
      <c r="E197" s="44" t="s">
        <v>104</v>
      </c>
      <c r="F197" s="223">
        <v>745</v>
      </c>
      <c r="G197" s="224">
        <f t="shared" si="62"/>
        <v>0.745</v>
      </c>
      <c r="H197" s="225">
        <v>745</v>
      </c>
      <c r="I197" s="226">
        <v>1030</v>
      </c>
      <c r="J197" s="213"/>
      <c r="K197" s="215">
        <f t="shared" si="81"/>
        <v>1030</v>
      </c>
      <c r="L197" s="216">
        <f t="shared" si="63"/>
        <v>1.03</v>
      </c>
      <c r="M197" s="626"/>
      <c r="N197" s="217">
        <f t="shared" si="82"/>
        <v>1030</v>
      </c>
      <c r="O197" s="26"/>
      <c r="P197" s="26"/>
      <c r="Q197" s="26"/>
      <c r="R197" s="26"/>
      <c r="S197" s="26"/>
      <c r="T197" s="26"/>
      <c r="U197" s="26"/>
      <c r="V197" s="26">
        <f t="shared" si="68"/>
        <v>0</v>
      </c>
      <c r="W197" s="211">
        <v>1030</v>
      </c>
      <c r="X197" s="26"/>
    </row>
    <row r="198" spans="1:24" ht="22.5" x14ac:dyDescent="0.2">
      <c r="A198" s="572"/>
      <c r="B198" s="22"/>
      <c r="C198" s="23" t="s">
        <v>475</v>
      </c>
      <c r="D198" s="24" t="s">
        <v>476</v>
      </c>
      <c r="E198" s="50">
        <v>0</v>
      </c>
      <c r="F198" s="211">
        <v>0</v>
      </c>
      <c r="G198" s="212">
        <v>0</v>
      </c>
      <c r="H198" s="213">
        <v>0</v>
      </c>
      <c r="I198" s="214">
        <v>2000</v>
      </c>
      <c r="J198" s="213"/>
      <c r="K198" s="215">
        <f t="shared" si="81"/>
        <v>2000</v>
      </c>
      <c r="L198" s="216">
        <v>0</v>
      </c>
      <c r="M198" s="626"/>
      <c r="N198" s="217">
        <f t="shared" si="82"/>
        <v>2000</v>
      </c>
      <c r="O198" s="26"/>
      <c r="P198" s="26"/>
      <c r="Q198" s="26"/>
      <c r="R198" s="26"/>
      <c r="S198" s="26"/>
      <c r="T198" s="26"/>
      <c r="U198" s="26"/>
      <c r="V198" s="26">
        <f t="shared" si="68"/>
        <v>0</v>
      </c>
      <c r="W198" s="211">
        <v>2000</v>
      </c>
      <c r="X198" s="26"/>
    </row>
    <row r="199" spans="1:24" ht="22.5" x14ac:dyDescent="0.2">
      <c r="A199" s="572"/>
      <c r="B199" s="22"/>
      <c r="C199" s="23" t="s">
        <v>393</v>
      </c>
      <c r="D199" s="24" t="s">
        <v>394</v>
      </c>
      <c r="E199" s="50">
        <v>0</v>
      </c>
      <c r="F199" s="233">
        <v>0</v>
      </c>
      <c r="G199" s="237">
        <v>0</v>
      </c>
      <c r="H199" s="213">
        <v>0</v>
      </c>
      <c r="I199" s="214">
        <v>175762</v>
      </c>
      <c r="J199" s="213"/>
      <c r="K199" s="215">
        <f t="shared" si="81"/>
        <v>175762</v>
      </c>
      <c r="L199" s="216">
        <v>0</v>
      </c>
      <c r="M199" s="626"/>
      <c r="N199" s="217">
        <f t="shared" si="82"/>
        <v>175762</v>
      </c>
      <c r="O199" s="26"/>
      <c r="P199" s="26"/>
      <c r="Q199" s="26"/>
      <c r="R199" s="26"/>
      <c r="S199" s="26"/>
      <c r="T199" s="26"/>
      <c r="U199" s="26"/>
      <c r="V199" s="26">
        <f t="shared" si="68"/>
        <v>0</v>
      </c>
      <c r="W199" s="211">
        <v>175762</v>
      </c>
      <c r="X199" s="26"/>
    </row>
    <row r="200" spans="1:24" ht="22.5" x14ac:dyDescent="0.2">
      <c r="A200" s="571"/>
      <c r="B200" s="15" t="s">
        <v>196</v>
      </c>
      <c r="C200" s="16"/>
      <c r="D200" s="17" t="s">
        <v>197</v>
      </c>
      <c r="E200" s="54">
        <f>E201+E202+E203+E204+E205+E206+E207+E208+E209+E210+E211+E212+E213+E214</f>
        <v>746853</v>
      </c>
      <c r="F200" s="18">
        <f t="shared" ref="F200:X200" si="83">F201+F202+F203+F204+F205+F206+F207+F208+F209+F210+F211+F212+F213+F214</f>
        <v>481460.52000000008</v>
      </c>
      <c r="G200" s="218">
        <f t="shared" si="62"/>
        <v>0.64465232113950144</v>
      </c>
      <c r="H200" s="54">
        <f t="shared" si="83"/>
        <v>727732.41000000015</v>
      </c>
      <c r="I200" s="56">
        <f t="shared" si="83"/>
        <v>748826</v>
      </c>
      <c r="J200" s="114">
        <f t="shared" si="83"/>
        <v>0</v>
      </c>
      <c r="K200" s="238">
        <f t="shared" si="83"/>
        <v>748826</v>
      </c>
      <c r="L200" s="219">
        <f t="shared" si="63"/>
        <v>1.0026417514557751</v>
      </c>
      <c r="M200" s="239"/>
      <c r="N200" s="210">
        <f t="shared" si="83"/>
        <v>748826</v>
      </c>
      <c r="O200" s="95">
        <f t="shared" si="83"/>
        <v>5200</v>
      </c>
      <c r="P200" s="95">
        <f t="shared" si="83"/>
        <v>0</v>
      </c>
      <c r="Q200" s="95">
        <f t="shared" si="83"/>
        <v>0</v>
      </c>
      <c r="R200" s="95">
        <f t="shared" si="83"/>
        <v>0</v>
      </c>
      <c r="S200" s="95">
        <f t="shared" si="83"/>
        <v>0</v>
      </c>
      <c r="T200" s="95">
        <f t="shared" si="83"/>
        <v>0</v>
      </c>
      <c r="U200" s="95">
        <f t="shared" si="83"/>
        <v>0</v>
      </c>
      <c r="V200" s="26">
        <f t="shared" si="68"/>
        <v>5200</v>
      </c>
      <c r="W200" s="95">
        <f t="shared" si="83"/>
        <v>743626</v>
      </c>
      <c r="X200" s="95">
        <f t="shared" si="83"/>
        <v>0</v>
      </c>
    </row>
    <row r="201" spans="1:24" ht="45" x14ac:dyDescent="0.2">
      <c r="A201" s="572"/>
      <c r="B201" s="22"/>
      <c r="C201" s="23" t="s">
        <v>211</v>
      </c>
      <c r="D201" s="24" t="s">
        <v>407</v>
      </c>
      <c r="E201" s="25" t="s">
        <v>607</v>
      </c>
      <c r="F201" s="211">
        <v>0</v>
      </c>
      <c r="G201" s="212">
        <f t="shared" si="62"/>
        <v>0</v>
      </c>
      <c r="H201" s="213">
        <v>0</v>
      </c>
      <c r="I201" s="214">
        <v>5200</v>
      </c>
      <c r="J201" s="213"/>
      <c r="K201" s="215">
        <f>I201+J201</f>
        <v>5200</v>
      </c>
      <c r="L201" s="216">
        <f t="shared" si="63"/>
        <v>1</v>
      </c>
      <c r="M201" s="626"/>
      <c r="N201" s="217">
        <f>V201+W201+X201</f>
        <v>5200</v>
      </c>
      <c r="O201" s="26">
        <v>5200</v>
      </c>
      <c r="P201" s="26"/>
      <c r="Q201" s="26"/>
      <c r="R201" s="26"/>
      <c r="S201" s="26"/>
      <c r="T201" s="26"/>
      <c r="U201" s="26"/>
      <c r="V201" s="26">
        <f t="shared" si="68"/>
        <v>5200</v>
      </c>
      <c r="W201" s="26"/>
      <c r="X201" s="26"/>
    </row>
    <row r="202" spans="1:24" ht="22.5" x14ac:dyDescent="0.2">
      <c r="A202" s="572"/>
      <c r="B202" s="22"/>
      <c r="C202" s="23" t="s">
        <v>488</v>
      </c>
      <c r="D202" s="24" t="s">
        <v>489</v>
      </c>
      <c r="E202" s="25" t="s">
        <v>608</v>
      </c>
      <c r="F202" s="211">
        <v>14457.03</v>
      </c>
      <c r="G202" s="212">
        <f t="shared" si="62"/>
        <v>0.48722802642221624</v>
      </c>
      <c r="H202" s="213">
        <v>20909.759999999998</v>
      </c>
      <c r="I202" s="214">
        <v>20319</v>
      </c>
      <c r="J202" s="213"/>
      <c r="K202" s="215">
        <f t="shared" ref="K202:K214" si="84">I202+J202</f>
        <v>20319</v>
      </c>
      <c r="L202" s="216">
        <f t="shared" ref="L202:L268" si="85">K202/E202</f>
        <v>0.68478700458344566</v>
      </c>
      <c r="M202" s="626"/>
      <c r="N202" s="217">
        <f t="shared" ref="N202:N214" si="86">V202+W202+X202</f>
        <v>20319</v>
      </c>
      <c r="O202" s="26"/>
      <c r="P202" s="26"/>
      <c r="Q202" s="26"/>
      <c r="R202" s="26"/>
      <c r="S202" s="26"/>
      <c r="T202" s="26"/>
      <c r="U202" s="26"/>
      <c r="V202" s="26">
        <f t="shared" si="68"/>
        <v>0</v>
      </c>
      <c r="W202" s="211">
        <v>20319</v>
      </c>
      <c r="X202" s="26"/>
    </row>
    <row r="203" spans="1:24" x14ac:dyDescent="0.2">
      <c r="A203" s="572"/>
      <c r="B203" s="22"/>
      <c r="C203" s="23" t="s">
        <v>373</v>
      </c>
      <c r="D203" s="24" t="s">
        <v>374</v>
      </c>
      <c r="E203" s="25" t="s">
        <v>609</v>
      </c>
      <c r="F203" s="211">
        <v>325722.38</v>
      </c>
      <c r="G203" s="212">
        <f t="shared" si="62"/>
        <v>0.65672950170398214</v>
      </c>
      <c r="H203" s="213">
        <v>493976.47</v>
      </c>
      <c r="I203" s="214">
        <v>490037</v>
      </c>
      <c r="J203" s="213"/>
      <c r="K203" s="215">
        <f t="shared" si="84"/>
        <v>490037</v>
      </c>
      <c r="L203" s="216">
        <f t="shared" si="85"/>
        <v>0.98802469399405179</v>
      </c>
      <c r="M203" s="626"/>
      <c r="N203" s="217">
        <f t="shared" si="86"/>
        <v>490037</v>
      </c>
      <c r="O203" s="26"/>
      <c r="P203" s="26"/>
      <c r="Q203" s="26"/>
      <c r="R203" s="26"/>
      <c r="S203" s="26"/>
      <c r="T203" s="26"/>
      <c r="U203" s="26"/>
      <c r="V203" s="26">
        <f t="shared" si="68"/>
        <v>0</v>
      </c>
      <c r="W203" s="211">
        <v>490037</v>
      </c>
      <c r="X203" s="26"/>
    </row>
    <row r="204" spans="1:24" x14ac:dyDescent="0.2">
      <c r="A204" s="572"/>
      <c r="B204" s="22"/>
      <c r="C204" s="23" t="s">
        <v>466</v>
      </c>
      <c r="D204" s="24" t="s">
        <v>467</v>
      </c>
      <c r="E204" s="25" t="s">
        <v>610</v>
      </c>
      <c r="F204" s="211">
        <v>33041.269999999997</v>
      </c>
      <c r="G204" s="212">
        <f t="shared" si="62"/>
        <v>1</v>
      </c>
      <c r="H204" s="213">
        <v>33041.269999999997</v>
      </c>
      <c r="I204" s="214">
        <v>41341</v>
      </c>
      <c r="J204" s="213"/>
      <c r="K204" s="215">
        <f t="shared" si="84"/>
        <v>41341</v>
      </c>
      <c r="L204" s="216">
        <f t="shared" si="85"/>
        <v>1.2511928264258609</v>
      </c>
      <c r="M204" s="626"/>
      <c r="N204" s="217">
        <f t="shared" si="86"/>
        <v>41341</v>
      </c>
      <c r="O204" s="26"/>
      <c r="P204" s="26"/>
      <c r="Q204" s="26"/>
      <c r="R204" s="26"/>
      <c r="S204" s="26"/>
      <c r="T204" s="26"/>
      <c r="U204" s="26"/>
      <c r="V204" s="26">
        <f t="shared" si="68"/>
        <v>0</v>
      </c>
      <c r="W204" s="211">
        <v>41341</v>
      </c>
      <c r="X204" s="26"/>
    </row>
    <row r="205" spans="1:24" x14ac:dyDescent="0.2">
      <c r="A205" s="572"/>
      <c r="B205" s="22"/>
      <c r="C205" s="23" t="s">
        <v>376</v>
      </c>
      <c r="D205" s="24" t="s">
        <v>377</v>
      </c>
      <c r="E205" s="25" t="s">
        <v>611</v>
      </c>
      <c r="F205" s="211">
        <v>62701.83</v>
      </c>
      <c r="G205" s="212">
        <f t="shared" si="62"/>
        <v>0.6521165713273025</v>
      </c>
      <c r="H205" s="213">
        <v>96151.16</v>
      </c>
      <c r="I205" s="214">
        <v>95670</v>
      </c>
      <c r="J205" s="213"/>
      <c r="K205" s="215">
        <f t="shared" si="84"/>
        <v>95670</v>
      </c>
      <c r="L205" s="216">
        <f t="shared" si="85"/>
        <v>0.99499476137910214</v>
      </c>
      <c r="M205" s="626"/>
      <c r="N205" s="217">
        <f t="shared" si="86"/>
        <v>95670</v>
      </c>
      <c r="O205" s="26"/>
      <c r="P205" s="26"/>
      <c r="Q205" s="26"/>
      <c r="R205" s="26"/>
      <c r="S205" s="26"/>
      <c r="T205" s="26"/>
      <c r="U205" s="26"/>
      <c r="V205" s="26">
        <f t="shared" si="68"/>
        <v>0</v>
      </c>
      <c r="W205" s="211">
        <v>95670</v>
      </c>
      <c r="X205" s="26"/>
    </row>
    <row r="206" spans="1:24" x14ac:dyDescent="0.2">
      <c r="A206" s="572"/>
      <c r="B206" s="22"/>
      <c r="C206" s="23" t="s">
        <v>379</v>
      </c>
      <c r="D206" s="24" t="s">
        <v>380</v>
      </c>
      <c r="E206" s="25" t="s">
        <v>400</v>
      </c>
      <c r="F206" s="211">
        <v>7787.94</v>
      </c>
      <c r="G206" s="212">
        <f t="shared" ref="G206:G271" si="87">F206/E206</f>
        <v>0.56846277372262766</v>
      </c>
      <c r="H206" s="213">
        <v>13700</v>
      </c>
      <c r="I206" s="214">
        <v>13599</v>
      </c>
      <c r="J206" s="213"/>
      <c r="K206" s="215">
        <f t="shared" si="84"/>
        <v>13599</v>
      </c>
      <c r="L206" s="216">
        <f t="shared" si="85"/>
        <v>0.9926277372262774</v>
      </c>
      <c r="M206" s="626"/>
      <c r="N206" s="217">
        <f t="shared" si="86"/>
        <v>13599</v>
      </c>
      <c r="O206" s="26"/>
      <c r="P206" s="26"/>
      <c r="Q206" s="26"/>
      <c r="R206" s="26"/>
      <c r="S206" s="26"/>
      <c r="T206" s="26"/>
      <c r="U206" s="26"/>
      <c r="V206" s="26">
        <f t="shared" si="68"/>
        <v>0</v>
      </c>
      <c r="W206" s="211">
        <v>13599</v>
      </c>
      <c r="X206" s="26"/>
    </row>
    <row r="207" spans="1:24" x14ac:dyDescent="0.2">
      <c r="A207" s="572"/>
      <c r="B207" s="22"/>
      <c r="C207" s="23" t="s">
        <v>382</v>
      </c>
      <c r="D207" s="24" t="s">
        <v>383</v>
      </c>
      <c r="E207" s="25" t="s">
        <v>612</v>
      </c>
      <c r="F207" s="211">
        <v>1194.1300000000001</v>
      </c>
      <c r="G207" s="212">
        <f t="shared" si="87"/>
        <v>6.9426162790697687E-2</v>
      </c>
      <c r="H207" s="213">
        <v>17200</v>
      </c>
      <c r="I207" s="214">
        <v>18600</v>
      </c>
      <c r="J207" s="213"/>
      <c r="K207" s="215">
        <f t="shared" si="84"/>
        <v>18600</v>
      </c>
      <c r="L207" s="216">
        <f t="shared" si="85"/>
        <v>1.0813953488372092</v>
      </c>
      <c r="M207" s="626"/>
      <c r="N207" s="217">
        <f t="shared" si="86"/>
        <v>18600</v>
      </c>
      <c r="O207" s="26"/>
      <c r="P207" s="26"/>
      <c r="Q207" s="26"/>
      <c r="R207" s="26"/>
      <c r="S207" s="26"/>
      <c r="T207" s="26"/>
      <c r="U207" s="26"/>
      <c r="V207" s="26">
        <f t="shared" si="68"/>
        <v>0</v>
      </c>
      <c r="W207" s="211">
        <v>18600</v>
      </c>
      <c r="X207" s="26"/>
    </row>
    <row r="208" spans="1:24" x14ac:dyDescent="0.2">
      <c r="A208" s="572"/>
      <c r="B208" s="22"/>
      <c r="C208" s="23" t="s">
        <v>498</v>
      </c>
      <c r="D208" s="24" t="s">
        <v>499</v>
      </c>
      <c r="E208" s="25" t="s">
        <v>613</v>
      </c>
      <c r="F208" s="211">
        <v>336.01</v>
      </c>
      <c r="G208" s="212">
        <f t="shared" si="87"/>
        <v>0.26667460317460318</v>
      </c>
      <c r="H208" s="213">
        <v>1260</v>
      </c>
      <c r="I208" s="214">
        <v>3400</v>
      </c>
      <c r="J208" s="213"/>
      <c r="K208" s="215">
        <f t="shared" si="84"/>
        <v>3400</v>
      </c>
      <c r="L208" s="216">
        <f t="shared" si="85"/>
        <v>2.6984126984126986</v>
      </c>
      <c r="M208" s="626"/>
      <c r="N208" s="217">
        <f t="shared" si="86"/>
        <v>3400</v>
      </c>
      <c r="O208" s="26"/>
      <c r="P208" s="26"/>
      <c r="Q208" s="26"/>
      <c r="R208" s="26"/>
      <c r="S208" s="26"/>
      <c r="T208" s="26"/>
      <c r="U208" s="26"/>
      <c r="V208" s="26">
        <f t="shared" si="68"/>
        <v>0</v>
      </c>
      <c r="W208" s="211">
        <v>3400</v>
      </c>
      <c r="X208" s="26"/>
    </row>
    <row r="209" spans="1:24" x14ac:dyDescent="0.2">
      <c r="A209" s="572"/>
      <c r="B209" s="22"/>
      <c r="C209" s="23" t="s">
        <v>401</v>
      </c>
      <c r="D209" s="24" t="s">
        <v>402</v>
      </c>
      <c r="E209" s="25" t="s">
        <v>614</v>
      </c>
      <c r="F209" s="211">
        <v>6701.81</v>
      </c>
      <c r="G209" s="212">
        <f t="shared" si="87"/>
        <v>0.32803768967205094</v>
      </c>
      <c r="H209" s="213">
        <v>18934.8</v>
      </c>
      <c r="I209" s="214">
        <v>21000</v>
      </c>
      <c r="J209" s="213"/>
      <c r="K209" s="215">
        <f t="shared" si="84"/>
        <v>21000</v>
      </c>
      <c r="L209" s="216">
        <f t="shared" si="85"/>
        <v>1.0279001468428781</v>
      </c>
      <c r="M209" s="626"/>
      <c r="N209" s="217">
        <f t="shared" si="86"/>
        <v>21000</v>
      </c>
      <c r="O209" s="26"/>
      <c r="P209" s="26"/>
      <c r="Q209" s="26"/>
      <c r="R209" s="26"/>
      <c r="S209" s="26"/>
      <c r="T209" s="26"/>
      <c r="U209" s="26"/>
      <c r="V209" s="26">
        <f t="shared" si="68"/>
        <v>0</v>
      </c>
      <c r="W209" s="211">
        <v>21000</v>
      </c>
      <c r="X209" s="26"/>
    </row>
    <row r="210" spans="1:24" x14ac:dyDescent="0.2">
      <c r="A210" s="572"/>
      <c r="B210" s="22"/>
      <c r="C210" s="23" t="s">
        <v>416</v>
      </c>
      <c r="D210" s="24" t="s">
        <v>417</v>
      </c>
      <c r="E210" s="25" t="s">
        <v>615</v>
      </c>
      <c r="F210" s="211">
        <v>0</v>
      </c>
      <c r="G210" s="212">
        <f t="shared" si="87"/>
        <v>0</v>
      </c>
      <c r="H210" s="213">
        <v>0</v>
      </c>
      <c r="I210" s="214">
        <v>800</v>
      </c>
      <c r="J210" s="213"/>
      <c r="K210" s="215">
        <f t="shared" si="84"/>
        <v>800</v>
      </c>
      <c r="L210" s="216">
        <f t="shared" si="85"/>
        <v>1</v>
      </c>
      <c r="M210" s="626"/>
      <c r="N210" s="217">
        <f t="shared" si="86"/>
        <v>800</v>
      </c>
      <c r="O210" s="26"/>
      <c r="P210" s="26"/>
      <c r="Q210" s="26"/>
      <c r="R210" s="26"/>
      <c r="S210" s="26"/>
      <c r="T210" s="26"/>
      <c r="U210" s="26"/>
      <c r="V210" s="26">
        <f t="shared" si="68"/>
        <v>0</v>
      </c>
      <c r="W210" s="211">
        <v>800</v>
      </c>
      <c r="X210" s="26"/>
    </row>
    <row r="211" spans="1:24" x14ac:dyDescent="0.2">
      <c r="A211" s="572"/>
      <c r="B211" s="22"/>
      <c r="C211" s="23" t="s">
        <v>502</v>
      </c>
      <c r="D211" s="24" t="s">
        <v>503</v>
      </c>
      <c r="E211" s="25" t="s">
        <v>94</v>
      </c>
      <c r="F211" s="211">
        <v>0</v>
      </c>
      <c r="G211" s="212">
        <f t="shared" si="87"/>
        <v>0</v>
      </c>
      <c r="H211" s="213">
        <v>600</v>
      </c>
      <c r="I211" s="214">
        <v>550</v>
      </c>
      <c r="J211" s="213"/>
      <c r="K211" s="215">
        <f t="shared" si="84"/>
        <v>550</v>
      </c>
      <c r="L211" s="216">
        <f t="shared" si="85"/>
        <v>0.91666666666666663</v>
      </c>
      <c r="M211" s="626"/>
      <c r="N211" s="217">
        <f t="shared" si="86"/>
        <v>550</v>
      </c>
      <c r="O211" s="26"/>
      <c r="P211" s="26"/>
      <c r="Q211" s="26"/>
      <c r="R211" s="26"/>
      <c r="S211" s="26"/>
      <c r="T211" s="26"/>
      <c r="U211" s="26"/>
      <c r="V211" s="26">
        <f t="shared" si="68"/>
        <v>0</v>
      </c>
      <c r="W211" s="211">
        <v>550</v>
      </c>
      <c r="X211" s="26"/>
    </row>
    <row r="212" spans="1:24" x14ac:dyDescent="0.2">
      <c r="A212" s="572"/>
      <c r="B212" s="22"/>
      <c r="C212" s="23" t="s">
        <v>386</v>
      </c>
      <c r="D212" s="24" t="s">
        <v>387</v>
      </c>
      <c r="E212" s="25" t="s">
        <v>616</v>
      </c>
      <c r="F212" s="211">
        <v>3202.2</v>
      </c>
      <c r="G212" s="212">
        <f t="shared" si="87"/>
        <v>0.51235199999999992</v>
      </c>
      <c r="H212" s="213">
        <v>5495.06</v>
      </c>
      <c r="I212" s="214">
        <v>7500</v>
      </c>
      <c r="J212" s="213"/>
      <c r="K212" s="215">
        <f t="shared" si="84"/>
        <v>7500</v>
      </c>
      <c r="L212" s="216">
        <f t="shared" si="85"/>
        <v>1.2</v>
      </c>
      <c r="M212" s="626"/>
      <c r="N212" s="217">
        <f t="shared" si="86"/>
        <v>7500</v>
      </c>
      <c r="O212" s="26"/>
      <c r="P212" s="26"/>
      <c r="Q212" s="26"/>
      <c r="R212" s="26"/>
      <c r="S212" s="26"/>
      <c r="T212" s="26"/>
      <c r="U212" s="26"/>
      <c r="V212" s="26">
        <f t="shared" si="68"/>
        <v>0</v>
      </c>
      <c r="W212" s="211">
        <v>7500</v>
      </c>
      <c r="X212" s="26"/>
    </row>
    <row r="213" spans="1:24" ht="22.5" x14ac:dyDescent="0.2">
      <c r="A213" s="572"/>
      <c r="B213" s="22"/>
      <c r="C213" s="23" t="s">
        <v>506</v>
      </c>
      <c r="D213" s="24" t="s">
        <v>507</v>
      </c>
      <c r="E213" s="25" t="s">
        <v>617</v>
      </c>
      <c r="F213" s="211">
        <v>443.92</v>
      </c>
      <c r="G213" s="212">
        <f t="shared" si="87"/>
        <v>0.63417142857142861</v>
      </c>
      <c r="H213" s="213">
        <v>591.89</v>
      </c>
      <c r="I213" s="214">
        <v>1000</v>
      </c>
      <c r="J213" s="213"/>
      <c r="K213" s="215">
        <f t="shared" si="84"/>
        <v>1000</v>
      </c>
      <c r="L213" s="216">
        <f t="shared" si="85"/>
        <v>1.4285714285714286</v>
      </c>
      <c r="M213" s="626"/>
      <c r="N213" s="217">
        <f t="shared" si="86"/>
        <v>1000</v>
      </c>
      <c r="O213" s="26"/>
      <c r="P213" s="26"/>
      <c r="Q213" s="26"/>
      <c r="R213" s="26"/>
      <c r="S213" s="26"/>
      <c r="T213" s="26"/>
      <c r="U213" s="26"/>
      <c r="V213" s="26">
        <f t="shared" si="68"/>
        <v>0</v>
      </c>
      <c r="W213" s="211">
        <v>1000</v>
      </c>
      <c r="X213" s="26"/>
    </row>
    <row r="214" spans="1:24" ht="22.5" x14ac:dyDescent="0.2">
      <c r="A214" s="572"/>
      <c r="B214" s="22"/>
      <c r="C214" s="23" t="s">
        <v>515</v>
      </c>
      <c r="D214" s="24" t="s">
        <v>516</v>
      </c>
      <c r="E214" s="25" t="s">
        <v>618</v>
      </c>
      <c r="F214" s="211">
        <v>25872</v>
      </c>
      <c r="G214" s="212">
        <f t="shared" si="87"/>
        <v>1</v>
      </c>
      <c r="H214" s="213">
        <v>25872</v>
      </c>
      <c r="I214" s="214">
        <v>29810</v>
      </c>
      <c r="J214" s="213"/>
      <c r="K214" s="215">
        <f t="shared" si="84"/>
        <v>29810</v>
      </c>
      <c r="L214" s="216">
        <f t="shared" si="85"/>
        <v>1.1522108843537415</v>
      </c>
      <c r="M214" s="626"/>
      <c r="N214" s="217">
        <f t="shared" si="86"/>
        <v>29810</v>
      </c>
      <c r="O214" s="26"/>
      <c r="P214" s="26"/>
      <c r="Q214" s="26"/>
      <c r="R214" s="26"/>
      <c r="S214" s="26"/>
      <c r="T214" s="26"/>
      <c r="U214" s="26"/>
      <c r="V214" s="26">
        <f t="shared" si="68"/>
        <v>0</v>
      </c>
      <c r="W214" s="211">
        <v>29810</v>
      </c>
      <c r="X214" s="26"/>
    </row>
    <row r="215" spans="1:24" ht="15" x14ac:dyDescent="0.2">
      <c r="A215" s="571"/>
      <c r="B215" s="15" t="s">
        <v>200</v>
      </c>
      <c r="C215" s="16"/>
      <c r="D215" s="17" t="s">
        <v>201</v>
      </c>
      <c r="E215" s="18">
        <f>E216+E217+E218+E219+E220+E221+E222+E223+E224+E225+E226+E227+E228+E229+E230+E231+E232+E233+E234+E235+E236+E237</f>
        <v>4479804</v>
      </c>
      <c r="F215" s="18">
        <f>F216+F217+F218+F219+F220+F221+F222+F223+F224+F225+F226+F227+F228+F229+F230+F231+F232+F233+F234+F235+F236+F237</f>
        <v>3251621.8600000008</v>
      </c>
      <c r="G215" s="218">
        <f t="shared" si="87"/>
        <v>0.7258402064018874</v>
      </c>
      <c r="H215" s="18">
        <f>SUM(H216:H237)</f>
        <v>4364488.6399999997</v>
      </c>
      <c r="I215" s="20">
        <f t="shared" ref="I215:X215" si="88">SUM(I216:I237)</f>
        <v>5144385.5199999996</v>
      </c>
      <c r="J215" s="114">
        <f t="shared" si="88"/>
        <v>-460000</v>
      </c>
      <c r="K215" s="209">
        <f t="shared" si="88"/>
        <v>4684385.5199999996</v>
      </c>
      <c r="L215" s="219">
        <f t="shared" si="85"/>
        <v>1.0456675158109594</v>
      </c>
      <c r="M215" s="21"/>
      <c r="N215" s="210">
        <f t="shared" si="88"/>
        <v>4684385.5199999996</v>
      </c>
      <c r="O215" s="95">
        <f t="shared" si="88"/>
        <v>1203062.52</v>
      </c>
      <c r="P215" s="95">
        <f t="shared" si="88"/>
        <v>0</v>
      </c>
      <c r="Q215" s="95">
        <f t="shared" si="88"/>
        <v>0</v>
      </c>
      <c r="R215" s="95">
        <f t="shared" si="88"/>
        <v>0</v>
      </c>
      <c r="S215" s="95">
        <f t="shared" si="88"/>
        <v>0</v>
      </c>
      <c r="T215" s="95">
        <f t="shared" si="88"/>
        <v>0</v>
      </c>
      <c r="U215" s="95">
        <f t="shared" si="88"/>
        <v>0</v>
      </c>
      <c r="V215" s="26">
        <f t="shared" si="68"/>
        <v>1203062.52</v>
      </c>
      <c r="W215" s="95">
        <f t="shared" si="88"/>
        <v>3481323</v>
      </c>
      <c r="X215" s="95">
        <f t="shared" si="88"/>
        <v>0</v>
      </c>
    </row>
    <row r="216" spans="1:24" ht="45" x14ac:dyDescent="0.2">
      <c r="A216" s="572"/>
      <c r="B216" s="22"/>
      <c r="C216" s="23" t="s">
        <v>211</v>
      </c>
      <c r="D216" s="24" t="s">
        <v>407</v>
      </c>
      <c r="E216" s="25" t="s">
        <v>619</v>
      </c>
      <c r="F216" s="211">
        <v>41773.31</v>
      </c>
      <c r="G216" s="212">
        <f t="shared" si="87"/>
        <v>0.3729759821428571</v>
      </c>
      <c r="H216" s="213">
        <v>53678.2</v>
      </c>
      <c r="I216" s="214">
        <v>112000</v>
      </c>
      <c r="J216" s="213">
        <v>-40000</v>
      </c>
      <c r="K216" s="215">
        <f>I216+J216</f>
        <v>72000</v>
      </c>
      <c r="L216" s="216">
        <f t="shared" si="85"/>
        <v>0.6428571428571429</v>
      </c>
      <c r="M216" s="626"/>
      <c r="N216" s="217">
        <f>V216+W216+X216</f>
        <v>72000</v>
      </c>
      <c r="O216" s="26">
        <v>72000</v>
      </c>
      <c r="P216" s="26"/>
      <c r="Q216" s="26"/>
      <c r="R216" s="26"/>
      <c r="S216" s="26"/>
      <c r="T216" s="26"/>
      <c r="U216" s="26"/>
      <c r="V216" s="26">
        <f t="shared" si="68"/>
        <v>72000</v>
      </c>
      <c r="W216" s="26"/>
      <c r="X216" s="26"/>
    </row>
    <row r="217" spans="1:24" ht="22.5" x14ac:dyDescent="0.2">
      <c r="A217" s="572"/>
      <c r="B217" s="22"/>
      <c r="C217" s="23" t="s">
        <v>620</v>
      </c>
      <c r="D217" s="24" t="s">
        <v>621</v>
      </c>
      <c r="E217" s="25" t="s">
        <v>622</v>
      </c>
      <c r="F217" s="211">
        <v>788273.79</v>
      </c>
      <c r="G217" s="212">
        <f t="shared" si="87"/>
        <v>0.72530965854197149</v>
      </c>
      <c r="H217" s="213">
        <v>1058564.49</v>
      </c>
      <c r="I217" s="214">
        <v>1551062.52</v>
      </c>
      <c r="J217" s="213">
        <v>-420000</v>
      </c>
      <c r="K217" s="215">
        <f t="shared" ref="K217:K237" si="89">I217+J217</f>
        <v>1131062.52</v>
      </c>
      <c r="L217" s="216">
        <f t="shared" si="85"/>
        <v>1.0407178071604053</v>
      </c>
      <c r="M217" s="626"/>
      <c r="N217" s="217">
        <f t="shared" ref="N217:N237" si="90">V217+W217+X217</f>
        <v>1131062.52</v>
      </c>
      <c r="O217" s="26">
        <v>1131062.52</v>
      </c>
      <c r="P217" s="26"/>
      <c r="Q217" s="26"/>
      <c r="R217" s="26"/>
      <c r="S217" s="26"/>
      <c r="T217" s="26"/>
      <c r="U217" s="26"/>
      <c r="V217" s="26">
        <f t="shared" si="68"/>
        <v>1131062.52</v>
      </c>
      <c r="W217" s="26"/>
      <c r="X217" s="26"/>
    </row>
    <row r="218" spans="1:24" ht="22.5" x14ac:dyDescent="0.2">
      <c r="A218" s="572"/>
      <c r="B218" s="22"/>
      <c r="C218" s="23" t="s">
        <v>488</v>
      </c>
      <c r="D218" s="24" t="s">
        <v>489</v>
      </c>
      <c r="E218" s="25" t="s">
        <v>623</v>
      </c>
      <c r="F218" s="211">
        <v>52647.29</v>
      </c>
      <c r="G218" s="212">
        <f t="shared" si="87"/>
        <v>0.70387841595807266</v>
      </c>
      <c r="H218" s="213">
        <v>72135.570000000007</v>
      </c>
      <c r="I218" s="214">
        <v>41822</v>
      </c>
      <c r="J218" s="213"/>
      <c r="K218" s="215">
        <f t="shared" si="89"/>
        <v>41822</v>
      </c>
      <c r="L218" s="216">
        <f t="shared" si="85"/>
        <v>0.55914754799721911</v>
      </c>
      <c r="M218" s="626"/>
      <c r="N218" s="217">
        <f t="shared" si="90"/>
        <v>41822</v>
      </c>
      <c r="O218" s="26"/>
      <c r="P218" s="26"/>
      <c r="Q218" s="26"/>
      <c r="R218" s="26"/>
      <c r="S218" s="26"/>
      <c r="T218" s="26"/>
      <c r="U218" s="26"/>
      <c r="V218" s="26">
        <f t="shared" si="68"/>
        <v>0</v>
      </c>
      <c r="W218" s="211">
        <v>41822</v>
      </c>
      <c r="X218" s="26"/>
    </row>
    <row r="219" spans="1:24" x14ac:dyDescent="0.2">
      <c r="A219" s="572"/>
      <c r="B219" s="22"/>
      <c r="C219" s="23" t="s">
        <v>373</v>
      </c>
      <c r="D219" s="24" t="s">
        <v>374</v>
      </c>
      <c r="E219" s="25" t="s">
        <v>624</v>
      </c>
      <c r="F219" s="211">
        <v>1362391.38</v>
      </c>
      <c r="G219" s="212">
        <f t="shared" si="87"/>
        <v>0.73170641950286641</v>
      </c>
      <c r="H219" s="213">
        <v>1861937.17</v>
      </c>
      <c r="I219" s="214">
        <v>1954985</v>
      </c>
      <c r="J219" s="213"/>
      <c r="K219" s="215">
        <f t="shared" si="89"/>
        <v>1954985</v>
      </c>
      <c r="L219" s="216">
        <f t="shared" si="85"/>
        <v>1.0499736680158762</v>
      </c>
      <c r="M219" s="626"/>
      <c r="N219" s="217">
        <f t="shared" si="90"/>
        <v>1954985</v>
      </c>
      <c r="O219" s="26"/>
      <c r="P219" s="26"/>
      <c r="Q219" s="26"/>
      <c r="R219" s="26"/>
      <c r="S219" s="26"/>
      <c r="T219" s="26"/>
      <c r="U219" s="26"/>
      <c r="V219" s="26">
        <f t="shared" si="68"/>
        <v>0</v>
      </c>
      <c r="W219" s="211">
        <v>1954985</v>
      </c>
      <c r="X219" s="26"/>
    </row>
    <row r="220" spans="1:24" x14ac:dyDescent="0.2">
      <c r="A220" s="572"/>
      <c r="B220" s="22"/>
      <c r="C220" s="23" t="s">
        <v>466</v>
      </c>
      <c r="D220" s="24" t="s">
        <v>467</v>
      </c>
      <c r="E220" s="25" t="s">
        <v>625</v>
      </c>
      <c r="F220" s="211">
        <v>127425.23</v>
      </c>
      <c r="G220" s="212">
        <f t="shared" si="87"/>
        <v>1</v>
      </c>
      <c r="H220" s="213">
        <v>127425.23</v>
      </c>
      <c r="I220" s="214">
        <v>154831</v>
      </c>
      <c r="J220" s="213"/>
      <c r="K220" s="215">
        <f t="shared" si="89"/>
        <v>154831</v>
      </c>
      <c r="L220" s="216">
        <f t="shared" si="85"/>
        <v>1.2150733414410946</v>
      </c>
      <c r="M220" s="626"/>
      <c r="N220" s="217">
        <f t="shared" si="90"/>
        <v>154831</v>
      </c>
      <c r="O220" s="26"/>
      <c r="P220" s="26"/>
      <c r="Q220" s="26"/>
      <c r="R220" s="26"/>
      <c r="S220" s="26"/>
      <c r="T220" s="26"/>
      <c r="U220" s="26"/>
      <c r="V220" s="26">
        <f t="shared" si="68"/>
        <v>0</v>
      </c>
      <c r="W220" s="211">
        <v>154831</v>
      </c>
      <c r="X220" s="26"/>
    </row>
    <row r="221" spans="1:24" x14ac:dyDescent="0.2">
      <c r="A221" s="572"/>
      <c r="B221" s="22"/>
      <c r="C221" s="23" t="s">
        <v>376</v>
      </c>
      <c r="D221" s="24" t="s">
        <v>377</v>
      </c>
      <c r="E221" s="25" t="s">
        <v>626</v>
      </c>
      <c r="F221" s="211">
        <v>256037.24</v>
      </c>
      <c r="G221" s="212">
        <f t="shared" si="87"/>
        <v>0.79576058052236576</v>
      </c>
      <c r="H221" s="213">
        <v>321751.59999999998</v>
      </c>
      <c r="I221" s="214">
        <v>358373</v>
      </c>
      <c r="J221" s="213"/>
      <c r="K221" s="215">
        <f t="shared" si="89"/>
        <v>358373</v>
      </c>
      <c r="L221" s="216">
        <f t="shared" si="85"/>
        <v>1.113818859020437</v>
      </c>
      <c r="M221" s="626"/>
      <c r="N221" s="217">
        <f t="shared" si="90"/>
        <v>358373</v>
      </c>
      <c r="O221" s="26"/>
      <c r="P221" s="26"/>
      <c r="Q221" s="26"/>
      <c r="R221" s="26"/>
      <c r="S221" s="26"/>
      <c r="T221" s="26"/>
      <c r="U221" s="26"/>
      <c r="V221" s="26">
        <f t="shared" si="68"/>
        <v>0</v>
      </c>
      <c r="W221" s="211">
        <v>358373</v>
      </c>
      <c r="X221" s="26"/>
    </row>
    <row r="222" spans="1:24" x14ac:dyDescent="0.2">
      <c r="A222" s="572"/>
      <c r="B222" s="22"/>
      <c r="C222" s="23" t="s">
        <v>379</v>
      </c>
      <c r="D222" s="24" t="s">
        <v>380</v>
      </c>
      <c r="E222" s="25" t="s">
        <v>627</v>
      </c>
      <c r="F222" s="211">
        <v>31048.71</v>
      </c>
      <c r="G222" s="212">
        <f t="shared" si="87"/>
        <v>0.74627352481672871</v>
      </c>
      <c r="H222" s="213">
        <v>41605</v>
      </c>
      <c r="I222" s="214">
        <v>51244</v>
      </c>
      <c r="J222" s="213"/>
      <c r="K222" s="215">
        <f t="shared" si="89"/>
        <v>51244</v>
      </c>
      <c r="L222" s="216">
        <f t="shared" si="85"/>
        <v>1.2316788847494291</v>
      </c>
      <c r="M222" s="626"/>
      <c r="N222" s="217">
        <f t="shared" si="90"/>
        <v>51244</v>
      </c>
      <c r="O222" s="26"/>
      <c r="P222" s="26"/>
      <c r="Q222" s="26"/>
      <c r="R222" s="26"/>
      <c r="S222" s="26"/>
      <c r="T222" s="26"/>
      <c r="U222" s="26"/>
      <c r="V222" s="26">
        <f t="shared" ref="V222:V285" si="91">SUM(O222:U222)</f>
        <v>0</v>
      </c>
      <c r="W222" s="211">
        <v>51244</v>
      </c>
      <c r="X222" s="26"/>
    </row>
    <row r="223" spans="1:24" x14ac:dyDescent="0.2">
      <c r="A223" s="572"/>
      <c r="B223" s="22"/>
      <c r="C223" s="23" t="s">
        <v>398</v>
      </c>
      <c r="D223" s="24" t="s">
        <v>399</v>
      </c>
      <c r="E223" s="25" t="s">
        <v>628</v>
      </c>
      <c r="F223" s="211">
        <v>1500</v>
      </c>
      <c r="G223" s="212">
        <f t="shared" si="87"/>
        <v>0.27272727272727271</v>
      </c>
      <c r="H223" s="213">
        <v>1500</v>
      </c>
      <c r="I223" s="214">
        <v>5000</v>
      </c>
      <c r="J223" s="213"/>
      <c r="K223" s="215">
        <f t="shared" si="89"/>
        <v>5000</v>
      </c>
      <c r="L223" s="216">
        <f t="shared" si="85"/>
        <v>0.90909090909090906</v>
      </c>
      <c r="M223" s="626"/>
      <c r="N223" s="217">
        <f t="shared" si="90"/>
        <v>5000</v>
      </c>
      <c r="O223" s="26"/>
      <c r="P223" s="26"/>
      <c r="Q223" s="26"/>
      <c r="R223" s="26"/>
      <c r="S223" s="26"/>
      <c r="T223" s="26"/>
      <c r="U223" s="26"/>
      <c r="V223" s="26">
        <f t="shared" si="91"/>
        <v>0</v>
      </c>
      <c r="W223" s="211">
        <v>5000</v>
      </c>
      <c r="X223" s="26"/>
    </row>
    <row r="224" spans="1:24" x14ac:dyDescent="0.2">
      <c r="A224" s="572"/>
      <c r="B224" s="22"/>
      <c r="C224" s="23" t="s">
        <v>382</v>
      </c>
      <c r="D224" s="24" t="s">
        <v>383</v>
      </c>
      <c r="E224" s="25" t="s">
        <v>629</v>
      </c>
      <c r="F224" s="211">
        <v>68091.42</v>
      </c>
      <c r="G224" s="212">
        <f t="shared" si="87"/>
        <v>0.69678700804322469</v>
      </c>
      <c r="H224" s="213">
        <v>97722</v>
      </c>
      <c r="I224" s="214">
        <v>95000</v>
      </c>
      <c r="J224" s="213"/>
      <c r="K224" s="215">
        <f t="shared" si="89"/>
        <v>95000</v>
      </c>
      <c r="L224" s="216">
        <f t="shared" si="85"/>
        <v>0.97214547389533579</v>
      </c>
      <c r="M224" s="626"/>
      <c r="N224" s="217">
        <f t="shared" si="90"/>
        <v>95000</v>
      </c>
      <c r="O224" s="26"/>
      <c r="P224" s="26"/>
      <c r="Q224" s="26"/>
      <c r="R224" s="26"/>
      <c r="S224" s="26"/>
      <c r="T224" s="26"/>
      <c r="U224" s="26"/>
      <c r="V224" s="26">
        <f t="shared" si="91"/>
        <v>0</v>
      </c>
      <c r="W224" s="211">
        <v>95000</v>
      </c>
      <c r="X224" s="26"/>
    </row>
    <row r="225" spans="1:24" x14ac:dyDescent="0.2">
      <c r="A225" s="572"/>
      <c r="B225" s="22"/>
      <c r="C225" s="23" t="s">
        <v>630</v>
      </c>
      <c r="D225" s="24" t="s">
        <v>631</v>
      </c>
      <c r="E225" s="25" t="s">
        <v>632</v>
      </c>
      <c r="F225" s="211">
        <v>189378.64</v>
      </c>
      <c r="G225" s="212">
        <f t="shared" si="87"/>
        <v>0.64855698630136993</v>
      </c>
      <c r="H225" s="213">
        <v>281964.2</v>
      </c>
      <c r="I225" s="214">
        <v>355000</v>
      </c>
      <c r="J225" s="213"/>
      <c r="K225" s="215">
        <f t="shared" si="89"/>
        <v>355000</v>
      </c>
      <c r="L225" s="216">
        <f t="shared" si="85"/>
        <v>1.2157534246575343</v>
      </c>
      <c r="M225" s="626"/>
      <c r="N225" s="217">
        <f t="shared" si="90"/>
        <v>355000</v>
      </c>
      <c r="O225" s="26"/>
      <c r="P225" s="26"/>
      <c r="Q225" s="26"/>
      <c r="R225" s="26"/>
      <c r="S225" s="26"/>
      <c r="T225" s="26"/>
      <c r="U225" s="26"/>
      <c r="V225" s="26">
        <f t="shared" si="91"/>
        <v>0</v>
      </c>
      <c r="W225" s="211">
        <v>355000</v>
      </c>
      <c r="X225" s="26"/>
    </row>
    <row r="226" spans="1:24" x14ac:dyDescent="0.2">
      <c r="A226" s="572"/>
      <c r="B226" s="22"/>
      <c r="C226" s="23" t="s">
        <v>498</v>
      </c>
      <c r="D226" s="24" t="s">
        <v>499</v>
      </c>
      <c r="E226" s="25" t="s">
        <v>633</v>
      </c>
      <c r="F226" s="211">
        <v>1642.64</v>
      </c>
      <c r="G226" s="212">
        <f t="shared" si="87"/>
        <v>0.26709593495934963</v>
      </c>
      <c r="H226" s="213">
        <v>6150</v>
      </c>
      <c r="I226" s="214">
        <v>8500</v>
      </c>
      <c r="J226" s="213"/>
      <c r="K226" s="215">
        <f t="shared" si="89"/>
        <v>8500</v>
      </c>
      <c r="L226" s="216">
        <f t="shared" si="85"/>
        <v>1.3821138211382114</v>
      </c>
      <c r="M226" s="626"/>
      <c r="N226" s="217">
        <f t="shared" si="90"/>
        <v>8500</v>
      </c>
      <c r="O226" s="26"/>
      <c r="P226" s="26"/>
      <c r="Q226" s="26"/>
      <c r="R226" s="26"/>
      <c r="S226" s="26"/>
      <c r="T226" s="26"/>
      <c r="U226" s="26"/>
      <c r="V226" s="26">
        <f t="shared" si="91"/>
        <v>0</v>
      </c>
      <c r="W226" s="211">
        <v>8500</v>
      </c>
      <c r="X226" s="26"/>
    </row>
    <row r="227" spans="1:24" x14ac:dyDescent="0.2">
      <c r="A227" s="572"/>
      <c r="B227" s="22"/>
      <c r="C227" s="23" t="s">
        <v>401</v>
      </c>
      <c r="D227" s="24" t="s">
        <v>402</v>
      </c>
      <c r="E227" s="25" t="s">
        <v>634</v>
      </c>
      <c r="F227" s="211">
        <v>158726.20000000001</v>
      </c>
      <c r="G227" s="212">
        <f t="shared" si="87"/>
        <v>0.62754495279363631</v>
      </c>
      <c r="H227" s="213">
        <v>245691.64</v>
      </c>
      <c r="I227" s="214">
        <v>248000</v>
      </c>
      <c r="J227" s="213"/>
      <c r="K227" s="215">
        <f t="shared" si="89"/>
        <v>248000</v>
      </c>
      <c r="L227" s="216">
        <f t="shared" si="85"/>
        <v>0.98050068793193423</v>
      </c>
      <c r="M227" s="626"/>
      <c r="N227" s="217">
        <f t="shared" si="90"/>
        <v>248000</v>
      </c>
      <c r="O227" s="26"/>
      <c r="P227" s="26"/>
      <c r="Q227" s="26"/>
      <c r="R227" s="26"/>
      <c r="S227" s="26"/>
      <c r="T227" s="26"/>
      <c r="U227" s="26"/>
      <c r="V227" s="26">
        <f t="shared" si="91"/>
        <v>0</v>
      </c>
      <c r="W227" s="211">
        <v>248000</v>
      </c>
      <c r="X227" s="26"/>
    </row>
    <row r="228" spans="1:24" x14ac:dyDescent="0.2">
      <c r="A228" s="572"/>
      <c r="B228" s="22"/>
      <c r="C228" s="23" t="s">
        <v>416</v>
      </c>
      <c r="D228" s="24" t="s">
        <v>417</v>
      </c>
      <c r="E228" s="25" t="s">
        <v>372</v>
      </c>
      <c r="F228" s="211">
        <v>8940.94</v>
      </c>
      <c r="G228" s="212">
        <f t="shared" si="87"/>
        <v>0.52593764705882351</v>
      </c>
      <c r="H228" s="213">
        <v>15921.25</v>
      </c>
      <c r="I228" s="214">
        <v>10500</v>
      </c>
      <c r="J228" s="213"/>
      <c r="K228" s="215">
        <f t="shared" si="89"/>
        <v>10500</v>
      </c>
      <c r="L228" s="216">
        <f t="shared" si="85"/>
        <v>0.61764705882352944</v>
      </c>
      <c r="M228" s="626"/>
      <c r="N228" s="217">
        <f t="shared" si="90"/>
        <v>10500</v>
      </c>
      <c r="O228" s="26"/>
      <c r="P228" s="26"/>
      <c r="Q228" s="26"/>
      <c r="R228" s="26"/>
      <c r="S228" s="26"/>
      <c r="T228" s="26"/>
      <c r="U228" s="26"/>
      <c r="V228" s="26">
        <f t="shared" si="91"/>
        <v>0</v>
      </c>
      <c r="W228" s="211">
        <v>10500</v>
      </c>
      <c r="X228" s="26"/>
    </row>
    <row r="229" spans="1:24" x14ac:dyDescent="0.2">
      <c r="A229" s="572"/>
      <c r="B229" s="22"/>
      <c r="C229" s="23" t="s">
        <v>502</v>
      </c>
      <c r="D229" s="24" t="s">
        <v>503</v>
      </c>
      <c r="E229" s="25" t="s">
        <v>635</v>
      </c>
      <c r="F229" s="211">
        <v>2890</v>
      </c>
      <c r="G229" s="212">
        <f t="shared" si="87"/>
        <v>0.67209302325581399</v>
      </c>
      <c r="H229" s="213">
        <v>2890</v>
      </c>
      <c r="I229" s="214">
        <v>4000</v>
      </c>
      <c r="J229" s="213"/>
      <c r="K229" s="215">
        <f t="shared" si="89"/>
        <v>4000</v>
      </c>
      <c r="L229" s="216">
        <f t="shared" si="85"/>
        <v>0.93023255813953487</v>
      </c>
      <c r="M229" s="626"/>
      <c r="N229" s="217">
        <f t="shared" si="90"/>
        <v>4000</v>
      </c>
      <c r="O229" s="26"/>
      <c r="P229" s="26"/>
      <c r="Q229" s="26"/>
      <c r="R229" s="26"/>
      <c r="S229" s="26"/>
      <c r="T229" s="26"/>
      <c r="U229" s="26"/>
      <c r="V229" s="26">
        <f t="shared" si="91"/>
        <v>0</v>
      </c>
      <c r="W229" s="211">
        <v>4000</v>
      </c>
      <c r="X229" s="26"/>
    </row>
    <row r="230" spans="1:24" x14ac:dyDescent="0.2">
      <c r="A230" s="572"/>
      <c r="B230" s="22"/>
      <c r="C230" s="23" t="s">
        <v>386</v>
      </c>
      <c r="D230" s="24" t="s">
        <v>387</v>
      </c>
      <c r="E230" s="25" t="s">
        <v>636</v>
      </c>
      <c r="F230" s="211">
        <v>47795</v>
      </c>
      <c r="G230" s="212">
        <f t="shared" si="87"/>
        <v>0.8288533573806881</v>
      </c>
      <c r="H230" s="213">
        <v>57664</v>
      </c>
      <c r="I230" s="214">
        <v>59000</v>
      </c>
      <c r="J230" s="213"/>
      <c r="K230" s="215">
        <f t="shared" si="89"/>
        <v>59000</v>
      </c>
      <c r="L230" s="216">
        <f t="shared" si="85"/>
        <v>1.0231687014428412</v>
      </c>
      <c r="M230" s="626"/>
      <c r="N230" s="217">
        <f t="shared" si="90"/>
        <v>59000</v>
      </c>
      <c r="O230" s="26"/>
      <c r="P230" s="26"/>
      <c r="Q230" s="26"/>
      <c r="R230" s="26"/>
      <c r="S230" s="26"/>
      <c r="T230" s="26"/>
      <c r="U230" s="26"/>
      <c r="V230" s="26">
        <f t="shared" si="91"/>
        <v>0</v>
      </c>
      <c r="W230" s="211">
        <v>59000</v>
      </c>
      <c r="X230" s="26"/>
    </row>
    <row r="231" spans="1:24" ht="22.5" x14ac:dyDescent="0.2">
      <c r="A231" s="572"/>
      <c r="B231" s="22"/>
      <c r="C231" s="23" t="s">
        <v>506</v>
      </c>
      <c r="D231" s="24" t="s">
        <v>507</v>
      </c>
      <c r="E231" s="25" t="s">
        <v>637</v>
      </c>
      <c r="F231" s="211">
        <v>4497.97</v>
      </c>
      <c r="G231" s="212">
        <f t="shared" si="87"/>
        <v>0.54853292682926835</v>
      </c>
      <c r="H231" s="213">
        <v>5997.29</v>
      </c>
      <c r="I231" s="214">
        <v>7500</v>
      </c>
      <c r="J231" s="213"/>
      <c r="K231" s="215">
        <f t="shared" si="89"/>
        <v>7500</v>
      </c>
      <c r="L231" s="216">
        <f t="shared" si="85"/>
        <v>0.91463414634146345</v>
      </c>
      <c r="M231" s="626"/>
      <c r="N231" s="217">
        <f t="shared" si="90"/>
        <v>7500</v>
      </c>
      <c r="O231" s="26"/>
      <c r="P231" s="26"/>
      <c r="Q231" s="26"/>
      <c r="R231" s="26"/>
      <c r="S231" s="26"/>
      <c r="T231" s="26"/>
      <c r="U231" s="26"/>
      <c r="V231" s="26">
        <f t="shared" si="91"/>
        <v>0</v>
      </c>
      <c r="W231" s="211">
        <v>7500</v>
      </c>
      <c r="X231" s="26"/>
    </row>
    <row r="232" spans="1:24" x14ac:dyDescent="0.2">
      <c r="A232" s="572"/>
      <c r="B232" s="22"/>
      <c r="C232" s="23" t="s">
        <v>473</v>
      </c>
      <c r="D232" s="24" t="s">
        <v>474</v>
      </c>
      <c r="E232" s="25" t="s">
        <v>573</v>
      </c>
      <c r="F232" s="211">
        <v>1002.1</v>
      </c>
      <c r="G232" s="212">
        <f t="shared" si="87"/>
        <v>0.28631428571428574</v>
      </c>
      <c r="H232" s="213">
        <v>3500</v>
      </c>
      <c r="I232" s="214">
        <v>3500</v>
      </c>
      <c r="J232" s="213"/>
      <c r="K232" s="215">
        <f t="shared" si="89"/>
        <v>3500</v>
      </c>
      <c r="L232" s="216">
        <f t="shared" si="85"/>
        <v>1</v>
      </c>
      <c r="M232" s="626"/>
      <c r="N232" s="217">
        <f t="shared" si="90"/>
        <v>3500</v>
      </c>
      <c r="O232" s="26"/>
      <c r="P232" s="26"/>
      <c r="Q232" s="26"/>
      <c r="R232" s="26"/>
      <c r="S232" s="26"/>
      <c r="T232" s="26"/>
      <c r="U232" s="26"/>
      <c r="V232" s="26">
        <f t="shared" si="91"/>
        <v>0</v>
      </c>
      <c r="W232" s="211">
        <v>3500</v>
      </c>
      <c r="X232" s="26"/>
    </row>
    <row r="233" spans="1:24" x14ac:dyDescent="0.2">
      <c r="A233" s="572"/>
      <c r="B233" s="22"/>
      <c r="C233" s="23" t="s">
        <v>390</v>
      </c>
      <c r="D233" s="24" t="s">
        <v>391</v>
      </c>
      <c r="E233" s="25" t="s">
        <v>638</v>
      </c>
      <c r="F233" s="211">
        <v>277</v>
      </c>
      <c r="G233" s="212">
        <f t="shared" si="87"/>
        <v>0.23277310924369748</v>
      </c>
      <c r="H233" s="213">
        <v>1108</v>
      </c>
      <c r="I233" s="214">
        <v>1290</v>
      </c>
      <c r="J233" s="213"/>
      <c r="K233" s="215">
        <f t="shared" si="89"/>
        <v>1290</v>
      </c>
      <c r="L233" s="216">
        <f t="shared" si="85"/>
        <v>1.0840336134453781</v>
      </c>
      <c r="M233" s="626"/>
      <c r="N233" s="217">
        <f t="shared" si="90"/>
        <v>1290</v>
      </c>
      <c r="O233" s="26"/>
      <c r="P233" s="26"/>
      <c r="Q233" s="26"/>
      <c r="R233" s="26"/>
      <c r="S233" s="26"/>
      <c r="T233" s="26"/>
      <c r="U233" s="26"/>
      <c r="V233" s="26">
        <f t="shared" si="91"/>
        <v>0</v>
      </c>
      <c r="W233" s="211">
        <v>1290</v>
      </c>
      <c r="X233" s="26"/>
    </row>
    <row r="234" spans="1:24" ht="22.5" x14ac:dyDescent="0.2">
      <c r="A234" s="572"/>
      <c r="B234" s="22"/>
      <c r="C234" s="23" t="s">
        <v>515</v>
      </c>
      <c r="D234" s="24" t="s">
        <v>516</v>
      </c>
      <c r="E234" s="25" t="s">
        <v>639</v>
      </c>
      <c r="F234" s="211">
        <v>106966</v>
      </c>
      <c r="G234" s="212">
        <f t="shared" si="87"/>
        <v>1</v>
      </c>
      <c r="H234" s="213">
        <v>106966</v>
      </c>
      <c r="I234" s="214">
        <v>108733</v>
      </c>
      <c r="J234" s="213"/>
      <c r="K234" s="215">
        <f t="shared" si="89"/>
        <v>108733</v>
      </c>
      <c r="L234" s="216">
        <f t="shared" si="85"/>
        <v>1.016519267804723</v>
      </c>
      <c r="M234" s="626"/>
      <c r="N234" s="217">
        <f t="shared" si="90"/>
        <v>108733</v>
      </c>
      <c r="O234" s="26"/>
      <c r="P234" s="26"/>
      <c r="Q234" s="26"/>
      <c r="R234" s="26"/>
      <c r="S234" s="26"/>
      <c r="T234" s="26"/>
      <c r="U234" s="26"/>
      <c r="V234" s="26">
        <f t="shared" si="91"/>
        <v>0</v>
      </c>
      <c r="W234" s="211">
        <v>108733</v>
      </c>
      <c r="X234" s="26"/>
    </row>
    <row r="235" spans="1:24" x14ac:dyDescent="0.2">
      <c r="A235" s="572"/>
      <c r="B235" s="22"/>
      <c r="C235" s="583" t="s">
        <v>605</v>
      </c>
      <c r="D235" s="584" t="s">
        <v>606</v>
      </c>
      <c r="E235" s="585" t="s">
        <v>640</v>
      </c>
      <c r="F235" s="211">
        <v>317</v>
      </c>
      <c r="G235" s="212">
        <f t="shared" si="87"/>
        <v>0.89295774647887327</v>
      </c>
      <c r="H235" s="213">
        <v>317</v>
      </c>
      <c r="I235" s="214">
        <v>345</v>
      </c>
      <c r="J235" s="213"/>
      <c r="K235" s="215">
        <f t="shared" si="89"/>
        <v>345</v>
      </c>
      <c r="L235" s="216">
        <f t="shared" si="85"/>
        <v>0.971830985915493</v>
      </c>
      <c r="M235" s="626"/>
      <c r="N235" s="217">
        <f t="shared" si="90"/>
        <v>345</v>
      </c>
      <c r="O235" s="26"/>
      <c r="P235" s="26"/>
      <c r="Q235" s="26"/>
      <c r="R235" s="26"/>
      <c r="S235" s="26"/>
      <c r="T235" s="26"/>
      <c r="U235" s="26"/>
      <c r="V235" s="26">
        <f t="shared" si="91"/>
        <v>0</v>
      </c>
      <c r="W235" s="211">
        <v>345</v>
      </c>
      <c r="X235" s="26"/>
    </row>
    <row r="236" spans="1:24" ht="22.5" x14ac:dyDescent="0.2">
      <c r="A236" s="572"/>
      <c r="B236" s="22"/>
      <c r="C236" s="99" t="s">
        <v>475</v>
      </c>
      <c r="D236" s="596" t="s">
        <v>476</v>
      </c>
      <c r="E236" s="621">
        <v>0</v>
      </c>
      <c r="F236" s="86">
        <v>0</v>
      </c>
      <c r="G236" s="237">
        <v>0</v>
      </c>
      <c r="H236" s="299">
        <v>0</v>
      </c>
      <c r="I236" s="300">
        <v>700</v>
      </c>
      <c r="J236" s="299"/>
      <c r="K236" s="622">
        <f t="shared" si="89"/>
        <v>700</v>
      </c>
      <c r="L236" s="289" t="e">
        <f t="shared" si="85"/>
        <v>#DIV/0!</v>
      </c>
      <c r="M236" s="626"/>
      <c r="N236" s="217">
        <f t="shared" si="90"/>
        <v>700</v>
      </c>
      <c r="O236" s="26"/>
      <c r="P236" s="26"/>
      <c r="Q236" s="26"/>
      <c r="R236" s="26"/>
      <c r="S236" s="26"/>
      <c r="T236" s="26"/>
      <c r="U236" s="26"/>
      <c r="V236" s="26">
        <f t="shared" si="91"/>
        <v>0</v>
      </c>
      <c r="W236" s="211">
        <v>700</v>
      </c>
      <c r="X236" s="26"/>
    </row>
    <row r="237" spans="1:24" ht="22.5" x14ac:dyDescent="0.2">
      <c r="A237" s="572"/>
      <c r="B237" s="22"/>
      <c r="C237" s="23" t="s">
        <v>453</v>
      </c>
      <c r="D237" s="49" t="s">
        <v>454</v>
      </c>
      <c r="E237" s="50">
        <v>0</v>
      </c>
      <c r="F237" s="211">
        <v>0</v>
      </c>
      <c r="G237" s="212">
        <v>0</v>
      </c>
      <c r="H237" s="213">
        <v>0</v>
      </c>
      <c r="I237" s="214">
        <v>13000</v>
      </c>
      <c r="J237" s="213"/>
      <c r="K237" s="215">
        <f t="shared" si="89"/>
        <v>13000</v>
      </c>
      <c r="L237" s="216" t="e">
        <f t="shared" si="85"/>
        <v>#DIV/0!</v>
      </c>
      <c r="M237" s="626"/>
      <c r="N237" s="217">
        <f t="shared" si="90"/>
        <v>13000</v>
      </c>
      <c r="O237" s="26"/>
      <c r="P237" s="26"/>
      <c r="Q237" s="26"/>
      <c r="R237" s="26"/>
      <c r="S237" s="26"/>
      <c r="T237" s="26"/>
      <c r="U237" s="26"/>
      <c r="V237" s="26">
        <f t="shared" si="91"/>
        <v>0</v>
      </c>
      <c r="W237" s="211">
        <v>13000</v>
      </c>
      <c r="X237" s="26"/>
    </row>
    <row r="238" spans="1:24" ht="15" x14ac:dyDescent="0.2">
      <c r="A238" s="571"/>
      <c r="B238" s="15" t="s">
        <v>214</v>
      </c>
      <c r="C238" s="16"/>
      <c r="D238" s="17" t="s">
        <v>215</v>
      </c>
      <c r="E238" s="54">
        <f>E239+E240+E241+E242+E243+E244+E245+E246+E247+E248+E249+E250+E252+E253+E254+E255+E256+E257+E258+E251</f>
        <v>4594127.47</v>
      </c>
      <c r="F238" s="54">
        <f t="shared" ref="F238" si="92">F239+F240+F241+F242+F243+F244+F245+F246+F247+F248+F249+F250+F252+F253+F254+F255+F256+F257+F258+F251</f>
        <v>3436695.1300000004</v>
      </c>
      <c r="G238" s="240">
        <f t="shared" si="87"/>
        <v>0.74806264137028844</v>
      </c>
      <c r="H238" s="54">
        <f>H239+H240+H241+H242+H243+H244+H245+H246+H247+H248+H249+H250+H252+H253+H254+H255+H256+H257+H258+H251</f>
        <v>4600980.45</v>
      </c>
      <c r="I238" s="56">
        <f t="shared" ref="I238:X238" si="93">I239+I240+I241+I242+I243+I244+I245+I246+I247+I248+I249+I250+I252+I253+I254+I255+I256+I257+I258+I251</f>
        <v>4601027</v>
      </c>
      <c r="J238" s="114">
        <f t="shared" si="93"/>
        <v>-122200</v>
      </c>
      <c r="K238" s="238">
        <f t="shared" si="93"/>
        <v>4478827</v>
      </c>
      <c r="L238" s="219">
        <f t="shared" si="85"/>
        <v>0.97490264021777351</v>
      </c>
      <c r="M238" s="239"/>
      <c r="N238" s="210">
        <f t="shared" si="93"/>
        <v>4478827</v>
      </c>
      <c r="O238" s="95">
        <f t="shared" si="93"/>
        <v>1945144</v>
      </c>
      <c r="P238" s="95">
        <f t="shared" si="93"/>
        <v>0</v>
      </c>
      <c r="Q238" s="95">
        <f t="shared" si="93"/>
        <v>0</v>
      </c>
      <c r="R238" s="95">
        <f t="shared" si="93"/>
        <v>0</v>
      </c>
      <c r="S238" s="95">
        <f t="shared" si="93"/>
        <v>0</v>
      </c>
      <c r="T238" s="95">
        <f t="shared" si="93"/>
        <v>0</v>
      </c>
      <c r="U238" s="95">
        <f t="shared" si="93"/>
        <v>0</v>
      </c>
      <c r="V238" s="26">
        <f t="shared" si="91"/>
        <v>1945144</v>
      </c>
      <c r="W238" s="95">
        <f t="shared" si="93"/>
        <v>2533683</v>
      </c>
      <c r="X238" s="95">
        <f t="shared" si="93"/>
        <v>0</v>
      </c>
    </row>
    <row r="239" spans="1:24" ht="45" x14ac:dyDescent="0.2">
      <c r="A239" s="572"/>
      <c r="B239" s="22"/>
      <c r="C239" s="23" t="s">
        <v>641</v>
      </c>
      <c r="D239" s="24" t="s">
        <v>642</v>
      </c>
      <c r="E239" s="25" t="s">
        <v>643</v>
      </c>
      <c r="F239" s="211">
        <v>1018952</v>
      </c>
      <c r="G239" s="212">
        <f t="shared" si="87"/>
        <v>0.79006655790786107</v>
      </c>
      <c r="H239" s="213">
        <v>1289704</v>
      </c>
      <c r="I239" s="214">
        <v>1400000</v>
      </c>
      <c r="J239" s="213">
        <v>-100000</v>
      </c>
      <c r="K239" s="215">
        <f>I239+J239</f>
        <v>1300000</v>
      </c>
      <c r="L239" s="216">
        <f t="shared" si="85"/>
        <v>1.0079832271591</v>
      </c>
      <c r="M239" s="626"/>
      <c r="N239" s="217">
        <f>V239+W239+X239</f>
        <v>1300000</v>
      </c>
      <c r="O239" s="26">
        <v>1300000</v>
      </c>
      <c r="P239" s="26"/>
      <c r="Q239" s="26"/>
      <c r="R239" s="26"/>
      <c r="S239" s="26"/>
      <c r="T239" s="26"/>
      <c r="U239" s="26"/>
      <c r="V239" s="26">
        <f t="shared" si="91"/>
        <v>1300000</v>
      </c>
      <c r="W239" s="26"/>
      <c r="X239" s="26"/>
    </row>
    <row r="240" spans="1:24" ht="22.5" x14ac:dyDescent="0.2">
      <c r="A240" s="572"/>
      <c r="B240" s="22"/>
      <c r="C240" s="23" t="s">
        <v>620</v>
      </c>
      <c r="D240" s="24" t="s">
        <v>621</v>
      </c>
      <c r="E240" s="25" t="s">
        <v>644</v>
      </c>
      <c r="F240" s="211">
        <v>436783</v>
      </c>
      <c r="G240" s="212">
        <f t="shared" si="87"/>
        <v>0.69236012370395383</v>
      </c>
      <c r="H240" s="213">
        <v>599362</v>
      </c>
      <c r="I240" s="214">
        <v>665144</v>
      </c>
      <c r="J240" s="213">
        <v>-20000</v>
      </c>
      <c r="K240" s="215">
        <f t="shared" ref="K240:K258" si="94">I240+J240</f>
        <v>645144</v>
      </c>
      <c r="L240" s="216">
        <f t="shared" si="85"/>
        <v>1.022640486573112</v>
      </c>
      <c r="M240" s="626"/>
      <c r="N240" s="217">
        <f t="shared" ref="N240:N258" si="95">V240+W240+X240</f>
        <v>645144</v>
      </c>
      <c r="O240" s="26">
        <v>645144</v>
      </c>
      <c r="P240" s="26"/>
      <c r="Q240" s="26"/>
      <c r="R240" s="26"/>
      <c r="S240" s="26"/>
      <c r="T240" s="26"/>
      <c r="U240" s="26"/>
      <c r="V240" s="26">
        <f t="shared" si="91"/>
        <v>645144</v>
      </c>
      <c r="W240" s="26"/>
      <c r="X240" s="26"/>
    </row>
    <row r="241" spans="1:24" ht="33.75" x14ac:dyDescent="0.2">
      <c r="A241" s="572"/>
      <c r="B241" s="22"/>
      <c r="C241" s="23" t="s">
        <v>363</v>
      </c>
      <c r="D241" s="24" t="s">
        <v>364</v>
      </c>
      <c r="E241" s="25" t="s">
        <v>645</v>
      </c>
      <c r="F241" s="211">
        <v>15024.31</v>
      </c>
      <c r="G241" s="212">
        <f t="shared" si="87"/>
        <v>1</v>
      </c>
      <c r="H241" s="213">
        <v>15021.31</v>
      </c>
      <c r="I241" s="214">
        <v>0</v>
      </c>
      <c r="J241" s="213"/>
      <c r="K241" s="215">
        <f t="shared" si="94"/>
        <v>0</v>
      </c>
      <c r="L241" s="216">
        <f t="shared" si="85"/>
        <v>0</v>
      </c>
      <c r="M241" s="626"/>
      <c r="N241" s="217">
        <f t="shared" si="95"/>
        <v>0</v>
      </c>
      <c r="O241" s="26">
        <v>0</v>
      </c>
      <c r="P241" s="26"/>
      <c r="Q241" s="26"/>
      <c r="R241" s="26"/>
      <c r="S241" s="26"/>
      <c r="T241" s="26"/>
      <c r="U241" s="26"/>
      <c r="V241" s="26">
        <f t="shared" si="91"/>
        <v>0</v>
      </c>
      <c r="W241" s="26"/>
      <c r="X241" s="26"/>
    </row>
    <row r="242" spans="1:24" ht="22.5" x14ac:dyDescent="0.2">
      <c r="A242" s="572"/>
      <c r="B242" s="22"/>
      <c r="C242" s="23" t="s">
        <v>488</v>
      </c>
      <c r="D242" s="24" t="s">
        <v>489</v>
      </c>
      <c r="E242" s="25" t="s">
        <v>646</v>
      </c>
      <c r="F242" s="211">
        <v>55328.05</v>
      </c>
      <c r="G242" s="212">
        <f t="shared" si="87"/>
        <v>0.68069252725080587</v>
      </c>
      <c r="H242" s="213">
        <v>78558.210000000006</v>
      </c>
      <c r="I242" s="214">
        <v>42967</v>
      </c>
      <c r="J242" s="213"/>
      <c r="K242" s="215">
        <f t="shared" si="94"/>
        <v>42967</v>
      </c>
      <c r="L242" s="216">
        <f t="shared" si="85"/>
        <v>0.52861642184001378</v>
      </c>
      <c r="M242" s="626"/>
      <c r="N242" s="217">
        <f t="shared" si="95"/>
        <v>42967</v>
      </c>
      <c r="O242" s="26"/>
      <c r="P242" s="26"/>
      <c r="Q242" s="26"/>
      <c r="R242" s="26"/>
      <c r="S242" s="26"/>
      <c r="T242" s="26"/>
      <c r="U242" s="26"/>
      <c r="V242" s="26">
        <f t="shared" si="91"/>
        <v>0</v>
      </c>
      <c r="W242" s="211">
        <v>42967</v>
      </c>
      <c r="X242" s="26"/>
    </row>
    <row r="243" spans="1:24" x14ac:dyDescent="0.2">
      <c r="A243" s="572"/>
      <c r="B243" s="22"/>
      <c r="C243" s="23" t="s">
        <v>588</v>
      </c>
      <c r="D243" s="24" t="s">
        <v>589</v>
      </c>
      <c r="E243" s="25" t="s">
        <v>647</v>
      </c>
      <c r="F243" s="211">
        <v>1100</v>
      </c>
      <c r="G243" s="212">
        <f t="shared" si="87"/>
        <v>0.6875</v>
      </c>
      <c r="H243" s="213">
        <v>1000</v>
      </c>
      <c r="I243" s="214">
        <v>2200</v>
      </c>
      <c r="J243" s="213">
        <v>-2200</v>
      </c>
      <c r="K243" s="215">
        <f t="shared" si="94"/>
        <v>0</v>
      </c>
      <c r="L243" s="216">
        <f t="shared" si="85"/>
        <v>0</v>
      </c>
      <c r="M243" s="626"/>
      <c r="N243" s="217">
        <f t="shared" si="95"/>
        <v>0</v>
      </c>
      <c r="O243" s="26"/>
      <c r="P243" s="26"/>
      <c r="Q243" s="26"/>
      <c r="R243" s="26"/>
      <c r="S243" s="26"/>
      <c r="T243" s="26"/>
      <c r="U243" s="26"/>
      <c r="V243" s="26">
        <f t="shared" si="91"/>
        <v>0</v>
      </c>
      <c r="W243" s="211">
        <v>0</v>
      </c>
      <c r="X243" s="26"/>
    </row>
    <row r="244" spans="1:24" x14ac:dyDescent="0.2">
      <c r="A244" s="572"/>
      <c r="B244" s="22"/>
      <c r="C244" s="23" t="s">
        <v>373</v>
      </c>
      <c r="D244" s="24" t="s">
        <v>374</v>
      </c>
      <c r="E244" s="25" t="s">
        <v>648</v>
      </c>
      <c r="F244" s="211">
        <v>1197839.8</v>
      </c>
      <c r="G244" s="212">
        <f t="shared" si="87"/>
        <v>0.73339516840646923</v>
      </c>
      <c r="H244" s="213">
        <v>1633280.19</v>
      </c>
      <c r="I244" s="214">
        <v>1604605</v>
      </c>
      <c r="J244" s="213"/>
      <c r="K244" s="215">
        <f t="shared" si="94"/>
        <v>1604605</v>
      </c>
      <c r="L244" s="216">
        <f t="shared" si="85"/>
        <v>0.98244318998322022</v>
      </c>
      <c r="M244" s="626"/>
      <c r="N244" s="217">
        <f t="shared" si="95"/>
        <v>1604605</v>
      </c>
      <c r="O244" s="26"/>
      <c r="P244" s="26"/>
      <c r="Q244" s="26"/>
      <c r="R244" s="26"/>
      <c r="S244" s="26"/>
      <c r="T244" s="26"/>
      <c r="U244" s="26"/>
      <c r="V244" s="26">
        <f t="shared" si="91"/>
        <v>0</v>
      </c>
      <c r="W244" s="211">
        <v>1604605</v>
      </c>
      <c r="X244" s="26"/>
    </row>
    <row r="245" spans="1:24" x14ac:dyDescent="0.2">
      <c r="A245" s="572"/>
      <c r="B245" s="22"/>
      <c r="C245" s="23" t="s">
        <v>466</v>
      </c>
      <c r="D245" s="24" t="s">
        <v>467</v>
      </c>
      <c r="E245" s="25" t="s">
        <v>649</v>
      </c>
      <c r="F245" s="211">
        <v>131471.28</v>
      </c>
      <c r="G245" s="212">
        <f t="shared" si="87"/>
        <v>0.99753763036928111</v>
      </c>
      <c r="H245" s="213">
        <v>131471.28</v>
      </c>
      <c r="I245" s="214">
        <v>130189</v>
      </c>
      <c r="J245" s="213"/>
      <c r="K245" s="215">
        <f t="shared" si="94"/>
        <v>130189</v>
      </c>
      <c r="L245" s="216">
        <f t="shared" si="85"/>
        <v>0.98780833776126875</v>
      </c>
      <c r="M245" s="626"/>
      <c r="N245" s="217">
        <f t="shared" si="95"/>
        <v>130189</v>
      </c>
      <c r="O245" s="26"/>
      <c r="P245" s="26"/>
      <c r="Q245" s="26"/>
      <c r="R245" s="26"/>
      <c r="S245" s="26"/>
      <c r="T245" s="26"/>
      <c r="U245" s="26"/>
      <c r="V245" s="26">
        <f t="shared" si="91"/>
        <v>0</v>
      </c>
      <c r="W245" s="211">
        <v>130189</v>
      </c>
      <c r="X245" s="26"/>
    </row>
    <row r="246" spans="1:24" x14ac:dyDescent="0.2">
      <c r="A246" s="572"/>
      <c r="B246" s="22"/>
      <c r="C246" s="23" t="s">
        <v>376</v>
      </c>
      <c r="D246" s="24" t="s">
        <v>377</v>
      </c>
      <c r="E246" s="25" t="s">
        <v>650</v>
      </c>
      <c r="F246" s="211">
        <v>238979.79</v>
      </c>
      <c r="G246" s="212">
        <f t="shared" si="87"/>
        <v>0.75605461137404772</v>
      </c>
      <c r="H246" s="213">
        <v>316088</v>
      </c>
      <c r="I246" s="214">
        <v>302791</v>
      </c>
      <c r="J246" s="213"/>
      <c r="K246" s="215">
        <f t="shared" si="94"/>
        <v>302791</v>
      </c>
      <c r="L246" s="216">
        <f t="shared" si="85"/>
        <v>0.95793260104780942</v>
      </c>
      <c r="M246" s="626"/>
      <c r="N246" s="217">
        <f t="shared" si="95"/>
        <v>302791</v>
      </c>
      <c r="O246" s="26"/>
      <c r="P246" s="26"/>
      <c r="Q246" s="26"/>
      <c r="R246" s="26"/>
      <c r="S246" s="26"/>
      <c r="T246" s="26"/>
      <c r="U246" s="26"/>
      <c r="V246" s="26">
        <f t="shared" si="91"/>
        <v>0</v>
      </c>
      <c r="W246" s="211">
        <v>302791</v>
      </c>
      <c r="X246" s="26"/>
    </row>
    <row r="247" spans="1:24" x14ac:dyDescent="0.2">
      <c r="A247" s="572"/>
      <c r="B247" s="22"/>
      <c r="C247" s="23" t="s">
        <v>379</v>
      </c>
      <c r="D247" s="24" t="s">
        <v>380</v>
      </c>
      <c r="E247" s="25" t="s">
        <v>651</v>
      </c>
      <c r="F247" s="211">
        <v>29276.85</v>
      </c>
      <c r="G247" s="212">
        <f t="shared" si="87"/>
        <v>0.66133976371727388</v>
      </c>
      <c r="H247" s="213">
        <v>44269</v>
      </c>
      <c r="I247" s="214">
        <v>43212</v>
      </c>
      <c r="J247" s="213"/>
      <c r="K247" s="215">
        <f t="shared" si="94"/>
        <v>43212</v>
      </c>
      <c r="L247" s="216">
        <f t="shared" si="85"/>
        <v>0.97612324651562044</v>
      </c>
      <c r="M247" s="626"/>
      <c r="N247" s="217">
        <f t="shared" si="95"/>
        <v>43212</v>
      </c>
      <c r="O247" s="26"/>
      <c r="P247" s="26"/>
      <c r="Q247" s="26"/>
      <c r="R247" s="26"/>
      <c r="S247" s="26"/>
      <c r="T247" s="26"/>
      <c r="U247" s="26"/>
      <c r="V247" s="26">
        <f t="shared" si="91"/>
        <v>0</v>
      </c>
      <c r="W247" s="211">
        <v>43212</v>
      </c>
      <c r="X247" s="26"/>
    </row>
    <row r="248" spans="1:24" x14ac:dyDescent="0.2">
      <c r="A248" s="572"/>
      <c r="B248" s="22"/>
      <c r="C248" s="23" t="s">
        <v>398</v>
      </c>
      <c r="D248" s="24" t="s">
        <v>399</v>
      </c>
      <c r="E248" s="25" t="s">
        <v>652</v>
      </c>
      <c r="F248" s="211">
        <v>3142.52</v>
      </c>
      <c r="G248" s="212">
        <f t="shared" si="87"/>
        <v>0.44161326587970767</v>
      </c>
      <c r="H248" s="213">
        <v>6285.04</v>
      </c>
      <c r="I248" s="214">
        <v>4500</v>
      </c>
      <c r="J248" s="213"/>
      <c r="K248" s="215">
        <f t="shared" si="94"/>
        <v>4500</v>
      </c>
      <c r="L248" s="216">
        <f t="shared" si="85"/>
        <v>0.63237774030354132</v>
      </c>
      <c r="M248" s="626"/>
      <c r="N248" s="217">
        <f t="shared" si="95"/>
        <v>4500</v>
      </c>
      <c r="O248" s="26"/>
      <c r="P248" s="26"/>
      <c r="Q248" s="26"/>
      <c r="R248" s="26"/>
      <c r="S248" s="26"/>
      <c r="T248" s="26"/>
      <c r="U248" s="26"/>
      <c r="V248" s="26">
        <f t="shared" si="91"/>
        <v>0</v>
      </c>
      <c r="W248" s="211">
        <v>4500</v>
      </c>
      <c r="X248" s="26"/>
    </row>
    <row r="249" spans="1:24" x14ac:dyDescent="0.2">
      <c r="A249" s="572"/>
      <c r="B249" s="22"/>
      <c r="C249" s="23" t="s">
        <v>382</v>
      </c>
      <c r="D249" s="24" t="s">
        <v>383</v>
      </c>
      <c r="E249" s="25" t="s">
        <v>653</v>
      </c>
      <c r="F249" s="211">
        <v>28199.759999999998</v>
      </c>
      <c r="G249" s="212">
        <f t="shared" si="87"/>
        <v>0.41969974246290231</v>
      </c>
      <c r="H249" s="213">
        <v>67190.320000000007</v>
      </c>
      <c r="I249" s="214">
        <v>71000</v>
      </c>
      <c r="J249" s="213"/>
      <c r="K249" s="215">
        <f t="shared" si="94"/>
        <v>71000</v>
      </c>
      <c r="L249" s="216">
        <f t="shared" si="85"/>
        <v>1.0566998341427751</v>
      </c>
      <c r="M249" s="626"/>
      <c r="N249" s="217">
        <f t="shared" si="95"/>
        <v>71000</v>
      </c>
      <c r="O249" s="26"/>
      <c r="P249" s="26"/>
      <c r="Q249" s="26"/>
      <c r="R249" s="26"/>
      <c r="S249" s="26"/>
      <c r="T249" s="26"/>
      <c r="U249" s="26"/>
      <c r="V249" s="26">
        <f t="shared" si="91"/>
        <v>0</v>
      </c>
      <c r="W249" s="211">
        <v>71000</v>
      </c>
      <c r="X249" s="26"/>
    </row>
    <row r="250" spans="1:24" x14ac:dyDescent="0.2">
      <c r="A250" s="572"/>
      <c r="B250" s="22"/>
      <c r="C250" s="23" t="s">
        <v>498</v>
      </c>
      <c r="D250" s="24" t="s">
        <v>499</v>
      </c>
      <c r="E250" s="25" t="s">
        <v>654</v>
      </c>
      <c r="F250" s="211">
        <v>33580.959999999999</v>
      </c>
      <c r="G250" s="212">
        <f t="shared" si="87"/>
        <v>0.88653612412629323</v>
      </c>
      <c r="H250" s="213">
        <v>37878.839999999997</v>
      </c>
      <c r="I250" s="214">
        <v>6000</v>
      </c>
      <c r="J250" s="213"/>
      <c r="K250" s="215">
        <f t="shared" si="94"/>
        <v>6000</v>
      </c>
      <c r="L250" s="216">
        <f t="shared" si="85"/>
        <v>0.15839978204189992</v>
      </c>
      <c r="M250" s="626"/>
      <c r="N250" s="217">
        <f t="shared" si="95"/>
        <v>6000</v>
      </c>
      <c r="O250" s="26"/>
      <c r="P250" s="26"/>
      <c r="Q250" s="26"/>
      <c r="R250" s="26"/>
      <c r="S250" s="26"/>
      <c r="T250" s="26"/>
      <c r="U250" s="26"/>
      <c r="V250" s="26">
        <f t="shared" si="91"/>
        <v>0</v>
      </c>
      <c r="W250" s="211">
        <v>6000</v>
      </c>
      <c r="X250" s="26"/>
    </row>
    <row r="251" spans="1:24" x14ac:dyDescent="0.2">
      <c r="A251" s="572"/>
      <c r="B251" s="22"/>
      <c r="C251" s="23" t="s">
        <v>401</v>
      </c>
      <c r="D251" s="24" t="s">
        <v>402</v>
      </c>
      <c r="E251" s="25" t="s">
        <v>655</v>
      </c>
      <c r="F251" s="211">
        <v>108844.66</v>
      </c>
      <c r="G251" s="212">
        <f t="shared" si="87"/>
        <v>0.6541145432692308</v>
      </c>
      <c r="H251" s="213">
        <v>165638.73000000001</v>
      </c>
      <c r="I251" s="214">
        <v>162800</v>
      </c>
      <c r="J251" s="213"/>
      <c r="K251" s="215">
        <f t="shared" si="94"/>
        <v>162800</v>
      </c>
      <c r="L251" s="216">
        <f t="shared" si="85"/>
        <v>0.97836538461538458</v>
      </c>
      <c r="M251" s="626"/>
      <c r="N251" s="217">
        <f t="shared" si="95"/>
        <v>162800</v>
      </c>
      <c r="O251" s="26"/>
      <c r="P251" s="26"/>
      <c r="Q251" s="26"/>
      <c r="R251" s="26"/>
      <c r="S251" s="26"/>
      <c r="T251" s="26"/>
      <c r="U251" s="26"/>
      <c r="V251" s="26">
        <f t="shared" si="91"/>
        <v>0</v>
      </c>
      <c r="W251" s="211">
        <v>162800</v>
      </c>
      <c r="X251" s="26"/>
    </row>
    <row r="252" spans="1:24" x14ac:dyDescent="0.2">
      <c r="A252" s="572"/>
      <c r="B252" s="22"/>
      <c r="C252" s="23" t="s">
        <v>416</v>
      </c>
      <c r="D252" s="24" t="s">
        <v>417</v>
      </c>
      <c r="E252" s="25" t="s">
        <v>656</v>
      </c>
      <c r="F252" s="211">
        <v>7380</v>
      </c>
      <c r="G252" s="212">
        <f t="shared" si="87"/>
        <v>0.77684210526315789</v>
      </c>
      <c r="H252" s="213">
        <v>7380</v>
      </c>
      <c r="I252" s="214">
        <v>6000</v>
      </c>
      <c r="J252" s="213"/>
      <c r="K252" s="215">
        <f t="shared" si="94"/>
        <v>6000</v>
      </c>
      <c r="L252" s="216">
        <f t="shared" si="85"/>
        <v>0.63157894736842102</v>
      </c>
      <c r="M252" s="626"/>
      <c r="N252" s="217">
        <f t="shared" si="95"/>
        <v>6000</v>
      </c>
      <c r="O252" s="26"/>
      <c r="P252" s="26"/>
      <c r="Q252" s="26"/>
      <c r="R252" s="26"/>
      <c r="S252" s="26"/>
      <c r="T252" s="26"/>
      <c r="U252" s="26"/>
      <c r="V252" s="26">
        <f t="shared" si="91"/>
        <v>0</v>
      </c>
      <c r="W252" s="211">
        <v>6000</v>
      </c>
      <c r="X252" s="26"/>
    </row>
    <row r="253" spans="1:24" x14ac:dyDescent="0.2">
      <c r="A253" s="572"/>
      <c r="B253" s="22"/>
      <c r="C253" s="23" t="s">
        <v>502</v>
      </c>
      <c r="D253" s="24" t="s">
        <v>503</v>
      </c>
      <c r="E253" s="25" t="s">
        <v>657</v>
      </c>
      <c r="F253" s="211">
        <v>3460</v>
      </c>
      <c r="G253" s="212">
        <f t="shared" si="87"/>
        <v>0.41686746987951806</v>
      </c>
      <c r="H253" s="213">
        <v>3460</v>
      </c>
      <c r="I253" s="214">
        <v>7000</v>
      </c>
      <c r="J253" s="213"/>
      <c r="K253" s="215">
        <f t="shared" si="94"/>
        <v>7000</v>
      </c>
      <c r="L253" s="216">
        <f t="shared" si="85"/>
        <v>0.84337349397590367</v>
      </c>
      <c r="M253" s="626"/>
      <c r="N253" s="217">
        <f t="shared" si="95"/>
        <v>7000</v>
      </c>
      <c r="O253" s="26"/>
      <c r="P253" s="26"/>
      <c r="Q253" s="26"/>
      <c r="R253" s="26"/>
      <c r="S253" s="26"/>
      <c r="T253" s="26"/>
      <c r="U253" s="26"/>
      <c r="V253" s="26">
        <f t="shared" si="91"/>
        <v>0</v>
      </c>
      <c r="W253" s="211">
        <v>7000</v>
      </c>
      <c r="X253" s="26"/>
    </row>
    <row r="254" spans="1:24" x14ac:dyDescent="0.2">
      <c r="A254" s="572"/>
      <c r="B254" s="22"/>
      <c r="C254" s="23" t="s">
        <v>386</v>
      </c>
      <c r="D254" s="24" t="s">
        <v>387</v>
      </c>
      <c r="E254" s="25" t="s">
        <v>658</v>
      </c>
      <c r="F254" s="211">
        <v>27010.18</v>
      </c>
      <c r="G254" s="212">
        <f t="shared" si="87"/>
        <v>0.55708322161493251</v>
      </c>
      <c r="H254" s="213">
        <v>46439.94</v>
      </c>
      <c r="I254" s="214">
        <v>44000</v>
      </c>
      <c r="J254" s="213"/>
      <c r="K254" s="215">
        <f t="shared" si="94"/>
        <v>44000</v>
      </c>
      <c r="L254" s="216">
        <f t="shared" si="85"/>
        <v>0.90749716407136227</v>
      </c>
      <c r="M254" s="626"/>
      <c r="N254" s="217">
        <f t="shared" si="95"/>
        <v>44000</v>
      </c>
      <c r="O254" s="26"/>
      <c r="P254" s="26"/>
      <c r="Q254" s="26"/>
      <c r="R254" s="26"/>
      <c r="S254" s="26"/>
      <c r="T254" s="26"/>
      <c r="U254" s="26"/>
      <c r="V254" s="26">
        <f t="shared" si="91"/>
        <v>0</v>
      </c>
      <c r="W254" s="211">
        <v>44000</v>
      </c>
      <c r="X254" s="26"/>
    </row>
    <row r="255" spans="1:24" ht="22.5" x14ac:dyDescent="0.2">
      <c r="A255" s="572"/>
      <c r="B255" s="22"/>
      <c r="C255" s="23" t="s">
        <v>506</v>
      </c>
      <c r="D255" s="24" t="s">
        <v>507</v>
      </c>
      <c r="E255" s="25" t="s">
        <v>659</v>
      </c>
      <c r="F255" s="211">
        <v>4393.7700000000004</v>
      </c>
      <c r="G255" s="212">
        <f t="shared" si="87"/>
        <v>0.61451328671328675</v>
      </c>
      <c r="H255" s="213">
        <v>60589.99</v>
      </c>
      <c r="I255" s="214">
        <v>7000</v>
      </c>
      <c r="J255" s="213"/>
      <c r="K255" s="215">
        <f t="shared" si="94"/>
        <v>7000</v>
      </c>
      <c r="L255" s="216">
        <f t="shared" si="85"/>
        <v>0.97902097902097907</v>
      </c>
      <c r="M255" s="626"/>
      <c r="N255" s="217">
        <f t="shared" si="95"/>
        <v>7000</v>
      </c>
      <c r="O255" s="26"/>
      <c r="P255" s="26"/>
      <c r="Q255" s="26"/>
      <c r="R255" s="26"/>
      <c r="S255" s="26"/>
      <c r="T255" s="26"/>
      <c r="U255" s="26"/>
      <c r="V255" s="26">
        <f t="shared" si="91"/>
        <v>0</v>
      </c>
      <c r="W255" s="211">
        <v>7000</v>
      </c>
      <c r="X255" s="26"/>
    </row>
    <row r="256" spans="1:24" x14ac:dyDescent="0.2">
      <c r="A256" s="572"/>
      <c r="B256" s="22"/>
      <c r="C256" s="23" t="s">
        <v>473</v>
      </c>
      <c r="D256" s="24" t="s">
        <v>474</v>
      </c>
      <c r="E256" s="25" t="s">
        <v>79</v>
      </c>
      <c r="F256" s="211">
        <v>2446.6999999999998</v>
      </c>
      <c r="G256" s="212">
        <f t="shared" si="87"/>
        <v>0.61167499999999997</v>
      </c>
      <c r="H256" s="213">
        <v>3303.6</v>
      </c>
      <c r="I256" s="214">
        <v>4000</v>
      </c>
      <c r="J256" s="213"/>
      <c r="K256" s="215">
        <f t="shared" si="94"/>
        <v>4000</v>
      </c>
      <c r="L256" s="216">
        <f t="shared" si="85"/>
        <v>1</v>
      </c>
      <c r="M256" s="626"/>
      <c r="N256" s="217">
        <f t="shared" si="95"/>
        <v>4000</v>
      </c>
      <c r="O256" s="26"/>
      <c r="P256" s="26"/>
      <c r="Q256" s="26"/>
      <c r="R256" s="26"/>
      <c r="S256" s="26"/>
      <c r="T256" s="26"/>
      <c r="U256" s="26"/>
      <c r="V256" s="26">
        <f t="shared" si="91"/>
        <v>0</v>
      </c>
      <c r="W256" s="211">
        <v>4000</v>
      </c>
      <c r="X256" s="26"/>
    </row>
    <row r="257" spans="1:24" x14ac:dyDescent="0.2">
      <c r="A257" s="572"/>
      <c r="B257" s="22"/>
      <c r="C257" s="23" t="s">
        <v>390</v>
      </c>
      <c r="D257" s="24" t="s">
        <v>391</v>
      </c>
      <c r="E257" s="25" t="s">
        <v>660</v>
      </c>
      <c r="F257" s="211">
        <v>578.5</v>
      </c>
      <c r="G257" s="212">
        <f t="shared" si="87"/>
        <v>0.44500000000000001</v>
      </c>
      <c r="H257" s="213">
        <v>1157</v>
      </c>
      <c r="I257" s="214">
        <v>1500</v>
      </c>
      <c r="J257" s="213"/>
      <c r="K257" s="215">
        <f t="shared" si="94"/>
        <v>1500</v>
      </c>
      <c r="L257" s="216">
        <f t="shared" si="85"/>
        <v>1.1538461538461537</v>
      </c>
      <c r="M257" s="626"/>
      <c r="N257" s="217">
        <f t="shared" si="95"/>
        <v>1500</v>
      </c>
      <c r="O257" s="26"/>
      <c r="P257" s="26"/>
      <c r="Q257" s="26"/>
      <c r="R257" s="26"/>
      <c r="S257" s="26"/>
      <c r="T257" s="26"/>
      <c r="U257" s="26"/>
      <c r="V257" s="26">
        <f t="shared" si="91"/>
        <v>0</v>
      </c>
      <c r="W257" s="211">
        <v>1500</v>
      </c>
      <c r="X257" s="26"/>
    </row>
    <row r="258" spans="1:24" ht="22.5" x14ac:dyDescent="0.2">
      <c r="A258" s="572"/>
      <c r="B258" s="22"/>
      <c r="C258" s="23" t="s">
        <v>515</v>
      </c>
      <c r="D258" s="24" t="s">
        <v>516</v>
      </c>
      <c r="E258" s="25" t="s">
        <v>661</v>
      </c>
      <c r="F258" s="211">
        <v>92903</v>
      </c>
      <c r="G258" s="212">
        <f t="shared" si="87"/>
        <v>1</v>
      </c>
      <c r="H258" s="213">
        <v>92903</v>
      </c>
      <c r="I258" s="214">
        <v>96119</v>
      </c>
      <c r="J258" s="213"/>
      <c r="K258" s="215">
        <f t="shared" si="94"/>
        <v>96119</v>
      </c>
      <c r="L258" s="216">
        <f t="shared" si="85"/>
        <v>1.0346167508046027</v>
      </c>
      <c r="M258" s="626"/>
      <c r="N258" s="217">
        <f t="shared" si="95"/>
        <v>96119</v>
      </c>
      <c r="O258" s="26"/>
      <c r="P258" s="26"/>
      <c r="Q258" s="26"/>
      <c r="R258" s="26"/>
      <c r="S258" s="26"/>
      <c r="T258" s="26"/>
      <c r="U258" s="26"/>
      <c r="V258" s="26">
        <f t="shared" si="91"/>
        <v>0</v>
      </c>
      <c r="W258" s="211">
        <v>96119</v>
      </c>
      <c r="X258" s="26"/>
    </row>
    <row r="259" spans="1:24" ht="15" x14ac:dyDescent="0.2">
      <c r="A259" s="571"/>
      <c r="B259" s="15" t="s">
        <v>662</v>
      </c>
      <c r="C259" s="16"/>
      <c r="D259" s="17" t="s">
        <v>663</v>
      </c>
      <c r="E259" s="18">
        <f>E260+E261+E262</f>
        <v>684000</v>
      </c>
      <c r="F259" s="18">
        <f t="shared" ref="F259:X259" si="96">F260+F261+F262</f>
        <v>376531.11</v>
      </c>
      <c r="G259" s="218">
        <f t="shared" si="87"/>
        <v>0.55048407894736839</v>
      </c>
      <c r="H259" s="18">
        <f t="shared" si="96"/>
        <v>680000</v>
      </c>
      <c r="I259" s="20">
        <f t="shared" si="96"/>
        <v>761500</v>
      </c>
      <c r="J259" s="114">
        <f t="shared" si="96"/>
        <v>0</v>
      </c>
      <c r="K259" s="209">
        <f t="shared" si="96"/>
        <v>761500</v>
      </c>
      <c r="L259" s="219">
        <f t="shared" si="85"/>
        <v>1.1133040935672514</v>
      </c>
      <c r="M259" s="21"/>
      <c r="N259" s="210">
        <f t="shared" si="96"/>
        <v>761500</v>
      </c>
      <c r="O259" s="95">
        <f t="shared" si="96"/>
        <v>0</v>
      </c>
      <c r="P259" s="95">
        <f t="shared" si="96"/>
        <v>0</v>
      </c>
      <c r="Q259" s="95">
        <f t="shared" si="96"/>
        <v>0</v>
      </c>
      <c r="R259" s="95">
        <f t="shared" si="96"/>
        <v>0</v>
      </c>
      <c r="S259" s="95">
        <f t="shared" si="96"/>
        <v>0</v>
      </c>
      <c r="T259" s="95">
        <f t="shared" si="96"/>
        <v>0</v>
      </c>
      <c r="U259" s="95">
        <f t="shared" si="96"/>
        <v>0</v>
      </c>
      <c r="V259" s="26">
        <f t="shared" si="91"/>
        <v>0</v>
      </c>
      <c r="W259" s="95">
        <f t="shared" si="96"/>
        <v>761500</v>
      </c>
      <c r="X259" s="95">
        <f t="shared" si="96"/>
        <v>0</v>
      </c>
    </row>
    <row r="260" spans="1:24" x14ac:dyDescent="0.2">
      <c r="A260" s="572"/>
      <c r="B260" s="22"/>
      <c r="C260" s="23" t="s">
        <v>398</v>
      </c>
      <c r="D260" s="24" t="s">
        <v>399</v>
      </c>
      <c r="E260" s="25" t="s">
        <v>104</v>
      </c>
      <c r="F260" s="211">
        <v>0</v>
      </c>
      <c r="G260" s="212">
        <f t="shared" si="87"/>
        <v>0</v>
      </c>
      <c r="H260" s="213">
        <v>0</v>
      </c>
      <c r="I260" s="214">
        <v>1000</v>
      </c>
      <c r="J260" s="213"/>
      <c r="K260" s="215">
        <f>I260+J260</f>
        <v>1000</v>
      </c>
      <c r="L260" s="216">
        <f t="shared" si="85"/>
        <v>1</v>
      </c>
      <c r="M260" s="626"/>
      <c r="N260" s="217">
        <f>V260+W260+X260</f>
        <v>1000</v>
      </c>
      <c r="O260" s="26"/>
      <c r="P260" s="26"/>
      <c r="Q260" s="26"/>
      <c r="R260" s="26"/>
      <c r="S260" s="26"/>
      <c r="T260" s="26"/>
      <c r="U260" s="26"/>
      <c r="V260" s="26">
        <f t="shared" si="91"/>
        <v>0</v>
      </c>
      <c r="W260" s="211">
        <v>1000</v>
      </c>
      <c r="X260" s="26"/>
    </row>
    <row r="261" spans="1:24" x14ac:dyDescent="0.2">
      <c r="A261" s="572"/>
      <c r="B261" s="22"/>
      <c r="C261" s="23" t="s">
        <v>382</v>
      </c>
      <c r="D261" s="24" t="s">
        <v>383</v>
      </c>
      <c r="E261" s="25" t="s">
        <v>664</v>
      </c>
      <c r="F261" s="211">
        <v>0</v>
      </c>
      <c r="G261" s="212">
        <f t="shared" si="87"/>
        <v>0</v>
      </c>
      <c r="H261" s="213">
        <v>0</v>
      </c>
      <c r="I261" s="214">
        <v>3000</v>
      </c>
      <c r="J261" s="213"/>
      <c r="K261" s="215">
        <f t="shared" ref="K261:K262" si="97">I261+J261</f>
        <v>3000</v>
      </c>
      <c r="L261" s="216">
        <f t="shared" si="85"/>
        <v>1</v>
      </c>
      <c r="M261" s="626"/>
      <c r="N261" s="217">
        <f t="shared" ref="N261:N262" si="98">V261+W261+X261</f>
        <v>3000</v>
      </c>
      <c r="O261" s="26"/>
      <c r="P261" s="26"/>
      <c r="Q261" s="26"/>
      <c r="R261" s="26"/>
      <c r="S261" s="26"/>
      <c r="T261" s="26"/>
      <c r="U261" s="26"/>
      <c r="V261" s="26">
        <f t="shared" si="91"/>
        <v>0</v>
      </c>
      <c r="W261" s="211">
        <v>3000</v>
      </c>
      <c r="X261" s="26"/>
    </row>
    <row r="262" spans="1:24" x14ac:dyDescent="0.2">
      <c r="A262" s="572"/>
      <c r="B262" s="22"/>
      <c r="C262" s="23" t="s">
        <v>386</v>
      </c>
      <c r="D262" s="24" t="s">
        <v>387</v>
      </c>
      <c r="E262" s="25" t="s">
        <v>665</v>
      </c>
      <c r="F262" s="211">
        <v>376531.11</v>
      </c>
      <c r="G262" s="212">
        <f t="shared" si="87"/>
        <v>0.55372222058823528</v>
      </c>
      <c r="H262" s="213">
        <v>680000</v>
      </c>
      <c r="I262" s="214">
        <v>757500</v>
      </c>
      <c r="J262" s="213"/>
      <c r="K262" s="215">
        <f t="shared" si="97"/>
        <v>757500</v>
      </c>
      <c r="L262" s="216">
        <f t="shared" si="85"/>
        <v>1.1139705882352942</v>
      </c>
      <c r="M262" s="626"/>
      <c r="N262" s="217">
        <f t="shared" si="98"/>
        <v>757500</v>
      </c>
      <c r="O262" s="26"/>
      <c r="P262" s="26"/>
      <c r="Q262" s="26"/>
      <c r="R262" s="26"/>
      <c r="S262" s="26"/>
      <c r="T262" s="26"/>
      <c r="U262" s="26"/>
      <c r="V262" s="26">
        <f t="shared" si="91"/>
        <v>0</v>
      </c>
      <c r="W262" s="211">
        <v>757500</v>
      </c>
      <c r="X262" s="26"/>
    </row>
    <row r="263" spans="1:24" ht="22.5" x14ac:dyDescent="0.2">
      <c r="A263" s="571"/>
      <c r="B263" s="15" t="s">
        <v>666</v>
      </c>
      <c r="C263" s="16"/>
      <c r="D263" s="17" t="s">
        <v>667</v>
      </c>
      <c r="E263" s="18">
        <f>E264+E265+E266+E267+E268+E269+E270+E272+E273+E274+E275+E276+E277+E278+E279+E271</f>
        <v>464702.33</v>
      </c>
      <c r="F263" s="18">
        <f>F264+F265+F266+F267+F268+F269+F270+F272+F273+F274+F275+F276+F277+F278+F279+F271</f>
        <v>464701.86</v>
      </c>
      <c r="G263" s="218">
        <f t="shared" si="87"/>
        <v>0.99999898859986347</v>
      </c>
      <c r="H263" s="18">
        <f>H264+H265+H266+H267+H268+H269+H270+H272+H273+H274+H275+H276+H277+H278+H279+H271</f>
        <v>464701.86</v>
      </c>
      <c r="I263" s="20">
        <f t="shared" ref="I263:X263" si="99">I264+I265+I266+I267+I268+I269+I270+I272+I273+I274+I275+I276+I277+I278+I279+I271</f>
        <v>0</v>
      </c>
      <c r="J263" s="114">
        <f t="shared" si="99"/>
        <v>0</v>
      </c>
      <c r="K263" s="209">
        <f t="shared" si="99"/>
        <v>0</v>
      </c>
      <c r="L263" s="219">
        <f t="shared" si="85"/>
        <v>0</v>
      </c>
      <c r="M263" s="21"/>
      <c r="N263" s="210">
        <f t="shared" si="99"/>
        <v>0</v>
      </c>
      <c r="O263" s="95">
        <f t="shared" si="99"/>
        <v>0</v>
      </c>
      <c r="P263" s="95">
        <f t="shared" si="99"/>
        <v>0</v>
      </c>
      <c r="Q263" s="95">
        <f t="shared" si="99"/>
        <v>0</v>
      </c>
      <c r="R263" s="95">
        <f t="shared" si="99"/>
        <v>0</v>
      </c>
      <c r="S263" s="95">
        <f t="shared" si="99"/>
        <v>0</v>
      </c>
      <c r="T263" s="95">
        <f t="shared" si="99"/>
        <v>0</v>
      </c>
      <c r="U263" s="95">
        <f t="shared" si="99"/>
        <v>0</v>
      </c>
      <c r="V263" s="26">
        <f t="shared" si="91"/>
        <v>0</v>
      </c>
      <c r="W263" s="95">
        <f t="shared" si="99"/>
        <v>0</v>
      </c>
      <c r="X263" s="95">
        <f t="shared" si="99"/>
        <v>0</v>
      </c>
    </row>
    <row r="264" spans="1:24" ht="22.5" x14ac:dyDescent="0.2">
      <c r="A264" s="572"/>
      <c r="B264" s="22"/>
      <c r="C264" s="23" t="s">
        <v>488</v>
      </c>
      <c r="D264" s="24" t="s">
        <v>489</v>
      </c>
      <c r="E264" s="25" t="s">
        <v>668</v>
      </c>
      <c r="F264" s="211">
        <v>1211.3499999999999</v>
      </c>
      <c r="G264" s="212">
        <f t="shared" si="87"/>
        <v>1</v>
      </c>
      <c r="H264" s="213">
        <v>1211.3499999999999</v>
      </c>
      <c r="I264" s="214">
        <v>0</v>
      </c>
      <c r="J264" s="213"/>
      <c r="K264" s="215">
        <f>I264+J264</f>
        <v>0</v>
      </c>
      <c r="L264" s="216">
        <f t="shared" si="85"/>
        <v>0</v>
      </c>
      <c r="M264" s="626"/>
      <c r="N264" s="217">
        <f>V264+W264+X264</f>
        <v>0</v>
      </c>
      <c r="O264" s="26"/>
      <c r="P264" s="26"/>
      <c r="Q264" s="26"/>
      <c r="R264" s="26"/>
      <c r="S264" s="26"/>
      <c r="T264" s="26"/>
      <c r="U264" s="26"/>
      <c r="V264" s="26">
        <f t="shared" si="91"/>
        <v>0</v>
      </c>
      <c r="W264" s="26"/>
      <c r="X264" s="26"/>
    </row>
    <row r="265" spans="1:24" x14ac:dyDescent="0.2">
      <c r="A265" s="572"/>
      <c r="B265" s="22"/>
      <c r="C265" s="23" t="s">
        <v>373</v>
      </c>
      <c r="D265" s="24" t="s">
        <v>374</v>
      </c>
      <c r="E265" s="25" t="s">
        <v>669</v>
      </c>
      <c r="F265" s="211">
        <v>261908.79</v>
      </c>
      <c r="G265" s="212">
        <f t="shared" si="87"/>
        <v>1</v>
      </c>
      <c r="H265" s="213">
        <v>261908.79</v>
      </c>
      <c r="I265" s="214">
        <v>0</v>
      </c>
      <c r="J265" s="213"/>
      <c r="K265" s="215">
        <f t="shared" ref="K265:K279" si="100">I265+J265</f>
        <v>0</v>
      </c>
      <c r="L265" s="216">
        <f t="shared" si="85"/>
        <v>0</v>
      </c>
      <c r="M265" s="626"/>
      <c r="N265" s="217">
        <f t="shared" ref="N265:N279" si="101">V265+W265+X265</f>
        <v>0</v>
      </c>
      <c r="O265" s="26"/>
      <c r="P265" s="26"/>
      <c r="Q265" s="26"/>
      <c r="R265" s="26"/>
      <c r="S265" s="26"/>
      <c r="T265" s="26"/>
      <c r="U265" s="26"/>
      <c r="V265" s="26">
        <f t="shared" si="91"/>
        <v>0</v>
      </c>
      <c r="W265" s="26"/>
      <c r="X265" s="26"/>
    </row>
    <row r="266" spans="1:24" x14ac:dyDescent="0.2">
      <c r="A266" s="572"/>
      <c r="B266" s="22"/>
      <c r="C266" s="23" t="s">
        <v>466</v>
      </c>
      <c r="D266" s="24" t="s">
        <v>467</v>
      </c>
      <c r="E266" s="25" t="s">
        <v>670</v>
      </c>
      <c r="F266" s="211">
        <v>29517.83</v>
      </c>
      <c r="G266" s="212">
        <f t="shared" si="87"/>
        <v>0.99999424080222243</v>
      </c>
      <c r="H266" s="213">
        <v>29517.83</v>
      </c>
      <c r="I266" s="214">
        <v>0</v>
      </c>
      <c r="J266" s="213"/>
      <c r="K266" s="215">
        <f t="shared" si="100"/>
        <v>0</v>
      </c>
      <c r="L266" s="216">
        <f t="shared" si="85"/>
        <v>0</v>
      </c>
      <c r="M266" s="626"/>
      <c r="N266" s="217">
        <f t="shared" si="101"/>
        <v>0</v>
      </c>
      <c r="O266" s="26"/>
      <c r="P266" s="26"/>
      <c r="Q266" s="26"/>
      <c r="R266" s="26"/>
      <c r="S266" s="26"/>
      <c r="T266" s="26"/>
      <c r="U266" s="26"/>
      <c r="V266" s="26">
        <f t="shared" si="91"/>
        <v>0</v>
      </c>
      <c r="W266" s="26"/>
      <c r="X266" s="26"/>
    </row>
    <row r="267" spans="1:24" x14ac:dyDescent="0.2">
      <c r="A267" s="572"/>
      <c r="B267" s="22"/>
      <c r="C267" s="23" t="s">
        <v>376</v>
      </c>
      <c r="D267" s="24" t="s">
        <v>377</v>
      </c>
      <c r="E267" s="25" t="s">
        <v>671</v>
      </c>
      <c r="F267" s="211">
        <v>52096.85</v>
      </c>
      <c r="G267" s="212">
        <f t="shared" si="87"/>
        <v>1</v>
      </c>
      <c r="H267" s="213">
        <v>52096.85</v>
      </c>
      <c r="I267" s="214">
        <v>0</v>
      </c>
      <c r="J267" s="213"/>
      <c r="K267" s="215">
        <f t="shared" si="100"/>
        <v>0</v>
      </c>
      <c r="L267" s="216">
        <f t="shared" si="85"/>
        <v>0</v>
      </c>
      <c r="M267" s="626"/>
      <c r="N267" s="217">
        <f t="shared" si="101"/>
        <v>0</v>
      </c>
      <c r="O267" s="26"/>
      <c r="P267" s="26"/>
      <c r="Q267" s="26"/>
      <c r="R267" s="26"/>
      <c r="S267" s="26"/>
      <c r="T267" s="26"/>
      <c r="U267" s="26"/>
      <c r="V267" s="26">
        <f t="shared" si="91"/>
        <v>0</v>
      </c>
      <c r="W267" s="26"/>
      <c r="X267" s="26"/>
    </row>
    <row r="268" spans="1:24" x14ac:dyDescent="0.2">
      <c r="A268" s="572"/>
      <c r="B268" s="22"/>
      <c r="C268" s="23" t="s">
        <v>379</v>
      </c>
      <c r="D268" s="24" t="s">
        <v>380</v>
      </c>
      <c r="E268" s="25" t="s">
        <v>672</v>
      </c>
      <c r="F268" s="211">
        <v>3260.46</v>
      </c>
      <c r="G268" s="212">
        <f t="shared" si="87"/>
        <v>1</v>
      </c>
      <c r="H268" s="213">
        <v>3260.46</v>
      </c>
      <c r="I268" s="214">
        <v>0</v>
      </c>
      <c r="J268" s="213"/>
      <c r="K268" s="215">
        <f t="shared" si="100"/>
        <v>0</v>
      </c>
      <c r="L268" s="216">
        <f t="shared" si="85"/>
        <v>0</v>
      </c>
      <c r="M268" s="626"/>
      <c r="N268" s="217">
        <f t="shared" si="101"/>
        <v>0</v>
      </c>
      <c r="O268" s="26"/>
      <c r="P268" s="26"/>
      <c r="Q268" s="26"/>
      <c r="R268" s="26"/>
      <c r="S268" s="26"/>
      <c r="T268" s="26"/>
      <c r="U268" s="26"/>
      <c r="V268" s="26">
        <f t="shared" si="91"/>
        <v>0</v>
      </c>
      <c r="W268" s="26"/>
      <c r="X268" s="26"/>
    </row>
    <row r="269" spans="1:24" x14ac:dyDescent="0.2">
      <c r="A269" s="572"/>
      <c r="B269" s="22"/>
      <c r="C269" s="23" t="s">
        <v>398</v>
      </c>
      <c r="D269" s="24" t="s">
        <v>399</v>
      </c>
      <c r="E269" s="25" t="s">
        <v>673</v>
      </c>
      <c r="F269" s="211">
        <v>1461.86</v>
      </c>
      <c r="G269" s="212">
        <f t="shared" si="87"/>
        <v>0.99990424076607376</v>
      </c>
      <c r="H269" s="213">
        <v>1461.86</v>
      </c>
      <c r="I269" s="214">
        <v>0</v>
      </c>
      <c r="J269" s="213"/>
      <c r="K269" s="215">
        <f t="shared" si="100"/>
        <v>0</v>
      </c>
      <c r="L269" s="216">
        <f t="shared" ref="L269:L334" si="102">K269/E269</f>
        <v>0</v>
      </c>
      <c r="M269" s="626"/>
      <c r="N269" s="217">
        <f t="shared" si="101"/>
        <v>0</v>
      </c>
      <c r="O269" s="26"/>
      <c r="P269" s="26"/>
      <c r="Q269" s="26"/>
      <c r="R269" s="26"/>
      <c r="S269" s="26"/>
      <c r="T269" s="26"/>
      <c r="U269" s="26"/>
      <c r="V269" s="26">
        <f t="shared" si="91"/>
        <v>0</v>
      </c>
      <c r="W269" s="26"/>
      <c r="X269" s="26"/>
    </row>
    <row r="270" spans="1:24" x14ac:dyDescent="0.2">
      <c r="A270" s="572"/>
      <c r="B270" s="22"/>
      <c r="C270" s="23" t="s">
        <v>382</v>
      </c>
      <c r="D270" s="24" t="s">
        <v>383</v>
      </c>
      <c r="E270" s="25" t="s">
        <v>674</v>
      </c>
      <c r="F270" s="211">
        <v>28000.47</v>
      </c>
      <c r="G270" s="212">
        <f t="shared" si="87"/>
        <v>1</v>
      </c>
      <c r="H270" s="213">
        <v>28000.47</v>
      </c>
      <c r="I270" s="214">
        <v>0</v>
      </c>
      <c r="J270" s="213"/>
      <c r="K270" s="215">
        <f t="shared" si="100"/>
        <v>0</v>
      </c>
      <c r="L270" s="216">
        <f t="shared" si="102"/>
        <v>0</v>
      </c>
      <c r="M270" s="626"/>
      <c r="N270" s="217">
        <f t="shared" si="101"/>
        <v>0</v>
      </c>
      <c r="O270" s="26"/>
      <c r="P270" s="26"/>
      <c r="Q270" s="26"/>
      <c r="R270" s="26"/>
      <c r="S270" s="26"/>
      <c r="T270" s="26"/>
      <c r="U270" s="26"/>
      <c r="V270" s="26">
        <f t="shared" si="91"/>
        <v>0</v>
      </c>
      <c r="W270" s="26"/>
      <c r="X270" s="26"/>
    </row>
    <row r="271" spans="1:24" x14ac:dyDescent="0.2">
      <c r="A271" s="572"/>
      <c r="B271" s="22"/>
      <c r="C271" s="23" t="s">
        <v>401</v>
      </c>
      <c r="D271" s="24" t="s">
        <v>402</v>
      </c>
      <c r="E271" s="25" t="s">
        <v>675</v>
      </c>
      <c r="F271" s="211">
        <v>2162.87</v>
      </c>
      <c r="G271" s="212">
        <f t="shared" si="87"/>
        <v>1</v>
      </c>
      <c r="H271" s="213">
        <v>2162.87</v>
      </c>
      <c r="I271" s="214">
        <v>0</v>
      </c>
      <c r="J271" s="213"/>
      <c r="K271" s="215">
        <f t="shared" si="100"/>
        <v>0</v>
      </c>
      <c r="L271" s="216">
        <f t="shared" si="102"/>
        <v>0</v>
      </c>
      <c r="M271" s="626"/>
      <c r="N271" s="217">
        <f t="shared" si="101"/>
        <v>0</v>
      </c>
      <c r="O271" s="26"/>
      <c r="P271" s="26"/>
      <c r="Q271" s="26"/>
      <c r="R271" s="26"/>
      <c r="S271" s="26"/>
      <c r="T271" s="26"/>
      <c r="U271" s="26"/>
      <c r="V271" s="26">
        <f t="shared" si="91"/>
        <v>0</v>
      </c>
      <c r="W271" s="26"/>
      <c r="X271" s="26"/>
    </row>
    <row r="272" spans="1:24" x14ac:dyDescent="0.2">
      <c r="A272" s="572"/>
      <c r="B272" s="22"/>
      <c r="C272" s="23" t="s">
        <v>416</v>
      </c>
      <c r="D272" s="24" t="s">
        <v>417</v>
      </c>
      <c r="E272" s="25" t="s">
        <v>676</v>
      </c>
      <c r="F272" s="211">
        <v>14299.98</v>
      </c>
      <c r="G272" s="212">
        <f t="shared" ref="G272:G339" si="103">F272/E272</f>
        <v>1</v>
      </c>
      <c r="H272" s="213">
        <v>14299.98</v>
      </c>
      <c r="I272" s="214">
        <v>0</v>
      </c>
      <c r="J272" s="213"/>
      <c r="K272" s="215">
        <f t="shared" si="100"/>
        <v>0</v>
      </c>
      <c r="L272" s="216">
        <f t="shared" si="102"/>
        <v>0</v>
      </c>
      <c r="M272" s="626"/>
      <c r="N272" s="217">
        <f t="shared" si="101"/>
        <v>0</v>
      </c>
      <c r="O272" s="26"/>
      <c r="P272" s="26"/>
      <c r="Q272" s="26"/>
      <c r="R272" s="26"/>
      <c r="S272" s="26"/>
      <c r="T272" s="26"/>
      <c r="U272" s="26"/>
      <c r="V272" s="26">
        <f t="shared" si="91"/>
        <v>0</v>
      </c>
      <c r="W272" s="26"/>
      <c r="X272" s="26"/>
    </row>
    <row r="273" spans="1:24" x14ac:dyDescent="0.2">
      <c r="A273" s="572"/>
      <c r="B273" s="22"/>
      <c r="C273" s="23" t="s">
        <v>502</v>
      </c>
      <c r="D273" s="24" t="s">
        <v>503</v>
      </c>
      <c r="E273" s="25" t="s">
        <v>677</v>
      </c>
      <c r="F273" s="211">
        <v>225</v>
      </c>
      <c r="G273" s="212">
        <f t="shared" si="103"/>
        <v>1</v>
      </c>
      <c r="H273" s="213">
        <v>225</v>
      </c>
      <c r="I273" s="214">
        <v>0</v>
      </c>
      <c r="J273" s="213"/>
      <c r="K273" s="215">
        <f t="shared" si="100"/>
        <v>0</v>
      </c>
      <c r="L273" s="216">
        <f t="shared" si="102"/>
        <v>0</v>
      </c>
      <c r="M273" s="626"/>
      <c r="N273" s="217">
        <f t="shared" si="101"/>
        <v>0</v>
      </c>
      <c r="O273" s="26"/>
      <c r="P273" s="26"/>
      <c r="Q273" s="26"/>
      <c r="R273" s="26"/>
      <c r="S273" s="26"/>
      <c r="T273" s="26"/>
      <c r="U273" s="26"/>
      <c r="V273" s="26">
        <f t="shared" si="91"/>
        <v>0</v>
      </c>
      <c r="W273" s="26"/>
      <c r="X273" s="26"/>
    </row>
    <row r="274" spans="1:24" x14ac:dyDescent="0.2">
      <c r="A274" s="572"/>
      <c r="B274" s="22"/>
      <c r="C274" s="23" t="s">
        <v>386</v>
      </c>
      <c r="D274" s="24" t="s">
        <v>387</v>
      </c>
      <c r="E274" s="25" t="s">
        <v>678</v>
      </c>
      <c r="F274" s="211">
        <v>41674.75</v>
      </c>
      <c r="G274" s="212">
        <f t="shared" si="103"/>
        <v>1</v>
      </c>
      <c r="H274" s="213">
        <v>41674.75</v>
      </c>
      <c r="I274" s="214">
        <v>0</v>
      </c>
      <c r="J274" s="213"/>
      <c r="K274" s="215">
        <f t="shared" si="100"/>
        <v>0</v>
      </c>
      <c r="L274" s="216">
        <f t="shared" si="102"/>
        <v>0</v>
      </c>
      <c r="M274" s="626"/>
      <c r="N274" s="217">
        <f t="shared" si="101"/>
        <v>0</v>
      </c>
      <c r="O274" s="26"/>
      <c r="P274" s="26"/>
      <c r="Q274" s="26"/>
      <c r="R274" s="26"/>
      <c r="S274" s="26"/>
      <c r="T274" s="26"/>
      <c r="U274" s="26"/>
      <c r="V274" s="26">
        <f t="shared" si="91"/>
        <v>0</v>
      </c>
      <c r="W274" s="26"/>
      <c r="X274" s="26"/>
    </row>
    <row r="275" spans="1:24" ht="22.5" x14ac:dyDescent="0.2">
      <c r="A275" s="572"/>
      <c r="B275" s="22"/>
      <c r="C275" s="23" t="s">
        <v>506</v>
      </c>
      <c r="D275" s="24" t="s">
        <v>507</v>
      </c>
      <c r="E275" s="25" t="s">
        <v>679</v>
      </c>
      <c r="F275" s="211">
        <v>2435.81</v>
      </c>
      <c r="G275" s="212">
        <f t="shared" si="103"/>
        <v>1</v>
      </c>
      <c r="H275" s="213">
        <v>2435.81</v>
      </c>
      <c r="I275" s="214">
        <v>0</v>
      </c>
      <c r="J275" s="213"/>
      <c r="K275" s="215">
        <f t="shared" si="100"/>
        <v>0</v>
      </c>
      <c r="L275" s="216">
        <f t="shared" si="102"/>
        <v>0</v>
      </c>
      <c r="M275" s="626"/>
      <c r="N275" s="217">
        <f t="shared" si="101"/>
        <v>0</v>
      </c>
      <c r="O275" s="26"/>
      <c r="P275" s="26"/>
      <c r="Q275" s="26"/>
      <c r="R275" s="26"/>
      <c r="S275" s="26"/>
      <c r="T275" s="26"/>
      <c r="U275" s="26"/>
      <c r="V275" s="26">
        <f t="shared" si="91"/>
        <v>0</v>
      </c>
      <c r="W275" s="26"/>
      <c r="X275" s="26"/>
    </row>
    <row r="276" spans="1:24" ht="22.5" x14ac:dyDescent="0.2">
      <c r="A276" s="572"/>
      <c r="B276" s="22"/>
      <c r="C276" s="23" t="s">
        <v>510</v>
      </c>
      <c r="D276" s="24" t="s">
        <v>511</v>
      </c>
      <c r="E276" s="25" t="s">
        <v>599</v>
      </c>
      <c r="F276" s="211">
        <v>17500</v>
      </c>
      <c r="G276" s="212">
        <f t="shared" si="103"/>
        <v>1</v>
      </c>
      <c r="H276" s="213">
        <v>17500</v>
      </c>
      <c r="I276" s="214">
        <v>0</v>
      </c>
      <c r="J276" s="213"/>
      <c r="K276" s="215">
        <f t="shared" si="100"/>
        <v>0</v>
      </c>
      <c r="L276" s="216">
        <f t="shared" si="102"/>
        <v>0</v>
      </c>
      <c r="M276" s="626"/>
      <c r="N276" s="217">
        <f t="shared" si="101"/>
        <v>0</v>
      </c>
      <c r="O276" s="26"/>
      <c r="P276" s="26"/>
      <c r="Q276" s="26"/>
      <c r="R276" s="26"/>
      <c r="S276" s="26"/>
      <c r="T276" s="26"/>
      <c r="U276" s="26"/>
      <c r="V276" s="26">
        <f t="shared" si="91"/>
        <v>0</v>
      </c>
      <c r="W276" s="26"/>
      <c r="X276" s="26"/>
    </row>
    <row r="277" spans="1:24" x14ac:dyDescent="0.2">
      <c r="A277" s="572"/>
      <c r="B277" s="22"/>
      <c r="C277" s="23" t="s">
        <v>473</v>
      </c>
      <c r="D277" s="24" t="s">
        <v>474</v>
      </c>
      <c r="E277" s="25" t="s">
        <v>680</v>
      </c>
      <c r="F277" s="211">
        <v>1756.84</v>
      </c>
      <c r="G277" s="212">
        <f t="shared" si="103"/>
        <v>0.99990893568582806</v>
      </c>
      <c r="H277" s="213">
        <v>1756.84</v>
      </c>
      <c r="I277" s="214">
        <v>0</v>
      </c>
      <c r="J277" s="213"/>
      <c r="K277" s="215">
        <f t="shared" si="100"/>
        <v>0</v>
      </c>
      <c r="L277" s="216">
        <f t="shared" si="102"/>
        <v>0</v>
      </c>
      <c r="M277" s="626"/>
      <c r="N277" s="217">
        <f t="shared" si="101"/>
        <v>0</v>
      </c>
      <c r="O277" s="26"/>
      <c r="P277" s="26"/>
      <c r="Q277" s="26"/>
      <c r="R277" s="26"/>
      <c r="S277" s="26"/>
      <c r="T277" s="26"/>
      <c r="U277" s="26"/>
      <c r="V277" s="26">
        <f t="shared" si="91"/>
        <v>0</v>
      </c>
      <c r="W277" s="26"/>
      <c r="X277" s="26"/>
    </row>
    <row r="278" spans="1:24" ht="22.5" x14ac:dyDescent="0.2">
      <c r="A278" s="572"/>
      <c r="B278" s="22"/>
      <c r="C278" s="23" t="s">
        <v>515</v>
      </c>
      <c r="D278" s="24" t="s">
        <v>516</v>
      </c>
      <c r="E278" s="25" t="s">
        <v>681</v>
      </c>
      <c r="F278" s="211">
        <v>6840</v>
      </c>
      <c r="G278" s="212">
        <f t="shared" si="103"/>
        <v>1</v>
      </c>
      <c r="H278" s="213">
        <v>6840</v>
      </c>
      <c r="I278" s="214">
        <v>0</v>
      </c>
      <c r="J278" s="213"/>
      <c r="K278" s="215">
        <f t="shared" si="100"/>
        <v>0</v>
      </c>
      <c r="L278" s="216">
        <f t="shared" si="102"/>
        <v>0</v>
      </c>
      <c r="M278" s="626"/>
      <c r="N278" s="217">
        <f t="shared" si="101"/>
        <v>0</v>
      </c>
      <c r="O278" s="26"/>
      <c r="P278" s="26"/>
      <c r="Q278" s="26"/>
      <c r="R278" s="26"/>
      <c r="S278" s="26"/>
      <c r="T278" s="26"/>
      <c r="U278" s="26"/>
      <c r="V278" s="26">
        <f t="shared" si="91"/>
        <v>0</v>
      </c>
      <c r="W278" s="26"/>
      <c r="X278" s="26"/>
    </row>
    <row r="279" spans="1:24" ht="22.5" x14ac:dyDescent="0.2">
      <c r="A279" s="572"/>
      <c r="B279" s="22"/>
      <c r="C279" s="23" t="s">
        <v>475</v>
      </c>
      <c r="D279" s="24" t="s">
        <v>476</v>
      </c>
      <c r="E279" s="25" t="s">
        <v>682</v>
      </c>
      <c r="F279" s="211">
        <v>349</v>
      </c>
      <c r="G279" s="212">
        <f t="shared" si="103"/>
        <v>1</v>
      </c>
      <c r="H279" s="213">
        <v>349</v>
      </c>
      <c r="I279" s="214">
        <v>0</v>
      </c>
      <c r="J279" s="213"/>
      <c r="K279" s="215">
        <f t="shared" si="100"/>
        <v>0</v>
      </c>
      <c r="L279" s="216">
        <f t="shared" si="102"/>
        <v>0</v>
      </c>
      <c r="M279" s="626"/>
      <c r="N279" s="217">
        <f t="shared" si="101"/>
        <v>0</v>
      </c>
      <c r="O279" s="26"/>
      <c r="P279" s="26"/>
      <c r="Q279" s="26"/>
      <c r="R279" s="26"/>
      <c r="S279" s="26"/>
      <c r="T279" s="26"/>
      <c r="U279" s="26"/>
      <c r="V279" s="26">
        <f t="shared" si="91"/>
        <v>0</v>
      </c>
      <c r="W279" s="26"/>
      <c r="X279" s="26"/>
    </row>
    <row r="280" spans="1:24" ht="15" x14ac:dyDescent="0.2">
      <c r="A280" s="571"/>
      <c r="B280" s="15" t="s">
        <v>683</v>
      </c>
      <c r="C280" s="16"/>
      <c r="D280" s="17" t="s">
        <v>684</v>
      </c>
      <c r="E280" s="18">
        <f>E281+E282</f>
        <v>90776</v>
      </c>
      <c r="F280" s="18">
        <f t="shared" ref="F280:X280" si="104">F281+F282</f>
        <v>41240.770000000004</v>
      </c>
      <c r="G280" s="218">
        <f t="shared" si="103"/>
        <v>0.45431358508856973</v>
      </c>
      <c r="H280" s="18">
        <f t="shared" si="104"/>
        <v>80776</v>
      </c>
      <c r="I280" s="20">
        <f t="shared" si="104"/>
        <v>98369</v>
      </c>
      <c r="J280" s="114">
        <f t="shared" si="104"/>
        <v>0</v>
      </c>
      <c r="K280" s="209">
        <f t="shared" si="104"/>
        <v>98369</v>
      </c>
      <c r="L280" s="219">
        <f t="shared" si="102"/>
        <v>1.0836454569489733</v>
      </c>
      <c r="M280" s="21"/>
      <c r="N280" s="210">
        <f t="shared" si="104"/>
        <v>98369</v>
      </c>
      <c r="O280" s="95">
        <f t="shared" si="104"/>
        <v>0</v>
      </c>
      <c r="P280" s="95">
        <f t="shared" si="104"/>
        <v>0</v>
      </c>
      <c r="Q280" s="95">
        <f t="shared" si="104"/>
        <v>0</v>
      </c>
      <c r="R280" s="95">
        <f t="shared" si="104"/>
        <v>0</v>
      </c>
      <c r="S280" s="95">
        <f t="shared" si="104"/>
        <v>0</v>
      </c>
      <c r="T280" s="95">
        <f t="shared" si="104"/>
        <v>0</v>
      </c>
      <c r="U280" s="95">
        <f t="shared" si="104"/>
        <v>0</v>
      </c>
      <c r="V280" s="26">
        <f t="shared" si="91"/>
        <v>0</v>
      </c>
      <c r="W280" s="95">
        <f t="shared" si="104"/>
        <v>98369</v>
      </c>
      <c r="X280" s="95">
        <f t="shared" si="104"/>
        <v>0</v>
      </c>
    </row>
    <row r="281" spans="1:24" x14ac:dyDescent="0.2">
      <c r="A281" s="572"/>
      <c r="B281" s="22"/>
      <c r="C281" s="23" t="s">
        <v>386</v>
      </c>
      <c r="D281" s="24" t="s">
        <v>387</v>
      </c>
      <c r="E281" s="25" t="s">
        <v>685</v>
      </c>
      <c r="F281" s="211">
        <v>13402</v>
      </c>
      <c r="G281" s="212">
        <f t="shared" si="103"/>
        <v>0.41750778816199374</v>
      </c>
      <c r="H281" s="213">
        <v>32100</v>
      </c>
      <c r="I281" s="214">
        <v>27000</v>
      </c>
      <c r="J281" s="213"/>
      <c r="K281" s="215">
        <f>I281+J281</f>
        <v>27000</v>
      </c>
      <c r="L281" s="216">
        <f t="shared" si="102"/>
        <v>0.84112149532710279</v>
      </c>
      <c r="M281" s="626"/>
      <c r="N281" s="217">
        <f>V281+W281+X281</f>
        <v>27000</v>
      </c>
      <c r="O281" s="26"/>
      <c r="P281" s="26"/>
      <c r="Q281" s="26"/>
      <c r="R281" s="26"/>
      <c r="S281" s="26"/>
      <c r="T281" s="26"/>
      <c r="U281" s="26"/>
      <c r="V281" s="26">
        <f t="shared" si="91"/>
        <v>0</v>
      </c>
      <c r="W281" s="211">
        <v>27000</v>
      </c>
      <c r="X281" s="26"/>
    </row>
    <row r="282" spans="1:24" ht="22.5" x14ac:dyDescent="0.2">
      <c r="A282" s="572"/>
      <c r="B282" s="22"/>
      <c r="C282" s="23" t="s">
        <v>475</v>
      </c>
      <c r="D282" s="24" t="s">
        <v>476</v>
      </c>
      <c r="E282" s="25" t="s">
        <v>686</v>
      </c>
      <c r="F282" s="211">
        <v>27838.77</v>
      </c>
      <c r="G282" s="212">
        <f t="shared" si="103"/>
        <v>0.47444900811234575</v>
      </c>
      <c r="H282" s="213">
        <v>48676</v>
      </c>
      <c r="I282" s="214">
        <v>71369</v>
      </c>
      <c r="J282" s="213"/>
      <c r="K282" s="215">
        <f>I282+J282</f>
        <v>71369</v>
      </c>
      <c r="L282" s="216">
        <f t="shared" si="102"/>
        <v>1.2163235394369079</v>
      </c>
      <c r="M282" s="626"/>
      <c r="N282" s="217">
        <f>V282+W282+X282</f>
        <v>71369</v>
      </c>
      <c r="O282" s="26"/>
      <c r="P282" s="26"/>
      <c r="Q282" s="26"/>
      <c r="R282" s="26"/>
      <c r="S282" s="26"/>
      <c r="T282" s="26"/>
      <c r="U282" s="26"/>
      <c r="V282" s="26">
        <f t="shared" si="91"/>
        <v>0</v>
      </c>
      <c r="W282" s="211">
        <v>71369</v>
      </c>
      <c r="X282" s="26"/>
    </row>
    <row r="283" spans="1:24" ht="15" x14ac:dyDescent="0.2">
      <c r="A283" s="571"/>
      <c r="B283" s="15" t="s">
        <v>218</v>
      </c>
      <c r="C283" s="16"/>
      <c r="D283" s="17" t="s">
        <v>219</v>
      </c>
      <c r="E283" s="18">
        <f>E284+E285+E286+E287+E289+E290+E291+E292+E294+E293+E288</f>
        <v>670110</v>
      </c>
      <c r="F283" s="18">
        <f>F284+F285+F286+F287+F289+F290+F291+F292+F294+F293+F288</f>
        <v>422552.10000000009</v>
      </c>
      <c r="G283" s="218">
        <f t="shared" si="103"/>
        <v>0.63057124949635146</v>
      </c>
      <c r="H283" s="18">
        <f>H284+H285+H286+H287+H289+H290+H291+H292+H294+H293+H288</f>
        <v>612669.57000000007</v>
      </c>
      <c r="I283" s="20">
        <f t="shared" ref="I283:X283" si="105">I284+I285+I286+I287+I289+I290+I291+I292+I294+I293+I288</f>
        <v>628215</v>
      </c>
      <c r="J283" s="114">
        <f t="shared" si="105"/>
        <v>0</v>
      </c>
      <c r="K283" s="209">
        <f t="shared" si="105"/>
        <v>628215</v>
      </c>
      <c r="L283" s="219">
        <f t="shared" si="102"/>
        <v>0.93748041366342838</v>
      </c>
      <c r="M283" s="21"/>
      <c r="N283" s="210">
        <f t="shared" si="105"/>
        <v>628215</v>
      </c>
      <c r="O283" s="95">
        <f t="shared" si="105"/>
        <v>0</v>
      </c>
      <c r="P283" s="95">
        <f t="shared" si="105"/>
        <v>0</v>
      </c>
      <c r="Q283" s="95">
        <f t="shared" si="105"/>
        <v>0</v>
      </c>
      <c r="R283" s="95">
        <f t="shared" si="105"/>
        <v>0</v>
      </c>
      <c r="S283" s="95">
        <f t="shared" si="105"/>
        <v>0</v>
      </c>
      <c r="T283" s="95">
        <f t="shared" si="105"/>
        <v>0</v>
      </c>
      <c r="U283" s="95">
        <f t="shared" si="105"/>
        <v>0</v>
      </c>
      <c r="V283" s="26">
        <f t="shared" si="91"/>
        <v>0</v>
      </c>
      <c r="W283" s="95">
        <f t="shared" si="105"/>
        <v>628215</v>
      </c>
      <c r="X283" s="95">
        <f t="shared" si="105"/>
        <v>0</v>
      </c>
    </row>
    <row r="284" spans="1:24" x14ac:dyDescent="0.2">
      <c r="A284" s="572"/>
      <c r="B284" s="22"/>
      <c r="C284" s="23" t="s">
        <v>373</v>
      </c>
      <c r="D284" s="24" t="s">
        <v>374</v>
      </c>
      <c r="E284" s="25" t="s">
        <v>687</v>
      </c>
      <c r="F284" s="211">
        <v>190350.92</v>
      </c>
      <c r="G284" s="212">
        <f t="shared" si="103"/>
        <v>0.69625992993175345</v>
      </c>
      <c r="H284" s="213">
        <v>273390.59999999998</v>
      </c>
      <c r="I284" s="214">
        <v>246127</v>
      </c>
      <c r="J284" s="213"/>
      <c r="K284" s="215">
        <f>I284+J284</f>
        <v>246127</v>
      </c>
      <c r="L284" s="216">
        <f t="shared" si="102"/>
        <v>0.90027601534215151</v>
      </c>
      <c r="M284" s="626"/>
      <c r="N284" s="217">
        <f>V284+W284+X284</f>
        <v>246127</v>
      </c>
      <c r="O284" s="26"/>
      <c r="P284" s="26"/>
      <c r="Q284" s="26"/>
      <c r="R284" s="26"/>
      <c r="S284" s="26"/>
      <c r="T284" s="26"/>
      <c r="U284" s="26"/>
      <c r="V284" s="26">
        <f t="shared" si="91"/>
        <v>0</v>
      </c>
      <c r="W284" s="211">
        <v>246127</v>
      </c>
      <c r="X284" s="26"/>
    </row>
    <row r="285" spans="1:24" x14ac:dyDescent="0.2">
      <c r="A285" s="572"/>
      <c r="B285" s="22"/>
      <c r="C285" s="23" t="s">
        <v>466</v>
      </c>
      <c r="D285" s="24" t="s">
        <v>467</v>
      </c>
      <c r="E285" s="25" t="s">
        <v>688</v>
      </c>
      <c r="F285" s="211">
        <v>18661.400000000001</v>
      </c>
      <c r="G285" s="212">
        <f t="shared" si="103"/>
        <v>1</v>
      </c>
      <c r="H285" s="213">
        <v>18661.400000000001</v>
      </c>
      <c r="I285" s="214">
        <v>19221</v>
      </c>
      <c r="J285" s="213"/>
      <c r="K285" s="215">
        <f t="shared" ref="K285:K294" si="106">I285+J285</f>
        <v>19221</v>
      </c>
      <c r="L285" s="216">
        <f t="shared" si="102"/>
        <v>1.0299870320554727</v>
      </c>
      <c r="M285" s="626"/>
      <c r="N285" s="217">
        <f t="shared" ref="N285:N294" si="107">V285+W285+X285</f>
        <v>19221</v>
      </c>
      <c r="O285" s="26"/>
      <c r="P285" s="26"/>
      <c r="Q285" s="26"/>
      <c r="R285" s="26"/>
      <c r="S285" s="26"/>
      <c r="T285" s="26"/>
      <c r="U285" s="26"/>
      <c r="V285" s="26">
        <f t="shared" si="91"/>
        <v>0</v>
      </c>
      <c r="W285" s="211">
        <v>19221</v>
      </c>
      <c r="X285" s="26"/>
    </row>
    <row r="286" spans="1:24" x14ac:dyDescent="0.2">
      <c r="A286" s="572"/>
      <c r="B286" s="22"/>
      <c r="C286" s="23" t="s">
        <v>376</v>
      </c>
      <c r="D286" s="24" t="s">
        <v>377</v>
      </c>
      <c r="E286" s="25" t="s">
        <v>689</v>
      </c>
      <c r="F286" s="211">
        <v>32486.13</v>
      </c>
      <c r="G286" s="212">
        <f t="shared" si="103"/>
        <v>0.67019020898232007</v>
      </c>
      <c r="H286" s="213">
        <v>48473</v>
      </c>
      <c r="I286" s="214">
        <v>45092</v>
      </c>
      <c r="J286" s="213"/>
      <c r="K286" s="215">
        <f t="shared" si="106"/>
        <v>45092</v>
      </c>
      <c r="L286" s="216">
        <f t="shared" si="102"/>
        <v>0.93024982980215787</v>
      </c>
      <c r="M286" s="626"/>
      <c r="N286" s="217">
        <f t="shared" si="107"/>
        <v>45092</v>
      </c>
      <c r="O286" s="26"/>
      <c r="P286" s="26"/>
      <c r="Q286" s="26"/>
      <c r="R286" s="26"/>
      <c r="S286" s="26"/>
      <c r="T286" s="26"/>
      <c r="U286" s="26"/>
      <c r="V286" s="26">
        <f t="shared" ref="V286:V349" si="108">SUM(O286:U286)</f>
        <v>0</v>
      </c>
      <c r="W286" s="211">
        <v>45092</v>
      </c>
      <c r="X286" s="26"/>
    </row>
    <row r="287" spans="1:24" x14ac:dyDescent="0.2">
      <c r="A287" s="572"/>
      <c r="B287" s="22"/>
      <c r="C287" s="23" t="s">
        <v>379</v>
      </c>
      <c r="D287" s="24" t="s">
        <v>380</v>
      </c>
      <c r="E287" s="25" t="s">
        <v>690</v>
      </c>
      <c r="F287" s="211">
        <v>2233.0100000000002</v>
      </c>
      <c r="G287" s="212">
        <f t="shared" si="103"/>
        <v>0.55081647755303409</v>
      </c>
      <c r="H287" s="213">
        <v>4054</v>
      </c>
      <c r="I287" s="214">
        <v>6426</v>
      </c>
      <c r="J287" s="213"/>
      <c r="K287" s="215">
        <f t="shared" si="106"/>
        <v>6426</v>
      </c>
      <c r="L287" s="216">
        <f t="shared" si="102"/>
        <v>1.5851011346817958</v>
      </c>
      <c r="M287" s="626"/>
      <c r="N287" s="217">
        <f t="shared" si="107"/>
        <v>6426</v>
      </c>
      <c r="O287" s="26"/>
      <c r="P287" s="26"/>
      <c r="Q287" s="26"/>
      <c r="R287" s="26"/>
      <c r="S287" s="26"/>
      <c r="T287" s="26"/>
      <c r="U287" s="26"/>
      <c r="V287" s="26">
        <f t="shared" si="108"/>
        <v>0</v>
      </c>
      <c r="W287" s="211">
        <v>6426</v>
      </c>
      <c r="X287" s="26"/>
    </row>
    <row r="288" spans="1:24" x14ac:dyDescent="0.2">
      <c r="A288" s="572"/>
      <c r="B288" s="22"/>
      <c r="C288" s="23" t="s">
        <v>398</v>
      </c>
      <c r="D288" s="24" t="s">
        <v>399</v>
      </c>
      <c r="E288" s="25">
        <v>0</v>
      </c>
      <c r="F288" s="211">
        <v>0</v>
      </c>
      <c r="G288" s="212">
        <v>0</v>
      </c>
      <c r="H288" s="213">
        <v>0</v>
      </c>
      <c r="I288" s="214">
        <v>3000</v>
      </c>
      <c r="J288" s="213"/>
      <c r="K288" s="215">
        <f t="shared" si="106"/>
        <v>3000</v>
      </c>
      <c r="L288" s="216">
        <v>0</v>
      </c>
      <c r="M288" s="626"/>
      <c r="N288" s="217">
        <f t="shared" si="107"/>
        <v>3000</v>
      </c>
      <c r="O288" s="26"/>
      <c r="P288" s="26"/>
      <c r="Q288" s="26"/>
      <c r="R288" s="26"/>
      <c r="S288" s="26"/>
      <c r="T288" s="26"/>
      <c r="U288" s="26"/>
      <c r="V288" s="26">
        <f t="shared" si="108"/>
        <v>0</v>
      </c>
      <c r="W288" s="211">
        <v>3000</v>
      </c>
      <c r="X288" s="26"/>
    </row>
    <row r="289" spans="1:24" x14ac:dyDescent="0.2">
      <c r="A289" s="572"/>
      <c r="B289" s="22"/>
      <c r="C289" s="23" t="s">
        <v>382</v>
      </c>
      <c r="D289" s="24" t="s">
        <v>383</v>
      </c>
      <c r="E289" s="25" t="s">
        <v>691</v>
      </c>
      <c r="F289" s="211">
        <v>15139.13</v>
      </c>
      <c r="G289" s="212">
        <f t="shared" si="103"/>
        <v>0.64697136752136752</v>
      </c>
      <c r="H289" s="213">
        <v>23400</v>
      </c>
      <c r="I289" s="214">
        <v>24100</v>
      </c>
      <c r="J289" s="213"/>
      <c r="K289" s="215">
        <f t="shared" si="106"/>
        <v>24100</v>
      </c>
      <c r="L289" s="216">
        <f t="shared" si="102"/>
        <v>1.0299145299145298</v>
      </c>
      <c r="M289" s="626"/>
      <c r="N289" s="217">
        <f t="shared" si="107"/>
        <v>24100</v>
      </c>
      <c r="O289" s="26"/>
      <c r="P289" s="26"/>
      <c r="Q289" s="26"/>
      <c r="R289" s="26"/>
      <c r="S289" s="26"/>
      <c r="T289" s="26"/>
      <c r="U289" s="26"/>
      <c r="V289" s="26">
        <f t="shared" si="108"/>
        <v>0</v>
      </c>
      <c r="W289" s="211">
        <v>24100</v>
      </c>
      <c r="X289" s="26"/>
    </row>
    <row r="290" spans="1:24" x14ac:dyDescent="0.2">
      <c r="A290" s="572"/>
      <c r="B290" s="22"/>
      <c r="C290" s="23" t="s">
        <v>630</v>
      </c>
      <c r="D290" s="24" t="s">
        <v>631</v>
      </c>
      <c r="E290" s="25" t="s">
        <v>692</v>
      </c>
      <c r="F290" s="211">
        <v>152807.48000000001</v>
      </c>
      <c r="G290" s="212">
        <f t="shared" si="103"/>
        <v>0.5342918881118881</v>
      </c>
      <c r="H290" s="213">
        <v>229188.57</v>
      </c>
      <c r="I290" s="214">
        <v>269000</v>
      </c>
      <c r="J290" s="213"/>
      <c r="K290" s="215">
        <f t="shared" si="106"/>
        <v>269000</v>
      </c>
      <c r="L290" s="216">
        <f t="shared" si="102"/>
        <v>0.94055944055944052</v>
      </c>
      <c r="M290" s="626"/>
      <c r="N290" s="217">
        <f t="shared" si="107"/>
        <v>269000</v>
      </c>
      <c r="O290" s="26"/>
      <c r="P290" s="26"/>
      <c r="Q290" s="26"/>
      <c r="R290" s="26"/>
      <c r="S290" s="26"/>
      <c r="T290" s="26"/>
      <c r="U290" s="26"/>
      <c r="V290" s="26">
        <f t="shared" si="108"/>
        <v>0</v>
      </c>
      <c r="W290" s="211">
        <v>269000</v>
      </c>
      <c r="X290" s="26"/>
    </row>
    <row r="291" spans="1:24" x14ac:dyDescent="0.2">
      <c r="A291" s="572"/>
      <c r="B291" s="22"/>
      <c r="C291" s="23" t="s">
        <v>416</v>
      </c>
      <c r="D291" s="24" t="s">
        <v>417</v>
      </c>
      <c r="E291" s="25" t="s">
        <v>91</v>
      </c>
      <c r="F291" s="211">
        <v>0</v>
      </c>
      <c r="G291" s="212">
        <f t="shared" si="103"/>
        <v>0</v>
      </c>
      <c r="H291" s="213">
        <v>1500</v>
      </c>
      <c r="I291" s="214">
        <v>1500</v>
      </c>
      <c r="J291" s="213"/>
      <c r="K291" s="215">
        <f t="shared" si="106"/>
        <v>1500</v>
      </c>
      <c r="L291" s="216">
        <f t="shared" si="102"/>
        <v>1</v>
      </c>
      <c r="M291" s="626"/>
      <c r="N291" s="217">
        <f t="shared" si="107"/>
        <v>1500</v>
      </c>
      <c r="O291" s="26"/>
      <c r="P291" s="26"/>
      <c r="Q291" s="26"/>
      <c r="R291" s="26"/>
      <c r="S291" s="26"/>
      <c r="T291" s="26"/>
      <c r="U291" s="26"/>
      <c r="V291" s="26">
        <f t="shared" si="108"/>
        <v>0</v>
      </c>
      <c r="W291" s="211">
        <v>1500</v>
      </c>
      <c r="X291" s="26"/>
    </row>
    <row r="292" spans="1:24" x14ac:dyDescent="0.2">
      <c r="A292" s="572"/>
      <c r="B292" s="22"/>
      <c r="C292" s="23" t="s">
        <v>502</v>
      </c>
      <c r="D292" s="24" t="s">
        <v>503</v>
      </c>
      <c r="E292" s="25" t="s">
        <v>693</v>
      </c>
      <c r="F292" s="211">
        <v>471</v>
      </c>
      <c r="G292" s="212">
        <f t="shared" si="103"/>
        <v>0.42818181818181816</v>
      </c>
      <c r="H292" s="213">
        <v>471</v>
      </c>
      <c r="I292" s="214">
        <v>950</v>
      </c>
      <c r="J292" s="213"/>
      <c r="K292" s="215">
        <f t="shared" si="106"/>
        <v>950</v>
      </c>
      <c r="L292" s="216">
        <f t="shared" si="102"/>
        <v>0.86363636363636365</v>
      </c>
      <c r="M292" s="626"/>
      <c r="N292" s="217">
        <f t="shared" si="107"/>
        <v>950</v>
      </c>
      <c r="O292" s="26"/>
      <c r="P292" s="26"/>
      <c r="Q292" s="26"/>
      <c r="R292" s="26"/>
      <c r="S292" s="26"/>
      <c r="T292" s="26"/>
      <c r="U292" s="26"/>
      <c r="V292" s="26">
        <f t="shared" si="108"/>
        <v>0</v>
      </c>
      <c r="W292" s="211">
        <v>950</v>
      </c>
      <c r="X292" s="26"/>
    </row>
    <row r="293" spans="1:24" x14ac:dyDescent="0.2">
      <c r="A293" s="572"/>
      <c r="B293" s="22"/>
      <c r="C293" s="23" t="s">
        <v>386</v>
      </c>
      <c r="D293" s="24" t="s">
        <v>387</v>
      </c>
      <c r="E293" s="25" t="s">
        <v>573</v>
      </c>
      <c r="F293" s="211">
        <v>372.03</v>
      </c>
      <c r="G293" s="212">
        <f t="shared" si="103"/>
        <v>0.1062942857142857</v>
      </c>
      <c r="H293" s="213">
        <v>3500</v>
      </c>
      <c r="I293" s="214">
        <v>3500</v>
      </c>
      <c r="J293" s="213"/>
      <c r="K293" s="215">
        <f t="shared" si="106"/>
        <v>3500</v>
      </c>
      <c r="L293" s="216">
        <f t="shared" si="102"/>
        <v>1</v>
      </c>
      <c r="M293" s="626"/>
      <c r="N293" s="217">
        <f t="shared" si="107"/>
        <v>3500</v>
      </c>
      <c r="O293" s="26"/>
      <c r="P293" s="26"/>
      <c r="Q293" s="26"/>
      <c r="R293" s="26"/>
      <c r="S293" s="26"/>
      <c r="T293" s="26"/>
      <c r="U293" s="26"/>
      <c r="V293" s="26">
        <f t="shared" si="108"/>
        <v>0</v>
      </c>
      <c r="W293" s="211">
        <v>3500</v>
      </c>
      <c r="X293" s="26"/>
    </row>
    <row r="294" spans="1:24" ht="22.5" x14ac:dyDescent="0.2">
      <c r="A294" s="572"/>
      <c r="B294" s="22"/>
      <c r="C294" s="23" t="s">
        <v>515</v>
      </c>
      <c r="D294" s="24" t="s">
        <v>516</v>
      </c>
      <c r="E294" s="25" t="s">
        <v>694</v>
      </c>
      <c r="F294" s="211">
        <v>10031</v>
      </c>
      <c r="G294" s="212">
        <f t="shared" si="103"/>
        <v>1</v>
      </c>
      <c r="H294" s="213">
        <v>10031</v>
      </c>
      <c r="I294" s="214">
        <v>9299</v>
      </c>
      <c r="J294" s="213"/>
      <c r="K294" s="215">
        <f t="shared" si="106"/>
        <v>9299</v>
      </c>
      <c r="L294" s="216">
        <f t="shared" si="102"/>
        <v>0.92702621872196189</v>
      </c>
      <c r="M294" s="626"/>
      <c r="N294" s="217">
        <f t="shared" si="107"/>
        <v>9299</v>
      </c>
      <c r="O294" s="26"/>
      <c r="P294" s="26"/>
      <c r="Q294" s="26"/>
      <c r="R294" s="26"/>
      <c r="S294" s="26"/>
      <c r="T294" s="26"/>
      <c r="U294" s="26"/>
      <c r="V294" s="26">
        <f t="shared" si="108"/>
        <v>0</v>
      </c>
      <c r="W294" s="211">
        <v>9299</v>
      </c>
      <c r="X294" s="26"/>
    </row>
    <row r="295" spans="1:24" ht="67.5" x14ac:dyDescent="0.2">
      <c r="A295" s="571"/>
      <c r="B295" s="15" t="s">
        <v>695</v>
      </c>
      <c r="C295" s="16"/>
      <c r="D295" s="17" t="s">
        <v>696</v>
      </c>
      <c r="E295" s="18">
        <f>E296+E298+E299+E300+E301+E302+E303+E304+E305+E306+E307+E308+E297</f>
        <v>579684</v>
      </c>
      <c r="F295" s="18">
        <f>F296+F298+F299+F300+F301+F302+F303+F304+F305+F306+F307+F308+F297</f>
        <v>374025.61000000004</v>
      </c>
      <c r="G295" s="218">
        <f t="shared" si="103"/>
        <v>0.64522327681978464</v>
      </c>
      <c r="H295" s="18">
        <f>H296+H298+H299+H300+H301+H302+H303+H304+H305+H306+H307+H308+H297</f>
        <v>579466.43999999994</v>
      </c>
      <c r="I295" s="20">
        <f t="shared" ref="I295:X295" si="109">I296+I298+I299+I300+I301+I302+I303+I304+I305+I306+I307+I308+I297</f>
        <v>819337</v>
      </c>
      <c r="J295" s="114">
        <f t="shared" si="109"/>
        <v>0</v>
      </c>
      <c r="K295" s="209">
        <f t="shared" si="109"/>
        <v>819337</v>
      </c>
      <c r="L295" s="219">
        <f t="shared" si="102"/>
        <v>1.413420070245168</v>
      </c>
      <c r="M295" s="21"/>
      <c r="N295" s="210">
        <f t="shared" si="109"/>
        <v>819337</v>
      </c>
      <c r="O295" s="95">
        <f t="shared" si="109"/>
        <v>170000</v>
      </c>
      <c r="P295" s="95">
        <f t="shared" si="109"/>
        <v>0</v>
      </c>
      <c r="Q295" s="95">
        <f t="shared" si="109"/>
        <v>0</v>
      </c>
      <c r="R295" s="95">
        <f t="shared" si="109"/>
        <v>0</v>
      </c>
      <c r="S295" s="95">
        <f t="shared" si="109"/>
        <v>0</v>
      </c>
      <c r="T295" s="95">
        <f t="shared" si="109"/>
        <v>0</v>
      </c>
      <c r="U295" s="95">
        <f t="shared" si="109"/>
        <v>0</v>
      </c>
      <c r="V295" s="26">
        <f t="shared" si="108"/>
        <v>170000</v>
      </c>
      <c r="W295" s="95">
        <f t="shared" si="109"/>
        <v>649337</v>
      </c>
      <c r="X295" s="95">
        <f t="shared" si="109"/>
        <v>0</v>
      </c>
    </row>
    <row r="296" spans="1:24" ht="22.5" x14ac:dyDescent="0.2">
      <c r="A296" s="572"/>
      <c r="B296" s="22"/>
      <c r="C296" s="23" t="s">
        <v>620</v>
      </c>
      <c r="D296" s="24" t="s">
        <v>621</v>
      </c>
      <c r="E296" s="25" t="s">
        <v>697</v>
      </c>
      <c r="F296" s="211">
        <v>127481</v>
      </c>
      <c r="G296" s="212">
        <f t="shared" si="103"/>
        <v>0.71581542124295305</v>
      </c>
      <c r="H296" s="213">
        <v>178092</v>
      </c>
      <c r="I296" s="214">
        <v>170000</v>
      </c>
      <c r="J296" s="213"/>
      <c r="K296" s="215">
        <f>I296+J296</f>
        <v>170000</v>
      </c>
      <c r="L296" s="216">
        <f t="shared" si="102"/>
        <v>0.95456281023291334</v>
      </c>
      <c r="M296" s="626"/>
      <c r="N296" s="217">
        <f>V296+W296+X296</f>
        <v>170000</v>
      </c>
      <c r="O296" s="26">
        <v>170000</v>
      </c>
      <c r="P296" s="26"/>
      <c r="Q296" s="26"/>
      <c r="R296" s="26"/>
      <c r="S296" s="26"/>
      <c r="T296" s="26"/>
      <c r="U296" s="26"/>
      <c r="V296" s="26">
        <f t="shared" si="108"/>
        <v>170000</v>
      </c>
      <c r="W296" s="26"/>
      <c r="X296" s="26"/>
    </row>
    <row r="297" spans="1:24" ht="22.5" x14ac:dyDescent="0.2">
      <c r="A297" s="572"/>
      <c r="B297" s="22"/>
      <c r="C297" s="23" t="s">
        <v>488</v>
      </c>
      <c r="D297" s="24" t="s">
        <v>489</v>
      </c>
      <c r="E297" s="25">
        <v>0</v>
      </c>
      <c r="F297" s="211">
        <v>0</v>
      </c>
      <c r="G297" s="212">
        <v>0</v>
      </c>
      <c r="H297" s="213">
        <v>0</v>
      </c>
      <c r="I297" s="214">
        <v>36808</v>
      </c>
      <c r="J297" s="213"/>
      <c r="K297" s="215">
        <f t="shared" ref="K297:K308" si="110">I297+J297</f>
        <v>36808</v>
      </c>
      <c r="L297" s="216">
        <v>0</v>
      </c>
      <c r="M297" s="626"/>
      <c r="N297" s="217">
        <f t="shared" ref="N297:N308" si="111">V297+W297+X297</f>
        <v>36808</v>
      </c>
      <c r="O297" s="26"/>
      <c r="P297" s="26"/>
      <c r="Q297" s="26"/>
      <c r="R297" s="26"/>
      <c r="S297" s="26"/>
      <c r="T297" s="26"/>
      <c r="U297" s="26"/>
      <c r="V297" s="26">
        <f t="shared" si="108"/>
        <v>0</v>
      </c>
      <c r="W297" s="211">
        <v>36808</v>
      </c>
      <c r="X297" s="26"/>
    </row>
    <row r="298" spans="1:24" x14ac:dyDescent="0.2">
      <c r="A298" s="572"/>
      <c r="B298" s="22"/>
      <c r="C298" s="23" t="s">
        <v>373</v>
      </c>
      <c r="D298" s="24" t="s">
        <v>374</v>
      </c>
      <c r="E298" s="25" t="s">
        <v>698</v>
      </c>
      <c r="F298" s="211">
        <v>171834.41</v>
      </c>
      <c r="G298" s="212">
        <f t="shared" si="103"/>
        <v>0.65336277566539924</v>
      </c>
      <c r="H298" s="213">
        <v>263000</v>
      </c>
      <c r="I298" s="214">
        <v>428267</v>
      </c>
      <c r="J298" s="213"/>
      <c r="K298" s="215">
        <f t="shared" si="110"/>
        <v>428267</v>
      </c>
      <c r="L298" s="216">
        <f t="shared" si="102"/>
        <v>1.6283916349809886</v>
      </c>
      <c r="M298" s="626"/>
      <c r="N298" s="217">
        <f t="shared" si="111"/>
        <v>428267</v>
      </c>
      <c r="O298" s="26"/>
      <c r="P298" s="26"/>
      <c r="Q298" s="26"/>
      <c r="R298" s="26"/>
      <c r="S298" s="26"/>
      <c r="T298" s="26"/>
      <c r="U298" s="26"/>
      <c r="V298" s="26">
        <f t="shared" si="108"/>
        <v>0</v>
      </c>
      <c r="W298" s="211">
        <v>428267</v>
      </c>
      <c r="X298" s="26"/>
    </row>
    <row r="299" spans="1:24" x14ac:dyDescent="0.2">
      <c r="A299" s="572"/>
      <c r="B299" s="22"/>
      <c r="C299" s="23" t="s">
        <v>466</v>
      </c>
      <c r="D299" s="24" t="s">
        <v>467</v>
      </c>
      <c r="E299" s="25" t="s">
        <v>699</v>
      </c>
      <c r="F299" s="211">
        <v>15897.35</v>
      </c>
      <c r="G299" s="212">
        <f t="shared" si="103"/>
        <v>0.9864994591964833</v>
      </c>
      <c r="H299" s="213">
        <v>15897.35</v>
      </c>
      <c r="I299" s="214">
        <v>33395</v>
      </c>
      <c r="J299" s="213"/>
      <c r="K299" s="215">
        <f t="shared" si="110"/>
        <v>33395</v>
      </c>
      <c r="L299" s="216">
        <f t="shared" si="102"/>
        <v>2.0723044683463949</v>
      </c>
      <c r="M299" s="626"/>
      <c r="N299" s="217">
        <f t="shared" si="111"/>
        <v>33395</v>
      </c>
      <c r="O299" s="26"/>
      <c r="P299" s="26"/>
      <c r="Q299" s="26"/>
      <c r="R299" s="26"/>
      <c r="S299" s="26"/>
      <c r="T299" s="26"/>
      <c r="U299" s="26"/>
      <c r="V299" s="26">
        <f t="shared" si="108"/>
        <v>0</v>
      </c>
      <c r="W299" s="211">
        <v>33395</v>
      </c>
      <c r="X299" s="26"/>
    </row>
    <row r="300" spans="1:24" x14ac:dyDescent="0.2">
      <c r="A300" s="572"/>
      <c r="B300" s="22"/>
      <c r="C300" s="23" t="s">
        <v>376</v>
      </c>
      <c r="D300" s="24" t="s">
        <v>377</v>
      </c>
      <c r="E300" s="25" t="s">
        <v>700</v>
      </c>
      <c r="F300" s="211">
        <v>27467.96</v>
      </c>
      <c r="G300" s="212">
        <f t="shared" si="103"/>
        <v>0.57216572583164949</v>
      </c>
      <c r="H300" s="25" t="s">
        <v>700</v>
      </c>
      <c r="I300" s="214">
        <v>82423</v>
      </c>
      <c r="J300" s="213"/>
      <c r="K300" s="215">
        <f t="shared" si="110"/>
        <v>82423</v>
      </c>
      <c r="L300" s="216">
        <f t="shared" si="102"/>
        <v>1.7168954527464744</v>
      </c>
      <c r="M300" s="626"/>
      <c r="N300" s="217">
        <f t="shared" si="111"/>
        <v>82423</v>
      </c>
      <c r="O300" s="26"/>
      <c r="P300" s="26"/>
      <c r="Q300" s="26"/>
      <c r="R300" s="26"/>
      <c r="S300" s="26"/>
      <c r="T300" s="26"/>
      <c r="U300" s="26"/>
      <c r="V300" s="26">
        <f t="shared" si="108"/>
        <v>0</v>
      </c>
      <c r="W300" s="211">
        <v>82423</v>
      </c>
      <c r="X300" s="26"/>
    </row>
    <row r="301" spans="1:24" x14ac:dyDescent="0.2">
      <c r="A301" s="572"/>
      <c r="B301" s="22"/>
      <c r="C301" s="23" t="s">
        <v>379</v>
      </c>
      <c r="D301" s="24" t="s">
        <v>380</v>
      </c>
      <c r="E301" s="25" t="s">
        <v>701</v>
      </c>
      <c r="F301" s="211">
        <v>3734.52</v>
      </c>
      <c r="G301" s="212">
        <f t="shared" si="103"/>
        <v>0.49979590716921235</v>
      </c>
      <c r="H301" s="25" t="s">
        <v>701</v>
      </c>
      <c r="I301" s="214">
        <v>11797</v>
      </c>
      <c r="J301" s="213"/>
      <c r="K301" s="215">
        <f t="shared" si="110"/>
        <v>11797</v>
      </c>
      <c r="L301" s="216">
        <f t="shared" si="102"/>
        <v>1.5788086064273852</v>
      </c>
      <c r="M301" s="626"/>
      <c r="N301" s="217">
        <f t="shared" si="111"/>
        <v>11797</v>
      </c>
      <c r="O301" s="26"/>
      <c r="P301" s="26"/>
      <c r="Q301" s="26"/>
      <c r="R301" s="26"/>
      <c r="S301" s="26"/>
      <c r="T301" s="26"/>
      <c r="U301" s="26"/>
      <c r="V301" s="26">
        <f t="shared" si="108"/>
        <v>0</v>
      </c>
      <c r="W301" s="211">
        <v>11797</v>
      </c>
      <c r="X301" s="26"/>
    </row>
    <row r="302" spans="1:24" x14ac:dyDescent="0.2">
      <c r="A302" s="572"/>
      <c r="B302" s="22"/>
      <c r="C302" s="23" t="s">
        <v>382</v>
      </c>
      <c r="D302" s="24" t="s">
        <v>383</v>
      </c>
      <c r="E302" s="25" t="s">
        <v>702</v>
      </c>
      <c r="F302" s="211">
        <v>4625.67</v>
      </c>
      <c r="G302" s="212">
        <f t="shared" si="103"/>
        <v>0.20111608695652175</v>
      </c>
      <c r="H302" s="25" t="s">
        <v>702</v>
      </c>
      <c r="I302" s="214">
        <v>12000</v>
      </c>
      <c r="J302" s="213"/>
      <c r="K302" s="215">
        <f t="shared" si="110"/>
        <v>12000</v>
      </c>
      <c r="L302" s="216">
        <f t="shared" si="102"/>
        <v>0.52173913043478259</v>
      </c>
      <c r="M302" s="626"/>
      <c r="N302" s="217">
        <f t="shared" si="111"/>
        <v>12000</v>
      </c>
      <c r="O302" s="26"/>
      <c r="P302" s="26"/>
      <c r="Q302" s="26"/>
      <c r="R302" s="26"/>
      <c r="S302" s="26"/>
      <c r="T302" s="26"/>
      <c r="U302" s="26"/>
      <c r="V302" s="26">
        <f t="shared" si="108"/>
        <v>0</v>
      </c>
      <c r="W302" s="211">
        <v>12000</v>
      </c>
      <c r="X302" s="26"/>
    </row>
    <row r="303" spans="1:24" x14ac:dyDescent="0.2">
      <c r="A303" s="572"/>
      <c r="B303" s="22"/>
      <c r="C303" s="23" t="s">
        <v>498</v>
      </c>
      <c r="D303" s="24" t="s">
        <v>499</v>
      </c>
      <c r="E303" s="25" t="s">
        <v>703</v>
      </c>
      <c r="F303" s="211">
        <v>1.34</v>
      </c>
      <c r="G303" s="212">
        <f t="shared" si="103"/>
        <v>4.0606060606060606E-3</v>
      </c>
      <c r="H303" s="25" t="s">
        <v>703</v>
      </c>
      <c r="I303" s="214">
        <v>5000</v>
      </c>
      <c r="J303" s="213"/>
      <c r="K303" s="215">
        <f t="shared" si="110"/>
        <v>5000</v>
      </c>
      <c r="L303" s="216">
        <f t="shared" si="102"/>
        <v>15.151515151515152</v>
      </c>
      <c r="M303" s="626"/>
      <c r="N303" s="217">
        <f t="shared" si="111"/>
        <v>5000</v>
      </c>
      <c r="O303" s="26"/>
      <c r="P303" s="26"/>
      <c r="Q303" s="26"/>
      <c r="R303" s="26"/>
      <c r="S303" s="26"/>
      <c r="T303" s="26"/>
      <c r="U303" s="26"/>
      <c r="V303" s="26">
        <f t="shared" si="108"/>
        <v>0</v>
      </c>
      <c r="W303" s="211">
        <v>5000</v>
      </c>
      <c r="X303" s="26"/>
    </row>
    <row r="304" spans="1:24" x14ac:dyDescent="0.2">
      <c r="A304" s="572"/>
      <c r="B304" s="22"/>
      <c r="C304" s="23" t="s">
        <v>401</v>
      </c>
      <c r="D304" s="24" t="s">
        <v>402</v>
      </c>
      <c r="E304" s="25" t="s">
        <v>704</v>
      </c>
      <c r="F304" s="211">
        <v>4809.54</v>
      </c>
      <c r="G304" s="212">
        <f t="shared" si="103"/>
        <v>0.30893756423432683</v>
      </c>
      <c r="H304" s="25" t="s">
        <v>704</v>
      </c>
      <c r="I304" s="214">
        <v>10500</v>
      </c>
      <c r="J304" s="213"/>
      <c r="K304" s="215">
        <f t="shared" si="110"/>
        <v>10500</v>
      </c>
      <c r="L304" s="216">
        <f t="shared" si="102"/>
        <v>0.67446043165467628</v>
      </c>
      <c r="M304" s="626"/>
      <c r="N304" s="217">
        <f t="shared" si="111"/>
        <v>10500</v>
      </c>
      <c r="O304" s="26"/>
      <c r="P304" s="26"/>
      <c r="Q304" s="26"/>
      <c r="R304" s="26"/>
      <c r="S304" s="26"/>
      <c r="T304" s="26"/>
      <c r="U304" s="26"/>
      <c r="V304" s="26">
        <f t="shared" si="108"/>
        <v>0</v>
      </c>
      <c r="W304" s="211">
        <v>10500</v>
      </c>
      <c r="X304" s="26"/>
    </row>
    <row r="305" spans="1:24" x14ac:dyDescent="0.2">
      <c r="A305" s="572"/>
      <c r="B305" s="22"/>
      <c r="C305" s="23" t="s">
        <v>416</v>
      </c>
      <c r="D305" s="24" t="s">
        <v>417</v>
      </c>
      <c r="E305" s="25" t="s">
        <v>104</v>
      </c>
      <c r="F305" s="211">
        <v>0</v>
      </c>
      <c r="G305" s="212">
        <f t="shared" si="103"/>
        <v>0</v>
      </c>
      <c r="H305" s="25" t="s">
        <v>104</v>
      </c>
      <c r="I305" s="214">
        <v>2500</v>
      </c>
      <c r="J305" s="213"/>
      <c r="K305" s="215">
        <f t="shared" si="110"/>
        <v>2500</v>
      </c>
      <c r="L305" s="216">
        <f t="shared" si="102"/>
        <v>2.5</v>
      </c>
      <c r="M305" s="626"/>
      <c r="N305" s="217">
        <f t="shared" si="111"/>
        <v>2500</v>
      </c>
      <c r="O305" s="26"/>
      <c r="P305" s="26"/>
      <c r="Q305" s="26"/>
      <c r="R305" s="26"/>
      <c r="S305" s="26"/>
      <c r="T305" s="26"/>
      <c r="U305" s="26"/>
      <c r="V305" s="26">
        <f t="shared" si="108"/>
        <v>0</v>
      </c>
      <c r="W305" s="211">
        <v>2500</v>
      </c>
      <c r="X305" s="26"/>
    </row>
    <row r="306" spans="1:24" x14ac:dyDescent="0.2">
      <c r="A306" s="572"/>
      <c r="B306" s="22"/>
      <c r="C306" s="23" t="s">
        <v>386</v>
      </c>
      <c r="D306" s="24" t="s">
        <v>387</v>
      </c>
      <c r="E306" s="25" t="s">
        <v>255</v>
      </c>
      <c r="F306" s="211">
        <v>3570.76</v>
      </c>
      <c r="G306" s="212">
        <f t="shared" si="103"/>
        <v>0.31050086956521739</v>
      </c>
      <c r="H306" s="25" t="s">
        <v>255</v>
      </c>
      <c r="I306" s="214">
        <v>7000</v>
      </c>
      <c r="J306" s="213"/>
      <c r="K306" s="215">
        <f t="shared" si="110"/>
        <v>7000</v>
      </c>
      <c r="L306" s="216">
        <f t="shared" si="102"/>
        <v>0.60869565217391308</v>
      </c>
      <c r="M306" s="626"/>
      <c r="N306" s="217">
        <f t="shared" si="111"/>
        <v>7000</v>
      </c>
      <c r="O306" s="26"/>
      <c r="P306" s="26"/>
      <c r="Q306" s="26"/>
      <c r="R306" s="26"/>
      <c r="S306" s="26"/>
      <c r="T306" s="26"/>
      <c r="U306" s="26"/>
      <c r="V306" s="26">
        <f t="shared" si="108"/>
        <v>0</v>
      </c>
      <c r="W306" s="211">
        <v>7000</v>
      </c>
      <c r="X306" s="26"/>
    </row>
    <row r="307" spans="1:24" ht="22.5" x14ac:dyDescent="0.2">
      <c r="A307" s="572"/>
      <c r="B307" s="22"/>
      <c r="C307" s="23" t="s">
        <v>506</v>
      </c>
      <c r="D307" s="24" t="s">
        <v>507</v>
      </c>
      <c r="E307" s="25" t="s">
        <v>104</v>
      </c>
      <c r="F307" s="211">
        <v>3.06</v>
      </c>
      <c r="G307" s="212">
        <f t="shared" si="103"/>
        <v>3.0600000000000002E-3</v>
      </c>
      <c r="H307" s="25" t="s">
        <v>104</v>
      </c>
      <c r="I307" s="214">
        <v>1500</v>
      </c>
      <c r="J307" s="213"/>
      <c r="K307" s="215">
        <f t="shared" si="110"/>
        <v>1500</v>
      </c>
      <c r="L307" s="216">
        <f t="shared" si="102"/>
        <v>1.5</v>
      </c>
      <c r="M307" s="626"/>
      <c r="N307" s="217">
        <f t="shared" si="111"/>
        <v>1500</v>
      </c>
      <c r="O307" s="26"/>
      <c r="P307" s="26"/>
      <c r="Q307" s="26"/>
      <c r="R307" s="26"/>
      <c r="S307" s="26"/>
      <c r="T307" s="26"/>
      <c r="U307" s="26"/>
      <c r="V307" s="26">
        <f t="shared" si="108"/>
        <v>0</v>
      </c>
      <c r="W307" s="211">
        <v>1500</v>
      </c>
      <c r="X307" s="26"/>
    </row>
    <row r="308" spans="1:24" ht="22.5" x14ac:dyDescent="0.2">
      <c r="A308" s="572"/>
      <c r="B308" s="22"/>
      <c r="C308" s="23" t="s">
        <v>515</v>
      </c>
      <c r="D308" s="24" t="s">
        <v>516</v>
      </c>
      <c r="E308" s="25" t="s">
        <v>705</v>
      </c>
      <c r="F308" s="211">
        <v>14600</v>
      </c>
      <c r="G308" s="212">
        <f t="shared" si="103"/>
        <v>1</v>
      </c>
      <c r="H308" s="25" t="s">
        <v>705</v>
      </c>
      <c r="I308" s="214">
        <v>18147</v>
      </c>
      <c r="J308" s="213"/>
      <c r="K308" s="215">
        <f t="shared" si="110"/>
        <v>18147</v>
      </c>
      <c r="L308" s="216">
        <f t="shared" si="102"/>
        <v>1.2429452054794521</v>
      </c>
      <c r="M308" s="626"/>
      <c r="N308" s="217">
        <f t="shared" si="111"/>
        <v>18147</v>
      </c>
      <c r="O308" s="26"/>
      <c r="P308" s="26"/>
      <c r="Q308" s="26"/>
      <c r="R308" s="26"/>
      <c r="S308" s="26"/>
      <c r="T308" s="26"/>
      <c r="U308" s="26"/>
      <c r="V308" s="26">
        <f t="shared" si="108"/>
        <v>0</v>
      </c>
      <c r="W308" s="211">
        <v>18147</v>
      </c>
      <c r="X308" s="26"/>
    </row>
    <row r="309" spans="1:24" ht="78.75" x14ac:dyDescent="0.2">
      <c r="A309" s="571"/>
      <c r="B309" s="15" t="s">
        <v>224</v>
      </c>
      <c r="C309" s="16"/>
      <c r="D309" s="17" t="s">
        <v>225</v>
      </c>
      <c r="E309" s="18">
        <f>E310+E312+E313+E314+E315+E316+E317+E318+E319+E321+E322+E323+E320+E311</f>
        <v>546414.98</v>
      </c>
      <c r="F309" s="18">
        <f>F310+F312+F313+F314+F315+F316+F317+F318+F319+F321+F322+F323+F320+F311</f>
        <v>317744.64999999997</v>
      </c>
      <c r="G309" s="218">
        <f t="shared" si="103"/>
        <v>0.58150794108902359</v>
      </c>
      <c r="H309" s="18">
        <f>H310+H312+H313+H314+H315+H316+H317+H318+H319+H321+H322+H323+H320+H311</f>
        <v>546414.98</v>
      </c>
      <c r="I309" s="20">
        <f t="shared" ref="I309:X309" si="112">I310+I312+I313+I314+I315+I316+I317+I318+I319+I321+I322+I323+I320+I311</f>
        <v>533438</v>
      </c>
      <c r="J309" s="114">
        <f t="shared" si="112"/>
        <v>0</v>
      </c>
      <c r="K309" s="209">
        <f t="shared" si="112"/>
        <v>533438</v>
      </c>
      <c r="L309" s="219">
        <f t="shared" si="102"/>
        <v>0.97625068770991608</v>
      </c>
      <c r="M309" s="21"/>
      <c r="N309" s="210">
        <f t="shared" si="112"/>
        <v>533438</v>
      </c>
      <c r="O309" s="95">
        <f t="shared" si="112"/>
        <v>25641</v>
      </c>
      <c r="P309" s="95">
        <f t="shared" si="112"/>
        <v>0</v>
      </c>
      <c r="Q309" s="95">
        <f t="shared" si="112"/>
        <v>0</v>
      </c>
      <c r="R309" s="95">
        <f t="shared" si="112"/>
        <v>0</v>
      </c>
      <c r="S309" s="95">
        <f t="shared" si="112"/>
        <v>0</v>
      </c>
      <c r="T309" s="95">
        <f t="shared" si="112"/>
        <v>0</v>
      </c>
      <c r="U309" s="95">
        <f t="shared" si="112"/>
        <v>0</v>
      </c>
      <c r="V309" s="26">
        <f t="shared" si="108"/>
        <v>25641</v>
      </c>
      <c r="W309" s="95">
        <f t="shared" si="112"/>
        <v>507797</v>
      </c>
      <c r="X309" s="95">
        <f t="shared" si="112"/>
        <v>0</v>
      </c>
    </row>
    <row r="310" spans="1:24" ht="22.5" x14ac:dyDescent="0.2">
      <c r="A310" s="572"/>
      <c r="B310" s="22"/>
      <c r="C310" s="23" t="s">
        <v>620</v>
      </c>
      <c r="D310" s="24" t="s">
        <v>621</v>
      </c>
      <c r="E310" s="25" t="s">
        <v>706</v>
      </c>
      <c r="F310" s="211">
        <v>18585</v>
      </c>
      <c r="G310" s="212">
        <f t="shared" si="103"/>
        <v>0.75</v>
      </c>
      <c r="H310" s="25" t="s">
        <v>706</v>
      </c>
      <c r="I310" s="214">
        <v>25641</v>
      </c>
      <c r="J310" s="213"/>
      <c r="K310" s="215">
        <f>I310+J310</f>
        <v>25641</v>
      </c>
      <c r="L310" s="216">
        <f t="shared" si="102"/>
        <v>1.0347457627118644</v>
      </c>
      <c r="M310" s="626"/>
      <c r="N310" s="217">
        <f>V310+W310+X310</f>
        <v>25641</v>
      </c>
      <c r="O310" s="26">
        <v>25641</v>
      </c>
      <c r="P310" s="26"/>
      <c r="Q310" s="26"/>
      <c r="R310" s="26"/>
      <c r="S310" s="26"/>
      <c r="T310" s="26"/>
      <c r="U310" s="26"/>
      <c r="V310" s="26">
        <f t="shared" si="108"/>
        <v>25641</v>
      </c>
      <c r="W310" s="26"/>
      <c r="X310" s="26"/>
    </row>
    <row r="311" spans="1:24" ht="22.5" x14ac:dyDescent="0.2">
      <c r="A311" s="572"/>
      <c r="B311" s="22"/>
      <c r="C311" s="23" t="s">
        <v>488</v>
      </c>
      <c r="D311" s="24" t="s">
        <v>489</v>
      </c>
      <c r="E311" s="25">
        <v>0</v>
      </c>
      <c r="F311" s="211">
        <v>0</v>
      </c>
      <c r="G311" s="212">
        <v>0</v>
      </c>
      <c r="H311" s="25">
        <v>0</v>
      </c>
      <c r="I311" s="214">
        <v>12523</v>
      </c>
      <c r="J311" s="213"/>
      <c r="K311" s="215">
        <f t="shared" ref="K311:K323" si="113">I311+J311</f>
        <v>12523</v>
      </c>
      <c r="L311" s="216">
        <v>0</v>
      </c>
      <c r="M311" s="626"/>
      <c r="N311" s="217">
        <f t="shared" ref="N311:N323" si="114">V311+W311+X311</f>
        <v>12523</v>
      </c>
      <c r="O311" s="26"/>
      <c r="P311" s="26"/>
      <c r="Q311" s="26"/>
      <c r="R311" s="26"/>
      <c r="S311" s="26"/>
      <c r="T311" s="26"/>
      <c r="U311" s="26"/>
      <c r="V311" s="26">
        <f t="shared" si="108"/>
        <v>0</v>
      </c>
      <c r="W311" s="26">
        <f>I311</f>
        <v>12523</v>
      </c>
      <c r="X311" s="26"/>
    </row>
    <row r="312" spans="1:24" x14ac:dyDescent="0.2">
      <c r="A312" s="572"/>
      <c r="B312" s="22"/>
      <c r="C312" s="23" t="s">
        <v>373</v>
      </c>
      <c r="D312" s="24" t="s">
        <v>374</v>
      </c>
      <c r="E312" s="25" t="s">
        <v>707</v>
      </c>
      <c r="F312" s="211">
        <v>227382.12</v>
      </c>
      <c r="G312" s="212">
        <f t="shared" si="103"/>
        <v>0.61652080311267166</v>
      </c>
      <c r="H312" s="25" t="s">
        <v>707</v>
      </c>
      <c r="I312" s="214">
        <v>336510</v>
      </c>
      <c r="J312" s="213"/>
      <c r="K312" s="215">
        <f t="shared" si="113"/>
        <v>336510</v>
      </c>
      <c r="L312" s="216">
        <f t="shared" si="102"/>
        <v>0.91240866016837707</v>
      </c>
      <c r="M312" s="626"/>
      <c r="N312" s="217">
        <f t="shared" si="114"/>
        <v>336510</v>
      </c>
      <c r="O312" s="26"/>
      <c r="P312" s="26"/>
      <c r="Q312" s="26"/>
      <c r="R312" s="26"/>
      <c r="S312" s="26"/>
      <c r="T312" s="26"/>
      <c r="U312" s="26"/>
      <c r="V312" s="26">
        <f t="shared" si="108"/>
        <v>0</v>
      </c>
      <c r="W312" s="211">
        <v>336510</v>
      </c>
      <c r="X312" s="26"/>
    </row>
    <row r="313" spans="1:24" x14ac:dyDescent="0.2">
      <c r="A313" s="572"/>
      <c r="B313" s="22"/>
      <c r="C313" s="23" t="s">
        <v>466</v>
      </c>
      <c r="D313" s="24" t="s">
        <v>467</v>
      </c>
      <c r="E313" s="25" t="s">
        <v>708</v>
      </c>
      <c r="F313" s="211">
        <v>9878</v>
      </c>
      <c r="G313" s="212">
        <f t="shared" si="103"/>
        <v>1</v>
      </c>
      <c r="H313" s="25" t="s">
        <v>708</v>
      </c>
      <c r="I313" s="214">
        <v>28228</v>
      </c>
      <c r="J313" s="213"/>
      <c r="K313" s="215">
        <f t="shared" si="113"/>
        <v>28228</v>
      </c>
      <c r="L313" s="216">
        <f t="shared" si="102"/>
        <v>2.8576634946345414</v>
      </c>
      <c r="M313" s="626"/>
      <c r="N313" s="217">
        <f t="shared" si="114"/>
        <v>28228</v>
      </c>
      <c r="O313" s="26"/>
      <c r="P313" s="26"/>
      <c r="Q313" s="26"/>
      <c r="R313" s="26"/>
      <c r="S313" s="26"/>
      <c r="T313" s="26"/>
      <c r="U313" s="26"/>
      <c r="V313" s="26">
        <f t="shared" si="108"/>
        <v>0</v>
      </c>
      <c r="W313" s="211">
        <v>28228</v>
      </c>
      <c r="X313" s="26"/>
    </row>
    <row r="314" spans="1:24" x14ac:dyDescent="0.2">
      <c r="A314" s="572"/>
      <c r="B314" s="22"/>
      <c r="C314" s="23" t="s">
        <v>376</v>
      </c>
      <c r="D314" s="24" t="s">
        <v>377</v>
      </c>
      <c r="E314" s="25" t="s">
        <v>709</v>
      </c>
      <c r="F314" s="211">
        <v>35867.86</v>
      </c>
      <c r="G314" s="212">
        <f t="shared" si="103"/>
        <v>0.50810811576546588</v>
      </c>
      <c r="H314" s="25" t="s">
        <v>709</v>
      </c>
      <c r="I314" s="214">
        <v>64872</v>
      </c>
      <c r="J314" s="213"/>
      <c r="K314" s="215">
        <f t="shared" si="113"/>
        <v>64872</v>
      </c>
      <c r="L314" s="216">
        <f t="shared" si="102"/>
        <v>0.91898400645974698</v>
      </c>
      <c r="M314" s="626"/>
      <c r="N314" s="217">
        <f t="shared" si="114"/>
        <v>64872</v>
      </c>
      <c r="O314" s="26"/>
      <c r="P314" s="26"/>
      <c r="Q314" s="26"/>
      <c r="R314" s="26"/>
      <c r="S314" s="26"/>
      <c r="T314" s="26"/>
      <c r="U314" s="26"/>
      <c r="V314" s="26">
        <f t="shared" si="108"/>
        <v>0</v>
      </c>
      <c r="W314" s="211">
        <v>64872</v>
      </c>
      <c r="X314" s="26"/>
    </row>
    <row r="315" spans="1:24" x14ac:dyDescent="0.2">
      <c r="A315" s="572"/>
      <c r="B315" s="22"/>
      <c r="C315" s="23" t="s">
        <v>379</v>
      </c>
      <c r="D315" s="24" t="s">
        <v>380</v>
      </c>
      <c r="E315" s="25" t="s">
        <v>710</v>
      </c>
      <c r="F315" s="211">
        <v>5093.47</v>
      </c>
      <c r="G315" s="212">
        <f t="shared" si="103"/>
        <v>0.39973865955109089</v>
      </c>
      <c r="H315" s="25" t="s">
        <v>710</v>
      </c>
      <c r="I315" s="214">
        <v>9159</v>
      </c>
      <c r="J315" s="213"/>
      <c r="K315" s="215">
        <f t="shared" si="113"/>
        <v>9159</v>
      </c>
      <c r="L315" s="216">
        <f t="shared" si="102"/>
        <v>0.71880395542301057</v>
      </c>
      <c r="M315" s="626"/>
      <c r="N315" s="217">
        <f t="shared" si="114"/>
        <v>9159</v>
      </c>
      <c r="O315" s="26"/>
      <c r="P315" s="26"/>
      <c r="Q315" s="26"/>
      <c r="R315" s="26"/>
      <c r="S315" s="26"/>
      <c r="T315" s="26"/>
      <c r="U315" s="26"/>
      <c r="V315" s="26">
        <f t="shared" si="108"/>
        <v>0</v>
      </c>
      <c r="W315" s="211">
        <v>9159</v>
      </c>
      <c r="X315" s="26"/>
    </row>
    <row r="316" spans="1:24" x14ac:dyDescent="0.2">
      <c r="A316" s="572"/>
      <c r="B316" s="22"/>
      <c r="C316" s="23" t="s">
        <v>382</v>
      </c>
      <c r="D316" s="24" t="s">
        <v>383</v>
      </c>
      <c r="E316" s="25" t="s">
        <v>711</v>
      </c>
      <c r="F316" s="211">
        <v>2625.31</v>
      </c>
      <c r="G316" s="212">
        <f t="shared" si="103"/>
        <v>0.17979444901391822</v>
      </c>
      <c r="H316" s="25" t="s">
        <v>711</v>
      </c>
      <c r="I316" s="214">
        <v>9800</v>
      </c>
      <c r="J316" s="213"/>
      <c r="K316" s="215">
        <f t="shared" si="113"/>
        <v>9800</v>
      </c>
      <c r="L316" s="216">
        <f t="shared" si="102"/>
        <v>0.67115334963733753</v>
      </c>
      <c r="M316" s="626"/>
      <c r="N316" s="217">
        <f t="shared" si="114"/>
        <v>9800</v>
      </c>
      <c r="O316" s="26"/>
      <c r="P316" s="26"/>
      <c r="Q316" s="26"/>
      <c r="R316" s="26"/>
      <c r="S316" s="26"/>
      <c r="T316" s="26"/>
      <c r="U316" s="26"/>
      <c r="V316" s="26">
        <f t="shared" si="108"/>
        <v>0</v>
      </c>
      <c r="W316" s="211">
        <v>9800</v>
      </c>
      <c r="X316" s="26"/>
    </row>
    <row r="317" spans="1:24" x14ac:dyDescent="0.2">
      <c r="A317" s="572"/>
      <c r="B317" s="22"/>
      <c r="C317" s="23" t="s">
        <v>498</v>
      </c>
      <c r="D317" s="24" t="s">
        <v>499</v>
      </c>
      <c r="E317" s="25" t="s">
        <v>712</v>
      </c>
      <c r="F317" s="211">
        <v>151.88999999999999</v>
      </c>
      <c r="G317" s="212">
        <f t="shared" si="103"/>
        <v>2.0368098159509202E-2</v>
      </c>
      <c r="H317" s="25" t="s">
        <v>712</v>
      </c>
      <c r="I317" s="214">
        <v>4800</v>
      </c>
      <c r="J317" s="213"/>
      <c r="K317" s="215">
        <f t="shared" si="113"/>
        <v>4800</v>
      </c>
      <c r="L317" s="216">
        <f t="shared" si="102"/>
        <v>0.643668912802977</v>
      </c>
      <c r="M317" s="626"/>
      <c r="N317" s="217">
        <f t="shared" si="114"/>
        <v>4800</v>
      </c>
      <c r="O317" s="26"/>
      <c r="P317" s="26"/>
      <c r="Q317" s="26"/>
      <c r="R317" s="26"/>
      <c r="S317" s="26"/>
      <c r="T317" s="26"/>
      <c r="U317" s="26"/>
      <c r="V317" s="26">
        <f t="shared" si="108"/>
        <v>0</v>
      </c>
      <c r="W317" s="211">
        <v>4800</v>
      </c>
      <c r="X317" s="26"/>
    </row>
    <row r="318" spans="1:24" x14ac:dyDescent="0.2">
      <c r="A318" s="572"/>
      <c r="B318" s="22"/>
      <c r="C318" s="23" t="s">
        <v>401</v>
      </c>
      <c r="D318" s="24" t="s">
        <v>402</v>
      </c>
      <c r="E318" s="25" t="s">
        <v>713</v>
      </c>
      <c r="F318" s="211">
        <v>6217.44</v>
      </c>
      <c r="G318" s="212">
        <f t="shared" si="103"/>
        <v>0.46055111111111108</v>
      </c>
      <c r="H318" s="25" t="s">
        <v>713</v>
      </c>
      <c r="I318" s="214">
        <v>15000</v>
      </c>
      <c r="J318" s="213"/>
      <c r="K318" s="215">
        <f t="shared" si="113"/>
        <v>15000</v>
      </c>
      <c r="L318" s="216">
        <f t="shared" si="102"/>
        <v>1.1111111111111112</v>
      </c>
      <c r="M318" s="626"/>
      <c r="N318" s="217">
        <f t="shared" si="114"/>
        <v>15000</v>
      </c>
      <c r="O318" s="26"/>
      <c r="P318" s="26"/>
      <c r="Q318" s="26"/>
      <c r="R318" s="26"/>
      <c r="S318" s="26"/>
      <c r="T318" s="26"/>
      <c r="U318" s="26"/>
      <c r="V318" s="26">
        <f t="shared" si="108"/>
        <v>0</v>
      </c>
      <c r="W318" s="211">
        <v>15000</v>
      </c>
      <c r="X318" s="26"/>
    </row>
    <row r="319" spans="1:24" x14ac:dyDescent="0.2">
      <c r="A319" s="572"/>
      <c r="B319" s="22"/>
      <c r="C319" s="23" t="s">
        <v>416</v>
      </c>
      <c r="D319" s="24" t="s">
        <v>417</v>
      </c>
      <c r="E319" s="25" t="s">
        <v>504</v>
      </c>
      <c r="F319" s="211">
        <v>0</v>
      </c>
      <c r="G319" s="212">
        <f t="shared" si="103"/>
        <v>0</v>
      </c>
      <c r="H319" s="25" t="s">
        <v>504</v>
      </c>
      <c r="I319" s="214">
        <v>6500</v>
      </c>
      <c r="J319" s="213"/>
      <c r="K319" s="215">
        <f t="shared" si="113"/>
        <v>6500</v>
      </c>
      <c r="L319" s="216">
        <f t="shared" si="102"/>
        <v>2.6</v>
      </c>
      <c r="M319" s="626"/>
      <c r="N319" s="217">
        <f t="shared" si="114"/>
        <v>6500</v>
      </c>
      <c r="O319" s="26"/>
      <c r="P319" s="26"/>
      <c r="Q319" s="26"/>
      <c r="R319" s="26"/>
      <c r="S319" s="26"/>
      <c r="T319" s="26"/>
      <c r="U319" s="26"/>
      <c r="V319" s="26">
        <f t="shared" si="108"/>
        <v>0</v>
      </c>
      <c r="W319" s="211">
        <v>6500</v>
      </c>
      <c r="X319" s="26"/>
    </row>
    <row r="320" spans="1:24" x14ac:dyDescent="0.2">
      <c r="A320" s="572"/>
      <c r="B320" s="22"/>
      <c r="C320" s="23" t="s">
        <v>502</v>
      </c>
      <c r="D320" s="24" t="s">
        <v>503</v>
      </c>
      <c r="E320" s="25">
        <v>0</v>
      </c>
      <c r="F320" s="211">
        <v>0</v>
      </c>
      <c r="G320" s="212">
        <v>0</v>
      </c>
      <c r="H320" s="25">
        <v>0</v>
      </c>
      <c r="I320" s="214">
        <v>800</v>
      </c>
      <c r="J320" s="213"/>
      <c r="K320" s="215">
        <f t="shared" si="113"/>
        <v>800</v>
      </c>
      <c r="L320" s="216">
        <v>0</v>
      </c>
      <c r="M320" s="626"/>
      <c r="N320" s="217">
        <f t="shared" si="114"/>
        <v>800</v>
      </c>
      <c r="O320" s="26"/>
      <c r="P320" s="26"/>
      <c r="Q320" s="26"/>
      <c r="R320" s="26"/>
      <c r="S320" s="26"/>
      <c r="T320" s="26"/>
      <c r="U320" s="26"/>
      <c r="V320" s="26">
        <f t="shared" si="108"/>
        <v>0</v>
      </c>
      <c r="W320" s="211">
        <v>800</v>
      </c>
      <c r="X320" s="26"/>
    </row>
    <row r="321" spans="1:24" x14ac:dyDescent="0.2">
      <c r="A321" s="572"/>
      <c r="B321" s="22"/>
      <c r="C321" s="23" t="s">
        <v>386</v>
      </c>
      <c r="D321" s="24" t="s">
        <v>387</v>
      </c>
      <c r="E321" s="25" t="s">
        <v>714</v>
      </c>
      <c r="F321" s="211">
        <v>1255.69</v>
      </c>
      <c r="G321" s="212">
        <f t="shared" si="103"/>
        <v>0.12813163265306124</v>
      </c>
      <c r="H321" s="25" t="s">
        <v>714</v>
      </c>
      <c r="I321" s="214">
        <v>5800</v>
      </c>
      <c r="J321" s="213"/>
      <c r="K321" s="215">
        <f t="shared" si="113"/>
        <v>5800</v>
      </c>
      <c r="L321" s="216">
        <f t="shared" si="102"/>
        <v>0.59183673469387754</v>
      </c>
      <c r="M321" s="626"/>
      <c r="N321" s="217">
        <f t="shared" si="114"/>
        <v>5800</v>
      </c>
      <c r="O321" s="26"/>
      <c r="P321" s="26"/>
      <c r="Q321" s="26"/>
      <c r="R321" s="26"/>
      <c r="S321" s="26"/>
      <c r="T321" s="26"/>
      <c r="U321" s="26"/>
      <c r="V321" s="26">
        <f t="shared" si="108"/>
        <v>0</v>
      </c>
      <c r="W321" s="211">
        <v>5800</v>
      </c>
      <c r="X321" s="26"/>
    </row>
    <row r="322" spans="1:24" ht="22.5" x14ac:dyDescent="0.2">
      <c r="A322" s="572"/>
      <c r="B322" s="22"/>
      <c r="C322" s="23" t="s">
        <v>506</v>
      </c>
      <c r="D322" s="24" t="s">
        <v>507</v>
      </c>
      <c r="E322" s="25" t="s">
        <v>660</v>
      </c>
      <c r="F322" s="211">
        <v>237.87</v>
      </c>
      <c r="G322" s="212">
        <f t="shared" si="103"/>
        <v>0.18297692307692309</v>
      </c>
      <c r="H322" s="25" t="s">
        <v>660</v>
      </c>
      <c r="I322" s="214">
        <v>1800</v>
      </c>
      <c r="J322" s="213"/>
      <c r="K322" s="215">
        <f t="shared" si="113"/>
        <v>1800</v>
      </c>
      <c r="L322" s="216">
        <f t="shared" si="102"/>
        <v>1.3846153846153846</v>
      </c>
      <c r="M322" s="626"/>
      <c r="N322" s="217">
        <f t="shared" si="114"/>
        <v>1800</v>
      </c>
      <c r="O322" s="26"/>
      <c r="P322" s="26"/>
      <c r="Q322" s="26"/>
      <c r="R322" s="26"/>
      <c r="S322" s="26"/>
      <c r="T322" s="26"/>
      <c r="U322" s="26"/>
      <c r="V322" s="26">
        <f t="shared" si="108"/>
        <v>0</v>
      </c>
      <c r="W322" s="211">
        <v>1800</v>
      </c>
      <c r="X322" s="26"/>
    </row>
    <row r="323" spans="1:24" ht="22.5" x14ac:dyDescent="0.2">
      <c r="A323" s="572"/>
      <c r="B323" s="22"/>
      <c r="C323" s="23" t="s">
        <v>515</v>
      </c>
      <c r="D323" s="24" t="s">
        <v>516</v>
      </c>
      <c r="E323" s="25" t="s">
        <v>715</v>
      </c>
      <c r="F323" s="211">
        <v>10450</v>
      </c>
      <c r="G323" s="212">
        <f t="shared" si="103"/>
        <v>1</v>
      </c>
      <c r="H323" s="25" t="s">
        <v>715</v>
      </c>
      <c r="I323" s="214">
        <v>12005</v>
      </c>
      <c r="J323" s="213"/>
      <c r="K323" s="215">
        <f t="shared" si="113"/>
        <v>12005</v>
      </c>
      <c r="L323" s="216">
        <f t="shared" si="102"/>
        <v>1.1488038277511963</v>
      </c>
      <c r="M323" s="626"/>
      <c r="N323" s="217">
        <f t="shared" si="114"/>
        <v>12005</v>
      </c>
      <c r="O323" s="26"/>
      <c r="P323" s="26"/>
      <c r="Q323" s="26"/>
      <c r="R323" s="26"/>
      <c r="S323" s="26"/>
      <c r="T323" s="26"/>
      <c r="U323" s="26"/>
      <c r="V323" s="26">
        <f t="shared" si="108"/>
        <v>0</v>
      </c>
      <c r="W323" s="211">
        <v>12005</v>
      </c>
      <c r="X323" s="26"/>
    </row>
    <row r="324" spans="1:24" ht="15" x14ac:dyDescent="0.2">
      <c r="A324" s="571"/>
      <c r="B324" s="15" t="s">
        <v>716</v>
      </c>
      <c r="C324" s="16"/>
      <c r="D324" s="17" t="s">
        <v>22</v>
      </c>
      <c r="E324" s="18">
        <f>E325+E326+E327+E328+E329</f>
        <v>209599</v>
      </c>
      <c r="F324" s="18">
        <f t="shared" ref="F324:H324" si="115">F325+F326+F327+F328+F329</f>
        <v>191749</v>
      </c>
      <c r="G324" s="218">
        <f t="shared" si="103"/>
        <v>0.91483737994933179</v>
      </c>
      <c r="H324" s="18">
        <f t="shared" si="115"/>
        <v>199599</v>
      </c>
      <c r="I324" s="20">
        <f>I325+I326+I327+I328+I329</f>
        <v>177705</v>
      </c>
      <c r="J324" s="114">
        <f t="shared" ref="J324:X324" si="116">J325+J326+J327+J328+J329</f>
        <v>16500</v>
      </c>
      <c r="K324" s="209">
        <f t="shared" si="116"/>
        <v>194205</v>
      </c>
      <c r="L324" s="219">
        <f t="shared" si="102"/>
        <v>0.92655499310588318</v>
      </c>
      <c r="M324" s="21"/>
      <c r="N324" s="210">
        <f t="shared" si="116"/>
        <v>194205</v>
      </c>
      <c r="O324" s="95">
        <f t="shared" si="116"/>
        <v>0</v>
      </c>
      <c r="P324" s="95">
        <f t="shared" si="116"/>
        <v>5500</v>
      </c>
      <c r="Q324" s="95">
        <f t="shared" si="116"/>
        <v>0</v>
      </c>
      <c r="R324" s="95">
        <f t="shared" si="116"/>
        <v>16500</v>
      </c>
      <c r="S324" s="95">
        <f t="shared" si="116"/>
        <v>0</v>
      </c>
      <c r="T324" s="95">
        <f t="shared" si="116"/>
        <v>0</v>
      </c>
      <c r="U324" s="95">
        <f t="shared" si="116"/>
        <v>0</v>
      </c>
      <c r="V324" s="26">
        <f t="shared" si="108"/>
        <v>22000</v>
      </c>
      <c r="W324" s="95">
        <f t="shared" si="116"/>
        <v>172205</v>
      </c>
      <c r="X324" s="95">
        <f t="shared" si="116"/>
        <v>0</v>
      </c>
    </row>
    <row r="325" spans="1:24" ht="67.5" x14ac:dyDescent="0.2">
      <c r="A325" s="572"/>
      <c r="B325" s="22"/>
      <c r="C325" s="23" t="s">
        <v>85</v>
      </c>
      <c r="D325" s="24" t="s">
        <v>522</v>
      </c>
      <c r="E325" s="25" t="s">
        <v>717</v>
      </c>
      <c r="F325" s="211">
        <v>14500</v>
      </c>
      <c r="G325" s="212">
        <f t="shared" si="103"/>
        <v>0.59183673469387754</v>
      </c>
      <c r="H325" s="213">
        <v>14500</v>
      </c>
      <c r="I325" s="214"/>
      <c r="J325" s="213">
        <v>16500</v>
      </c>
      <c r="K325" s="215">
        <f>I325+J325</f>
        <v>16500</v>
      </c>
      <c r="L325" s="216">
        <f t="shared" si="102"/>
        <v>0.67346938775510201</v>
      </c>
      <c r="M325" s="626"/>
      <c r="N325" s="217">
        <f>V325+W325+X325</f>
        <v>16500</v>
      </c>
      <c r="O325" s="26"/>
      <c r="P325" s="26"/>
      <c r="Q325" s="26"/>
      <c r="R325" s="26">
        <v>16500</v>
      </c>
      <c r="S325" s="26"/>
      <c r="T325" s="26"/>
      <c r="U325" s="26"/>
      <c r="V325" s="26">
        <f t="shared" si="108"/>
        <v>16500</v>
      </c>
      <c r="W325" s="26"/>
      <c r="X325" s="26"/>
    </row>
    <row r="326" spans="1:24" x14ac:dyDescent="0.2">
      <c r="A326" s="572"/>
      <c r="B326" s="22"/>
      <c r="C326" s="23" t="s">
        <v>398</v>
      </c>
      <c r="D326" s="24" t="s">
        <v>399</v>
      </c>
      <c r="E326" s="25" t="s">
        <v>91</v>
      </c>
      <c r="F326" s="211">
        <v>1500</v>
      </c>
      <c r="G326" s="212">
        <f t="shared" si="103"/>
        <v>1</v>
      </c>
      <c r="H326" s="213">
        <v>1500</v>
      </c>
      <c r="I326" s="214"/>
      <c r="J326" s="213"/>
      <c r="K326" s="215">
        <f t="shared" ref="K326:K329" si="117">I326+J326</f>
        <v>0</v>
      </c>
      <c r="L326" s="216">
        <f t="shared" si="102"/>
        <v>0</v>
      </c>
      <c r="M326" s="626"/>
      <c r="N326" s="217">
        <f t="shared" ref="N326:N329" si="118">V326+W326+X326</f>
        <v>0</v>
      </c>
      <c r="O326" s="26"/>
      <c r="P326" s="26"/>
      <c r="Q326" s="26"/>
      <c r="R326" s="26"/>
      <c r="S326" s="26"/>
      <c r="T326" s="26"/>
      <c r="U326" s="26"/>
      <c r="V326" s="26">
        <f t="shared" si="108"/>
        <v>0</v>
      </c>
      <c r="W326" s="26"/>
      <c r="X326" s="26"/>
    </row>
    <row r="327" spans="1:24" x14ac:dyDescent="0.2">
      <c r="A327" s="572"/>
      <c r="B327" s="22"/>
      <c r="C327" s="23" t="s">
        <v>382</v>
      </c>
      <c r="D327" s="24" t="s">
        <v>383</v>
      </c>
      <c r="E327" s="25" t="s">
        <v>718</v>
      </c>
      <c r="F327" s="211">
        <v>700</v>
      </c>
      <c r="G327" s="212">
        <f t="shared" si="103"/>
        <v>0.3888888888888889</v>
      </c>
      <c r="H327" s="213">
        <v>1800</v>
      </c>
      <c r="I327" s="214">
        <v>5500</v>
      </c>
      <c r="J327" s="213"/>
      <c r="K327" s="215">
        <f t="shared" si="117"/>
        <v>5500</v>
      </c>
      <c r="L327" s="216">
        <f t="shared" si="102"/>
        <v>3.0555555555555554</v>
      </c>
      <c r="M327" s="626" t="s">
        <v>719</v>
      </c>
      <c r="N327" s="217">
        <f t="shared" si="118"/>
        <v>5500</v>
      </c>
      <c r="O327" s="26"/>
      <c r="P327" s="26">
        <v>5500</v>
      </c>
      <c r="Q327" s="26"/>
      <c r="R327" s="26"/>
      <c r="S327" s="26"/>
      <c r="T327" s="26"/>
      <c r="U327" s="26"/>
      <c r="V327" s="26">
        <f t="shared" si="108"/>
        <v>5500</v>
      </c>
      <c r="W327" s="26"/>
      <c r="X327" s="26"/>
    </row>
    <row r="328" spans="1:24" x14ac:dyDescent="0.2">
      <c r="A328" s="572"/>
      <c r="B328" s="22"/>
      <c r="C328" s="23" t="s">
        <v>386</v>
      </c>
      <c r="D328" s="24" t="s">
        <v>387</v>
      </c>
      <c r="E328" s="25" t="s">
        <v>713</v>
      </c>
      <c r="F328" s="211">
        <v>6750</v>
      </c>
      <c r="G328" s="212">
        <f t="shared" si="103"/>
        <v>0.5</v>
      </c>
      <c r="H328" s="213">
        <v>13500</v>
      </c>
      <c r="I328" s="214"/>
      <c r="J328" s="213"/>
      <c r="K328" s="215">
        <f t="shared" si="117"/>
        <v>0</v>
      </c>
      <c r="L328" s="216">
        <f t="shared" si="102"/>
        <v>0</v>
      </c>
      <c r="M328" s="626"/>
      <c r="N328" s="217">
        <f t="shared" si="118"/>
        <v>0</v>
      </c>
      <c r="O328" s="26"/>
      <c r="P328" s="26"/>
      <c r="Q328" s="26"/>
      <c r="R328" s="26"/>
      <c r="S328" s="26"/>
      <c r="T328" s="26"/>
      <c r="U328" s="26"/>
      <c r="V328" s="26">
        <f t="shared" si="108"/>
        <v>0</v>
      </c>
      <c r="W328" s="26"/>
      <c r="X328" s="26"/>
    </row>
    <row r="329" spans="1:24" ht="22.5" x14ac:dyDescent="0.2">
      <c r="A329" s="572"/>
      <c r="B329" s="22"/>
      <c r="C329" s="23" t="s">
        <v>515</v>
      </c>
      <c r="D329" s="24" t="s">
        <v>516</v>
      </c>
      <c r="E329" s="25" t="s">
        <v>720</v>
      </c>
      <c r="F329" s="211">
        <v>168299</v>
      </c>
      <c r="G329" s="212">
        <f t="shared" si="103"/>
        <v>1</v>
      </c>
      <c r="H329" s="213">
        <v>168299</v>
      </c>
      <c r="I329" s="214">
        <v>172205</v>
      </c>
      <c r="J329" s="213"/>
      <c r="K329" s="215">
        <f t="shared" si="117"/>
        <v>172205</v>
      </c>
      <c r="L329" s="216">
        <f t="shared" si="102"/>
        <v>1.0232086940504697</v>
      </c>
      <c r="M329" s="626"/>
      <c r="N329" s="217">
        <f t="shared" si="118"/>
        <v>172205</v>
      </c>
      <c r="O329" s="26"/>
      <c r="P329" s="26"/>
      <c r="Q329" s="26"/>
      <c r="R329" s="26"/>
      <c r="S329" s="26"/>
      <c r="T329" s="26"/>
      <c r="U329" s="26"/>
      <c r="V329" s="26">
        <f t="shared" si="108"/>
        <v>0</v>
      </c>
      <c r="W329" s="211">
        <v>172205</v>
      </c>
      <c r="X329" s="26"/>
    </row>
    <row r="330" spans="1:24" x14ac:dyDescent="0.2">
      <c r="A330" s="574" t="s">
        <v>721</v>
      </c>
      <c r="B330" s="39"/>
      <c r="C330" s="39"/>
      <c r="D330" s="40" t="s">
        <v>722</v>
      </c>
      <c r="E330" s="41">
        <f>E331+E333+E339+E351</f>
        <v>821983</v>
      </c>
      <c r="F330" s="41">
        <f>F331+F333+F339+F351</f>
        <v>206506.32</v>
      </c>
      <c r="G330" s="220">
        <f t="shared" si="103"/>
        <v>0.25122942931909786</v>
      </c>
      <c r="H330" s="241">
        <f>H331+H333+H339+H351</f>
        <v>786892.77</v>
      </c>
      <c r="I330" s="242">
        <f t="shared" ref="I330:X330" si="119">I331+I333+I339+I351</f>
        <v>302000</v>
      </c>
      <c r="J330" s="241">
        <f t="shared" si="119"/>
        <v>10000</v>
      </c>
      <c r="K330" s="243">
        <f t="shared" si="119"/>
        <v>312000</v>
      </c>
      <c r="L330" s="221">
        <f t="shared" si="102"/>
        <v>0.37956989378125827</v>
      </c>
      <c r="M330" s="244"/>
      <c r="N330" s="244">
        <f t="shared" si="119"/>
        <v>312000</v>
      </c>
      <c r="O330" s="245">
        <f t="shared" si="119"/>
        <v>300000</v>
      </c>
      <c r="P330" s="245">
        <f t="shared" si="119"/>
        <v>0</v>
      </c>
      <c r="Q330" s="245">
        <f t="shared" si="119"/>
        <v>0</v>
      </c>
      <c r="R330" s="245">
        <f t="shared" si="119"/>
        <v>10000</v>
      </c>
      <c r="S330" s="245">
        <f t="shared" si="119"/>
        <v>2000</v>
      </c>
      <c r="T330" s="245">
        <f t="shared" si="119"/>
        <v>0</v>
      </c>
      <c r="U330" s="245">
        <f t="shared" si="119"/>
        <v>0</v>
      </c>
      <c r="V330" s="230">
        <f t="shared" si="108"/>
        <v>312000</v>
      </c>
      <c r="W330" s="245">
        <f t="shared" si="119"/>
        <v>0</v>
      </c>
      <c r="X330" s="245">
        <f t="shared" si="119"/>
        <v>0</v>
      </c>
    </row>
    <row r="331" spans="1:24" ht="15" x14ac:dyDescent="0.2">
      <c r="A331" s="571"/>
      <c r="B331" s="15" t="s">
        <v>723</v>
      </c>
      <c r="C331" s="16"/>
      <c r="D331" s="17" t="s">
        <v>724</v>
      </c>
      <c r="E331" s="18" t="str">
        <f>E332</f>
        <v>500 000,00</v>
      </c>
      <c r="F331" s="18">
        <f>F332</f>
        <v>0</v>
      </c>
      <c r="G331" s="218">
        <f t="shared" si="103"/>
        <v>0</v>
      </c>
      <c r="H331" s="246">
        <f>H332</f>
        <v>500000</v>
      </c>
      <c r="I331" s="247">
        <f t="shared" ref="I331:X331" si="120">I332</f>
        <v>0</v>
      </c>
      <c r="J331" s="246">
        <f t="shared" si="120"/>
        <v>0</v>
      </c>
      <c r="K331" s="248">
        <f t="shared" si="120"/>
        <v>0</v>
      </c>
      <c r="L331" s="219">
        <f t="shared" si="102"/>
        <v>0</v>
      </c>
      <c r="M331" s="249"/>
      <c r="N331" s="249">
        <f t="shared" si="120"/>
        <v>0</v>
      </c>
      <c r="O331" s="250">
        <f t="shared" si="120"/>
        <v>0</v>
      </c>
      <c r="P331" s="250">
        <f t="shared" si="120"/>
        <v>0</v>
      </c>
      <c r="Q331" s="250">
        <f t="shared" si="120"/>
        <v>0</v>
      </c>
      <c r="R331" s="250">
        <f t="shared" si="120"/>
        <v>0</v>
      </c>
      <c r="S331" s="250">
        <f t="shared" si="120"/>
        <v>0</v>
      </c>
      <c r="T331" s="250">
        <f t="shared" si="120"/>
        <v>0</v>
      </c>
      <c r="U331" s="250">
        <f t="shared" si="120"/>
        <v>0</v>
      </c>
      <c r="V331" s="26">
        <f t="shared" si="108"/>
        <v>0</v>
      </c>
      <c r="W331" s="250">
        <f t="shared" si="120"/>
        <v>0</v>
      </c>
      <c r="X331" s="250">
        <f t="shared" si="120"/>
        <v>0</v>
      </c>
    </row>
    <row r="332" spans="1:24" ht="56.25" x14ac:dyDescent="0.2">
      <c r="A332" s="572"/>
      <c r="B332" s="22"/>
      <c r="C332" s="23" t="s">
        <v>18</v>
      </c>
      <c r="D332" s="24" t="s">
        <v>412</v>
      </c>
      <c r="E332" s="25" t="s">
        <v>725</v>
      </c>
      <c r="F332" s="211">
        <v>0</v>
      </c>
      <c r="G332" s="212">
        <f t="shared" si="103"/>
        <v>0</v>
      </c>
      <c r="H332" s="213">
        <v>500000</v>
      </c>
      <c r="I332" s="214">
        <v>0</v>
      </c>
      <c r="J332" s="213">
        <v>0</v>
      </c>
      <c r="K332" s="215">
        <v>0</v>
      </c>
      <c r="L332" s="216">
        <f t="shared" si="102"/>
        <v>0</v>
      </c>
      <c r="M332" s="626"/>
      <c r="N332" s="217">
        <f>V332+W332+X332</f>
        <v>0</v>
      </c>
      <c r="O332" s="26"/>
      <c r="P332" s="26"/>
      <c r="Q332" s="26"/>
      <c r="R332" s="26"/>
      <c r="S332" s="26"/>
      <c r="T332" s="26"/>
      <c r="U332" s="26"/>
      <c r="V332" s="26">
        <f t="shared" si="108"/>
        <v>0</v>
      </c>
      <c r="W332" s="26"/>
      <c r="X332" s="26"/>
    </row>
    <row r="333" spans="1:24" ht="15" x14ac:dyDescent="0.2">
      <c r="A333" s="571"/>
      <c r="B333" s="15" t="s">
        <v>726</v>
      </c>
      <c r="C333" s="16"/>
      <c r="D333" s="17" t="s">
        <v>727</v>
      </c>
      <c r="E333" s="18">
        <f>E334+E335+E336+E337+E338</f>
        <v>7859</v>
      </c>
      <c r="F333" s="18">
        <f>F334+F335+F336+F337+F338</f>
        <v>5650</v>
      </c>
      <c r="G333" s="218">
        <f t="shared" si="103"/>
        <v>0.7189209823132714</v>
      </c>
      <c r="H333" s="246">
        <f>SUM(H334:H338)</f>
        <v>6850</v>
      </c>
      <c r="I333" s="247">
        <f>SUM(I334:I338)</f>
        <v>8400</v>
      </c>
      <c r="J333" s="246">
        <f t="shared" ref="J333:X333" si="121">SUM(J335:J338)</f>
        <v>0</v>
      </c>
      <c r="K333" s="248">
        <f t="shared" si="121"/>
        <v>8400</v>
      </c>
      <c r="L333" s="219">
        <f t="shared" si="102"/>
        <v>1.0688382745896425</v>
      </c>
      <c r="M333" s="249"/>
      <c r="N333" s="249">
        <f t="shared" si="121"/>
        <v>8400</v>
      </c>
      <c r="O333" s="250">
        <f t="shared" si="121"/>
        <v>8400</v>
      </c>
      <c r="P333" s="250">
        <f t="shared" si="121"/>
        <v>0</v>
      </c>
      <c r="Q333" s="250">
        <f t="shared" si="121"/>
        <v>0</v>
      </c>
      <c r="R333" s="250">
        <f t="shared" si="121"/>
        <v>0</v>
      </c>
      <c r="S333" s="250">
        <f t="shared" si="121"/>
        <v>0</v>
      </c>
      <c r="T333" s="250">
        <f t="shared" si="121"/>
        <v>0</v>
      </c>
      <c r="U333" s="250">
        <f t="shared" si="121"/>
        <v>0</v>
      </c>
      <c r="V333" s="26">
        <f t="shared" si="108"/>
        <v>8400</v>
      </c>
      <c r="W333" s="250">
        <f t="shared" si="121"/>
        <v>0</v>
      </c>
      <c r="X333" s="250">
        <f t="shared" si="121"/>
        <v>0</v>
      </c>
    </row>
    <row r="334" spans="1:24" x14ac:dyDescent="0.2">
      <c r="A334" s="572"/>
      <c r="B334" s="22"/>
      <c r="C334" s="23" t="s">
        <v>376</v>
      </c>
      <c r="D334" s="24" t="s">
        <v>377</v>
      </c>
      <c r="E334" s="25" t="s">
        <v>728</v>
      </c>
      <c r="F334" s="211">
        <v>0</v>
      </c>
      <c r="G334" s="212">
        <f t="shared" si="103"/>
        <v>0</v>
      </c>
      <c r="H334" s="213">
        <v>0</v>
      </c>
      <c r="I334" s="214">
        <v>0</v>
      </c>
      <c r="J334" s="213"/>
      <c r="K334" s="215">
        <f>I334+J334</f>
        <v>0</v>
      </c>
      <c r="L334" s="216">
        <f t="shared" si="102"/>
        <v>0</v>
      </c>
      <c r="M334" s="626"/>
      <c r="N334" s="217">
        <f>V334+W334+X334</f>
        <v>0</v>
      </c>
      <c r="O334" s="211">
        <v>0</v>
      </c>
      <c r="P334" s="26"/>
      <c r="Q334" s="26"/>
      <c r="R334" s="26"/>
      <c r="S334" s="26"/>
      <c r="T334" s="26"/>
      <c r="U334" s="26"/>
      <c r="V334" s="26">
        <f t="shared" si="108"/>
        <v>0</v>
      </c>
      <c r="W334" s="26"/>
      <c r="X334" s="26"/>
    </row>
    <row r="335" spans="1:24" x14ac:dyDescent="0.2">
      <c r="A335" s="572"/>
      <c r="B335" s="22"/>
      <c r="C335" s="23" t="s">
        <v>379</v>
      </c>
      <c r="D335" s="24" t="s">
        <v>380</v>
      </c>
      <c r="E335" s="25" t="s">
        <v>729</v>
      </c>
      <c r="F335" s="211">
        <v>0</v>
      </c>
      <c r="G335" s="212">
        <f t="shared" si="103"/>
        <v>0</v>
      </c>
      <c r="H335" s="213">
        <v>0</v>
      </c>
      <c r="I335" s="214">
        <v>0</v>
      </c>
      <c r="J335" s="213"/>
      <c r="K335" s="215">
        <f t="shared" ref="K335:K338" si="122">I335+J335</f>
        <v>0</v>
      </c>
      <c r="L335" s="216">
        <f t="shared" ref="L335:L402" si="123">K335/E335</f>
        <v>0</v>
      </c>
      <c r="M335" s="626"/>
      <c r="N335" s="217">
        <f t="shared" ref="N335:N338" si="124">V335+W335+X335</f>
        <v>0</v>
      </c>
      <c r="O335" s="211">
        <v>0</v>
      </c>
      <c r="P335" s="26"/>
      <c r="Q335" s="26"/>
      <c r="R335" s="26"/>
      <c r="S335" s="26"/>
      <c r="T335" s="26"/>
      <c r="U335" s="26"/>
      <c r="V335" s="26">
        <f t="shared" si="108"/>
        <v>0</v>
      </c>
      <c r="W335" s="26"/>
      <c r="X335" s="26"/>
    </row>
    <row r="336" spans="1:24" x14ac:dyDescent="0.2">
      <c r="A336" s="572"/>
      <c r="B336" s="22"/>
      <c r="C336" s="23" t="s">
        <v>398</v>
      </c>
      <c r="D336" s="24" t="s">
        <v>399</v>
      </c>
      <c r="E336" s="25" t="s">
        <v>730</v>
      </c>
      <c r="F336" s="211">
        <v>1400</v>
      </c>
      <c r="G336" s="212">
        <f t="shared" si="103"/>
        <v>1</v>
      </c>
      <c r="H336" s="213">
        <v>1400</v>
      </c>
      <c r="I336" s="214">
        <v>2400</v>
      </c>
      <c r="J336" s="213"/>
      <c r="K336" s="215">
        <f t="shared" si="122"/>
        <v>2400</v>
      </c>
      <c r="L336" s="216">
        <f t="shared" si="123"/>
        <v>1.7142857142857142</v>
      </c>
      <c r="M336" s="626"/>
      <c r="N336" s="217">
        <f t="shared" si="124"/>
        <v>2400</v>
      </c>
      <c r="O336" s="211">
        <v>2400</v>
      </c>
      <c r="P336" s="26"/>
      <c r="Q336" s="26"/>
      <c r="R336" s="26"/>
      <c r="S336" s="26"/>
      <c r="T336" s="26"/>
      <c r="U336" s="26"/>
      <c r="V336" s="26">
        <f t="shared" si="108"/>
        <v>2400</v>
      </c>
      <c r="W336" s="26"/>
      <c r="X336" s="26"/>
    </row>
    <row r="337" spans="1:24" x14ac:dyDescent="0.2">
      <c r="A337" s="572"/>
      <c r="B337" s="22"/>
      <c r="C337" s="23" t="s">
        <v>382</v>
      </c>
      <c r="D337" s="24" t="s">
        <v>383</v>
      </c>
      <c r="E337" s="25" t="s">
        <v>180</v>
      </c>
      <c r="F337" s="211">
        <v>0</v>
      </c>
      <c r="G337" s="212">
        <f t="shared" si="103"/>
        <v>0</v>
      </c>
      <c r="H337" s="213">
        <v>1200</v>
      </c>
      <c r="I337" s="214">
        <v>1000</v>
      </c>
      <c r="J337" s="213"/>
      <c r="K337" s="215">
        <f t="shared" si="122"/>
        <v>1000</v>
      </c>
      <c r="L337" s="216">
        <f t="shared" si="123"/>
        <v>0.83333333333333337</v>
      </c>
      <c r="M337" s="626"/>
      <c r="N337" s="217">
        <f t="shared" si="124"/>
        <v>1000</v>
      </c>
      <c r="O337" s="211">
        <v>1000</v>
      </c>
      <c r="P337" s="26"/>
      <c r="Q337" s="26"/>
      <c r="R337" s="26"/>
      <c r="S337" s="26"/>
      <c r="T337" s="26"/>
      <c r="U337" s="26"/>
      <c r="V337" s="26">
        <f t="shared" si="108"/>
        <v>1000</v>
      </c>
      <c r="W337" s="26"/>
      <c r="X337" s="26"/>
    </row>
    <row r="338" spans="1:24" x14ac:dyDescent="0.2">
      <c r="A338" s="572"/>
      <c r="B338" s="22"/>
      <c r="C338" s="23" t="s">
        <v>386</v>
      </c>
      <c r="D338" s="24" t="s">
        <v>387</v>
      </c>
      <c r="E338" s="25" t="s">
        <v>731</v>
      </c>
      <c r="F338" s="211">
        <v>4250</v>
      </c>
      <c r="G338" s="212">
        <f t="shared" si="103"/>
        <v>0.85289985952237612</v>
      </c>
      <c r="H338" s="213">
        <v>4250</v>
      </c>
      <c r="I338" s="214">
        <f>5000</f>
        <v>5000</v>
      </c>
      <c r="J338" s="213"/>
      <c r="K338" s="215">
        <f t="shared" si="122"/>
        <v>5000</v>
      </c>
      <c r="L338" s="216">
        <f t="shared" si="123"/>
        <v>1.0034115994380894</v>
      </c>
      <c r="M338" s="626"/>
      <c r="N338" s="217">
        <f t="shared" si="124"/>
        <v>5000</v>
      </c>
      <c r="O338" s="211">
        <f>5000</f>
        <v>5000</v>
      </c>
      <c r="P338" s="26"/>
      <c r="Q338" s="26"/>
      <c r="R338" s="26"/>
      <c r="S338" s="26"/>
      <c r="T338" s="26"/>
      <c r="U338" s="26"/>
      <c r="V338" s="26">
        <f t="shared" si="108"/>
        <v>5000</v>
      </c>
      <c r="W338" s="26"/>
      <c r="X338" s="26"/>
    </row>
    <row r="339" spans="1:24" ht="15" x14ac:dyDescent="0.2">
      <c r="A339" s="571"/>
      <c r="B339" s="15" t="s">
        <v>732</v>
      </c>
      <c r="C339" s="16"/>
      <c r="D339" s="17" t="s">
        <v>733</v>
      </c>
      <c r="E339" s="18">
        <f>E340+E341+E342+E343+E344+E345+E346+E347+E348+E349+E350</f>
        <v>302124</v>
      </c>
      <c r="F339" s="18">
        <f>F340+F341+F342+F343+F344+F345+F346+F347+F348+F349+F350</f>
        <v>189573.85</v>
      </c>
      <c r="G339" s="218">
        <f t="shared" si="103"/>
        <v>0.62747034330274987</v>
      </c>
      <c r="H339" s="246">
        <f>SUM(H340:H350)</f>
        <v>268760.3</v>
      </c>
      <c r="I339" s="247">
        <f t="shared" ref="I339:X339" si="125">SUM(I340:I350)</f>
        <v>291600</v>
      </c>
      <c r="J339" s="246">
        <f t="shared" si="125"/>
        <v>0</v>
      </c>
      <c r="K339" s="248">
        <f t="shared" si="125"/>
        <v>291600</v>
      </c>
      <c r="L339" s="219">
        <f t="shared" si="123"/>
        <v>0.96516662032807721</v>
      </c>
      <c r="M339" s="249"/>
      <c r="N339" s="249">
        <f t="shared" si="125"/>
        <v>291600</v>
      </c>
      <c r="O339" s="250">
        <f t="shared" si="125"/>
        <v>291600</v>
      </c>
      <c r="P339" s="250">
        <f t="shared" si="125"/>
        <v>0</v>
      </c>
      <c r="Q339" s="250">
        <f t="shared" si="125"/>
        <v>0</v>
      </c>
      <c r="R339" s="250">
        <f t="shared" si="125"/>
        <v>0</v>
      </c>
      <c r="S339" s="250">
        <f t="shared" si="125"/>
        <v>0</v>
      </c>
      <c r="T339" s="250">
        <f t="shared" si="125"/>
        <v>0</v>
      </c>
      <c r="U339" s="250">
        <f t="shared" si="125"/>
        <v>0</v>
      </c>
      <c r="V339" s="26">
        <f t="shared" si="108"/>
        <v>291600</v>
      </c>
      <c r="W339" s="250">
        <f t="shared" si="125"/>
        <v>0</v>
      </c>
      <c r="X339" s="250">
        <f t="shared" si="125"/>
        <v>0</v>
      </c>
    </row>
    <row r="340" spans="1:24" ht="67.5" x14ac:dyDescent="0.2">
      <c r="A340" s="572"/>
      <c r="B340" s="22"/>
      <c r="C340" s="23" t="s">
        <v>85</v>
      </c>
      <c r="D340" s="24" t="s">
        <v>522</v>
      </c>
      <c r="E340" s="25" t="s">
        <v>734</v>
      </c>
      <c r="F340" s="211">
        <v>28700</v>
      </c>
      <c r="G340" s="212">
        <f t="shared" ref="G340:G403" si="126">F340/E340</f>
        <v>0.67848699763593379</v>
      </c>
      <c r="H340" s="213">
        <v>28700</v>
      </c>
      <c r="I340" s="214">
        <v>38000</v>
      </c>
      <c r="J340" s="213"/>
      <c r="K340" s="215">
        <f>I340+J340</f>
        <v>38000</v>
      </c>
      <c r="L340" s="216">
        <f t="shared" si="123"/>
        <v>0.89834515366430256</v>
      </c>
      <c r="M340" s="626"/>
      <c r="N340" s="217">
        <f>V340+W340+X340</f>
        <v>38000</v>
      </c>
      <c r="O340" s="211">
        <v>38000</v>
      </c>
      <c r="P340" s="26"/>
      <c r="Q340" s="26"/>
      <c r="R340" s="26"/>
      <c r="S340" s="26"/>
      <c r="T340" s="26"/>
      <c r="U340" s="26"/>
      <c r="V340" s="26">
        <f t="shared" si="108"/>
        <v>38000</v>
      </c>
      <c r="W340" s="26"/>
      <c r="X340" s="26"/>
    </row>
    <row r="341" spans="1:24" ht="45" x14ac:dyDescent="0.2">
      <c r="A341" s="572"/>
      <c r="B341" s="22"/>
      <c r="C341" s="23" t="s">
        <v>308</v>
      </c>
      <c r="D341" s="24" t="s">
        <v>735</v>
      </c>
      <c r="E341" s="25" t="s">
        <v>31</v>
      </c>
      <c r="F341" s="211">
        <v>6479</v>
      </c>
      <c r="G341" s="212">
        <f t="shared" si="126"/>
        <v>0.32395000000000002</v>
      </c>
      <c r="H341" s="213">
        <v>6479</v>
      </c>
      <c r="I341" s="214">
        <v>20000</v>
      </c>
      <c r="J341" s="213"/>
      <c r="K341" s="215">
        <f t="shared" ref="K341:K350" si="127">I341+J341</f>
        <v>20000</v>
      </c>
      <c r="L341" s="216">
        <f t="shared" si="123"/>
        <v>1</v>
      </c>
      <c r="M341" s="626"/>
      <c r="N341" s="217">
        <f t="shared" ref="N341:N350" si="128">V341+W341+X341</f>
        <v>20000</v>
      </c>
      <c r="O341" s="211">
        <v>20000</v>
      </c>
      <c r="P341" s="26"/>
      <c r="Q341" s="26"/>
      <c r="R341" s="26"/>
      <c r="S341" s="26"/>
      <c r="T341" s="26"/>
      <c r="U341" s="26"/>
      <c r="V341" s="26">
        <f t="shared" si="108"/>
        <v>20000</v>
      </c>
      <c r="W341" s="26"/>
      <c r="X341" s="26"/>
    </row>
    <row r="342" spans="1:24" x14ac:dyDescent="0.2">
      <c r="A342" s="572"/>
      <c r="B342" s="22"/>
      <c r="C342" s="23" t="s">
        <v>376</v>
      </c>
      <c r="D342" s="24" t="s">
        <v>377</v>
      </c>
      <c r="E342" s="25" t="s">
        <v>736</v>
      </c>
      <c r="F342" s="211">
        <v>1517.2</v>
      </c>
      <c r="G342" s="212">
        <f t="shared" si="126"/>
        <v>0.29368950832365465</v>
      </c>
      <c r="H342" s="213">
        <v>4100.8</v>
      </c>
      <c r="I342" s="214">
        <v>3863</v>
      </c>
      <c r="J342" s="213"/>
      <c r="K342" s="215">
        <f t="shared" si="127"/>
        <v>3863</v>
      </c>
      <c r="L342" s="216">
        <f t="shared" si="123"/>
        <v>0.74777390631049168</v>
      </c>
      <c r="M342" s="626"/>
      <c r="N342" s="217">
        <f t="shared" si="128"/>
        <v>3863</v>
      </c>
      <c r="O342" s="211">
        <v>3863</v>
      </c>
      <c r="P342" s="26"/>
      <c r="Q342" s="26"/>
      <c r="R342" s="26"/>
      <c r="S342" s="26"/>
      <c r="T342" s="26"/>
      <c r="U342" s="26"/>
      <c r="V342" s="26">
        <f t="shared" si="108"/>
        <v>3863</v>
      </c>
      <c r="W342" s="26"/>
      <c r="X342" s="26"/>
    </row>
    <row r="343" spans="1:24" x14ac:dyDescent="0.2">
      <c r="A343" s="572"/>
      <c r="B343" s="22"/>
      <c r="C343" s="23" t="s">
        <v>379</v>
      </c>
      <c r="D343" s="24" t="s">
        <v>380</v>
      </c>
      <c r="E343" s="25" t="s">
        <v>737</v>
      </c>
      <c r="F343" s="211">
        <v>91.43</v>
      </c>
      <c r="G343" s="212">
        <f t="shared" si="126"/>
        <v>4.7669447340980192E-2</v>
      </c>
      <c r="H343" s="213">
        <v>237</v>
      </c>
      <c r="I343" s="214">
        <v>341</v>
      </c>
      <c r="J343" s="213"/>
      <c r="K343" s="215">
        <f t="shared" si="127"/>
        <v>341</v>
      </c>
      <c r="L343" s="216">
        <f t="shared" si="123"/>
        <v>0.17778936392075079</v>
      </c>
      <c r="M343" s="626"/>
      <c r="N343" s="217">
        <f t="shared" si="128"/>
        <v>341</v>
      </c>
      <c r="O343" s="211">
        <v>341</v>
      </c>
      <c r="P343" s="26"/>
      <c r="Q343" s="26"/>
      <c r="R343" s="26"/>
      <c r="S343" s="26"/>
      <c r="T343" s="26"/>
      <c r="U343" s="26"/>
      <c r="V343" s="26">
        <f t="shared" si="108"/>
        <v>341</v>
      </c>
      <c r="W343" s="26"/>
      <c r="X343" s="26"/>
    </row>
    <row r="344" spans="1:24" x14ac:dyDescent="0.2">
      <c r="A344" s="572"/>
      <c r="B344" s="22"/>
      <c r="C344" s="23" t="s">
        <v>398</v>
      </c>
      <c r="D344" s="24" t="s">
        <v>399</v>
      </c>
      <c r="E344" s="25" t="s">
        <v>738</v>
      </c>
      <c r="F344" s="211">
        <v>64854.44</v>
      </c>
      <c r="G344" s="212">
        <f t="shared" si="126"/>
        <v>0.59983758786533481</v>
      </c>
      <c r="H344" s="213">
        <v>108120</v>
      </c>
      <c r="I344" s="214">
        <f>121760+4000</f>
        <v>125760</v>
      </c>
      <c r="J344" s="213"/>
      <c r="K344" s="215">
        <f t="shared" si="127"/>
        <v>125760</v>
      </c>
      <c r="L344" s="216">
        <f t="shared" si="123"/>
        <v>1.16315205327414</v>
      </c>
      <c r="M344" s="626"/>
      <c r="N344" s="217">
        <f t="shared" si="128"/>
        <v>125760</v>
      </c>
      <c r="O344" s="211">
        <f>121760+4000</f>
        <v>125760</v>
      </c>
      <c r="P344" s="26"/>
      <c r="Q344" s="26"/>
      <c r="R344" s="26"/>
      <c r="S344" s="26"/>
      <c r="T344" s="26"/>
      <c r="U344" s="26"/>
      <c r="V344" s="26">
        <f t="shared" si="108"/>
        <v>125760</v>
      </c>
      <c r="W344" s="26"/>
      <c r="X344" s="26"/>
    </row>
    <row r="345" spans="1:24" x14ac:dyDescent="0.2">
      <c r="A345" s="572"/>
      <c r="B345" s="22"/>
      <c r="C345" s="23" t="s">
        <v>382</v>
      </c>
      <c r="D345" s="24" t="s">
        <v>383</v>
      </c>
      <c r="E345" s="25" t="s">
        <v>739</v>
      </c>
      <c r="F345" s="211">
        <v>11151.34</v>
      </c>
      <c r="G345" s="212">
        <f t="shared" si="126"/>
        <v>0.55717697611671835</v>
      </c>
      <c r="H345" s="213">
        <v>20014</v>
      </c>
      <c r="I345" s="214">
        <v>22600</v>
      </c>
      <c r="J345" s="213"/>
      <c r="K345" s="215">
        <f t="shared" si="127"/>
        <v>22600</v>
      </c>
      <c r="L345" s="216">
        <f t="shared" si="123"/>
        <v>1.1292095533126811</v>
      </c>
      <c r="M345" s="626"/>
      <c r="N345" s="217">
        <f t="shared" si="128"/>
        <v>22600</v>
      </c>
      <c r="O345" s="211">
        <v>22600</v>
      </c>
      <c r="P345" s="26"/>
      <c r="Q345" s="26"/>
      <c r="R345" s="26"/>
      <c r="S345" s="26"/>
      <c r="T345" s="26"/>
      <c r="U345" s="26"/>
      <c r="V345" s="26">
        <f t="shared" si="108"/>
        <v>22600</v>
      </c>
      <c r="W345" s="26"/>
      <c r="X345" s="26"/>
    </row>
    <row r="346" spans="1:24" x14ac:dyDescent="0.2">
      <c r="A346" s="572"/>
      <c r="B346" s="22"/>
      <c r="C346" s="23" t="s">
        <v>401</v>
      </c>
      <c r="D346" s="24" t="s">
        <v>402</v>
      </c>
      <c r="E346" s="25" t="s">
        <v>485</v>
      </c>
      <c r="F346" s="211">
        <v>9439.5400000000009</v>
      </c>
      <c r="G346" s="212">
        <f t="shared" si="126"/>
        <v>0.7261184615384616</v>
      </c>
      <c r="H346" s="213">
        <v>13000</v>
      </c>
      <c r="I346" s="214">
        <v>13000</v>
      </c>
      <c r="J346" s="213"/>
      <c r="K346" s="215">
        <f t="shared" si="127"/>
        <v>13000</v>
      </c>
      <c r="L346" s="216">
        <f t="shared" si="123"/>
        <v>1</v>
      </c>
      <c r="M346" s="626"/>
      <c r="N346" s="217">
        <f t="shared" si="128"/>
        <v>13000</v>
      </c>
      <c r="O346" s="211">
        <v>13000</v>
      </c>
      <c r="P346" s="26"/>
      <c r="Q346" s="26"/>
      <c r="R346" s="26"/>
      <c r="S346" s="26"/>
      <c r="T346" s="26"/>
      <c r="U346" s="26"/>
      <c r="V346" s="26">
        <f t="shared" si="108"/>
        <v>13000</v>
      </c>
      <c r="W346" s="26"/>
      <c r="X346" s="26"/>
    </row>
    <row r="347" spans="1:24" x14ac:dyDescent="0.2">
      <c r="A347" s="572"/>
      <c r="B347" s="22"/>
      <c r="C347" s="23" t="s">
        <v>416</v>
      </c>
      <c r="D347" s="24" t="s">
        <v>417</v>
      </c>
      <c r="E347" s="25" t="s">
        <v>183</v>
      </c>
      <c r="F347" s="211">
        <v>0</v>
      </c>
      <c r="G347" s="212">
        <f t="shared" si="126"/>
        <v>0</v>
      </c>
      <c r="H347" s="213">
        <v>0</v>
      </c>
      <c r="I347" s="214">
        <v>2000</v>
      </c>
      <c r="J347" s="213"/>
      <c r="K347" s="215">
        <f t="shared" si="127"/>
        <v>2000</v>
      </c>
      <c r="L347" s="216">
        <f t="shared" si="123"/>
        <v>0.625</v>
      </c>
      <c r="M347" s="626"/>
      <c r="N347" s="217">
        <f t="shared" si="128"/>
        <v>2000</v>
      </c>
      <c r="O347" s="211">
        <v>2000</v>
      </c>
      <c r="P347" s="26"/>
      <c r="Q347" s="26"/>
      <c r="R347" s="26"/>
      <c r="S347" s="26"/>
      <c r="T347" s="26"/>
      <c r="U347" s="26"/>
      <c r="V347" s="26">
        <f t="shared" si="108"/>
        <v>2000</v>
      </c>
      <c r="W347" s="26"/>
      <c r="X347" s="26"/>
    </row>
    <row r="348" spans="1:24" x14ac:dyDescent="0.2">
      <c r="A348" s="572"/>
      <c r="B348" s="22"/>
      <c r="C348" s="23" t="s">
        <v>386</v>
      </c>
      <c r="D348" s="24" t="s">
        <v>387</v>
      </c>
      <c r="E348" s="25" t="s">
        <v>740</v>
      </c>
      <c r="F348" s="211">
        <v>64977.42</v>
      </c>
      <c r="G348" s="212">
        <f t="shared" si="126"/>
        <v>0.76078845073061074</v>
      </c>
      <c r="H348" s="213">
        <v>85408</v>
      </c>
      <c r="I348" s="214">
        <f>70648-5000-1800</f>
        <v>63848</v>
      </c>
      <c r="J348" s="213"/>
      <c r="K348" s="215">
        <f t="shared" si="127"/>
        <v>63848</v>
      </c>
      <c r="L348" s="216">
        <f t="shared" si="123"/>
        <v>0.74756463094792058</v>
      </c>
      <c r="M348" s="626"/>
      <c r="N348" s="217">
        <f t="shared" si="128"/>
        <v>63848</v>
      </c>
      <c r="O348" s="211">
        <f>70648-5000-1800</f>
        <v>63848</v>
      </c>
      <c r="P348" s="26"/>
      <c r="Q348" s="26"/>
      <c r="R348" s="26"/>
      <c r="S348" s="26"/>
      <c r="T348" s="26"/>
      <c r="U348" s="26"/>
      <c r="V348" s="26">
        <f t="shared" si="108"/>
        <v>63848</v>
      </c>
      <c r="W348" s="26"/>
      <c r="X348" s="26"/>
    </row>
    <row r="349" spans="1:24" ht="22.5" x14ac:dyDescent="0.2">
      <c r="A349" s="572"/>
      <c r="B349" s="22"/>
      <c r="C349" s="23" t="s">
        <v>506</v>
      </c>
      <c r="D349" s="24" t="s">
        <v>507</v>
      </c>
      <c r="E349" s="25" t="s">
        <v>535</v>
      </c>
      <c r="F349" s="211">
        <v>1661.98</v>
      </c>
      <c r="G349" s="212">
        <f t="shared" si="126"/>
        <v>0.83099000000000001</v>
      </c>
      <c r="H349" s="213">
        <v>2000</v>
      </c>
      <c r="I349" s="214">
        <v>2000</v>
      </c>
      <c r="J349" s="213"/>
      <c r="K349" s="215">
        <f t="shared" si="127"/>
        <v>2000</v>
      </c>
      <c r="L349" s="216">
        <f t="shared" si="123"/>
        <v>1</v>
      </c>
      <c r="M349" s="626"/>
      <c r="N349" s="217">
        <f t="shared" si="128"/>
        <v>2000</v>
      </c>
      <c r="O349" s="211">
        <v>2000</v>
      </c>
      <c r="P349" s="26"/>
      <c r="Q349" s="26"/>
      <c r="R349" s="26"/>
      <c r="S349" s="26"/>
      <c r="T349" s="26"/>
      <c r="U349" s="26"/>
      <c r="V349" s="26">
        <f t="shared" si="108"/>
        <v>2000</v>
      </c>
      <c r="W349" s="26"/>
      <c r="X349" s="26"/>
    </row>
    <row r="350" spans="1:24" x14ac:dyDescent="0.2">
      <c r="A350" s="572"/>
      <c r="B350" s="22"/>
      <c r="C350" s="23" t="s">
        <v>473</v>
      </c>
      <c r="D350" s="24" t="s">
        <v>474</v>
      </c>
      <c r="E350" s="25" t="s">
        <v>741</v>
      </c>
      <c r="F350" s="211">
        <v>701.5</v>
      </c>
      <c r="G350" s="212">
        <f t="shared" si="126"/>
        <v>0.7029058116232465</v>
      </c>
      <c r="H350" s="213">
        <v>701.5</v>
      </c>
      <c r="I350" s="214">
        <v>188</v>
      </c>
      <c r="J350" s="213"/>
      <c r="K350" s="215">
        <f t="shared" si="127"/>
        <v>188</v>
      </c>
      <c r="L350" s="216">
        <f t="shared" si="123"/>
        <v>0.18837675350701402</v>
      </c>
      <c r="M350" s="626"/>
      <c r="N350" s="217">
        <f t="shared" si="128"/>
        <v>188</v>
      </c>
      <c r="O350" s="211">
        <v>188</v>
      </c>
      <c r="P350" s="26"/>
      <c r="Q350" s="26"/>
      <c r="R350" s="26"/>
      <c r="S350" s="26"/>
      <c r="T350" s="26"/>
      <c r="U350" s="26"/>
      <c r="V350" s="26">
        <f t="shared" ref="V350:V413" si="129">SUM(O350:U350)</f>
        <v>188</v>
      </c>
      <c r="W350" s="26"/>
      <c r="X350" s="26"/>
    </row>
    <row r="351" spans="1:24" ht="15" x14ac:dyDescent="0.2">
      <c r="A351" s="571"/>
      <c r="B351" s="15" t="s">
        <v>742</v>
      </c>
      <c r="C351" s="16"/>
      <c r="D351" s="17" t="s">
        <v>22</v>
      </c>
      <c r="E351" s="18">
        <f>E352+E353+E354</f>
        <v>12000</v>
      </c>
      <c r="F351" s="18">
        <f>F352+F353+F354</f>
        <v>11282.47</v>
      </c>
      <c r="G351" s="218">
        <f t="shared" si="126"/>
        <v>0.9402058333333333</v>
      </c>
      <c r="H351" s="246">
        <f>SUM(H352:H354)</f>
        <v>11282.47</v>
      </c>
      <c r="I351" s="247">
        <f t="shared" ref="I351:X351" si="130">SUM(I352:I354)</f>
        <v>2000</v>
      </c>
      <c r="J351" s="246">
        <f t="shared" si="130"/>
        <v>10000</v>
      </c>
      <c r="K351" s="248">
        <f t="shared" si="130"/>
        <v>12000</v>
      </c>
      <c r="L351" s="219">
        <f t="shared" si="123"/>
        <v>1</v>
      </c>
      <c r="M351" s="249"/>
      <c r="N351" s="249">
        <f t="shared" si="130"/>
        <v>12000</v>
      </c>
      <c r="O351" s="250">
        <f t="shared" si="130"/>
        <v>0</v>
      </c>
      <c r="P351" s="250">
        <f t="shared" si="130"/>
        <v>0</v>
      </c>
      <c r="Q351" s="250">
        <f t="shared" si="130"/>
        <v>0</v>
      </c>
      <c r="R351" s="250">
        <f t="shared" si="130"/>
        <v>10000</v>
      </c>
      <c r="S351" s="250">
        <f t="shared" si="130"/>
        <v>2000</v>
      </c>
      <c r="T351" s="250">
        <f t="shared" si="130"/>
        <v>0</v>
      </c>
      <c r="U351" s="250">
        <f t="shared" si="130"/>
        <v>0</v>
      </c>
      <c r="V351" s="26">
        <f t="shared" si="129"/>
        <v>12000</v>
      </c>
      <c r="W351" s="250">
        <f t="shared" si="130"/>
        <v>0</v>
      </c>
      <c r="X351" s="250">
        <f t="shared" si="130"/>
        <v>0</v>
      </c>
    </row>
    <row r="352" spans="1:24" ht="67.5" x14ac:dyDescent="0.2">
      <c r="A352" s="572"/>
      <c r="B352" s="22"/>
      <c r="C352" s="23" t="s">
        <v>85</v>
      </c>
      <c r="D352" s="24" t="s">
        <v>522</v>
      </c>
      <c r="E352" s="25" t="s">
        <v>464</v>
      </c>
      <c r="F352" s="211">
        <v>10000</v>
      </c>
      <c r="G352" s="212">
        <f t="shared" si="126"/>
        <v>1</v>
      </c>
      <c r="H352" s="213">
        <v>10000</v>
      </c>
      <c r="I352" s="214"/>
      <c r="J352" s="213">
        <v>10000</v>
      </c>
      <c r="K352" s="215">
        <f>I352+J352</f>
        <v>10000</v>
      </c>
      <c r="L352" s="216">
        <f t="shared" si="123"/>
        <v>1</v>
      </c>
      <c r="M352" s="626"/>
      <c r="N352" s="217">
        <f>V352+W352+X352</f>
        <v>10000</v>
      </c>
      <c r="O352" s="26"/>
      <c r="P352" s="26"/>
      <c r="Q352" s="26"/>
      <c r="R352" s="26">
        <v>10000</v>
      </c>
      <c r="S352" s="26"/>
      <c r="T352" s="26"/>
      <c r="U352" s="26"/>
      <c r="V352" s="26">
        <f t="shared" si="129"/>
        <v>10000</v>
      </c>
      <c r="W352" s="26"/>
      <c r="X352" s="26"/>
    </row>
    <row r="353" spans="1:24" x14ac:dyDescent="0.2">
      <c r="A353" s="572"/>
      <c r="B353" s="22"/>
      <c r="C353" s="23" t="s">
        <v>382</v>
      </c>
      <c r="D353" s="24" t="s">
        <v>383</v>
      </c>
      <c r="E353" s="25" t="s">
        <v>743</v>
      </c>
      <c r="F353" s="211">
        <v>1050</v>
      </c>
      <c r="G353" s="212">
        <f t="shared" si="126"/>
        <v>1</v>
      </c>
      <c r="H353" s="213">
        <v>1050</v>
      </c>
      <c r="I353" s="214">
        <v>1050</v>
      </c>
      <c r="J353" s="213"/>
      <c r="K353" s="215">
        <f t="shared" ref="K353:K354" si="131">I353+J353</f>
        <v>1050</v>
      </c>
      <c r="L353" s="216">
        <f t="shared" si="123"/>
        <v>1</v>
      </c>
      <c r="M353" s="626"/>
      <c r="N353" s="217">
        <f t="shared" ref="N353:N354" si="132">V353+W353+X353</f>
        <v>1050</v>
      </c>
      <c r="O353" s="26"/>
      <c r="P353" s="26"/>
      <c r="Q353" s="26"/>
      <c r="R353" s="26"/>
      <c r="S353" s="211">
        <v>1050</v>
      </c>
      <c r="T353" s="26"/>
      <c r="U353" s="26"/>
      <c r="V353" s="26">
        <f t="shared" si="129"/>
        <v>1050</v>
      </c>
      <c r="W353" s="26"/>
      <c r="X353" s="26"/>
    </row>
    <row r="354" spans="1:24" x14ac:dyDescent="0.2">
      <c r="A354" s="572"/>
      <c r="B354" s="22"/>
      <c r="C354" s="23" t="s">
        <v>386</v>
      </c>
      <c r="D354" s="24" t="s">
        <v>387</v>
      </c>
      <c r="E354" s="25" t="s">
        <v>744</v>
      </c>
      <c r="F354" s="211">
        <v>232.47</v>
      </c>
      <c r="G354" s="212">
        <f t="shared" si="126"/>
        <v>0.24470526315789473</v>
      </c>
      <c r="H354" s="213">
        <v>232.47</v>
      </c>
      <c r="I354" s="214">
        <v>950</v>
      </c>
      <c r="J354" s="213"/>
      <c r="K354" s="215">
        <f t="shared" si="131"/>
        <v>950</v>
      </c>
      <c r="L354" s="216">
        <f t="shared" si="123"/>
        <v>1</v>
      </c>
      <c r="M354" s="626"/>
      <c r="N354" s="217">
        <f t="shared" si="132"/>
        <v>950</v>
      </c>
      <c r="O354" s="26"/>
      <c r="P354" s="26"/>
      <c r="Q354" s="26"/>
      <c r="R354" s="26"/>
      <c r="S354" s="211">
        <v>950</v>
      </c>
      <c r="T354" s="26"/>
      <c r="U354" s="26"/>
      <c r="V354" s="26">
        <f t="shared" si="129"/>
        <v>950</v>
      </c>
      <c r="W354" s="26"/>
      <c r="X354" s="26"/>
    </row>
    <row r="355" spans="1:24" x14ac:dyDescent="0.2">
      <c r="A355" s="574" t="s">
        <v>227</v>
      </c>
      <c r="B355" s="39"/>
      <c r="C355" s="39"/>
      <c r="D355" s="40" t="s">
        <v>228</v>
      </c>
      <c r="E355" s="41">
        <f>E356+E358+E360+E362+E365+E374+E383+E399+E402+E404+E407+E431+E437+E440+E410+E435</f>
        <v>21009757</v>
      </c>
      <c r="F355" s="41">
        <f t="shared" ref="F355:X355" si="133">F356+F358+F360+F362+F365+F374+F383+F399+F402+F404+F407+F431+F437+F440+F410+F435</f>
        <v>16170301.689999998</v>
      </c>
      <c r="G355" s="42">
        <f>F355/E355</f>
        <v>0.76965676899547186</v>
      </c>
      <c r="H355" s="41">
        <f t="shared" si="133"/>
        <v>20903773.949999999</v>
      </c>
      <c r="I355" s="43">
        <f t="shared" si="133"/>
        <v>4635524</v>
      </c>
      <c r="J355" s="111">
        <f t="shared" si="133"/>
        <v>-767218</v>
      </c>
      <c r="K355" s="206">
        <f t="shared" si="133"/>
        <v>3868306</v>
      </c>
      <c r="L355" s="222">
        <f t="shared" si="123"/>
        <v>0.18411950219129142</v>
      </c>
      <c r="M355" s="207"/>
      <c r="N355" s="208">
        <f t="shared" si="133"/>
        <v>3868306</v>
      </c>
      <c r="O355" s="109">
        <f t="shared" si="133"/>
        <v>150750</v>
      </c>
      <c r="P355" s="109">
        <f t="shared" si="133"/>
        <v>0</v>
      </c>
      <c r="Q355" s="109">
        <f t="shared" si="133"/>
        <v>440000</v>
      </c>
      <c r="R355" s="109">
        <f t="shared" si="133"/>
        <v>0</v>
      </c>
      <c r="S355" s="109">
        <f t="shared" si="133"/>
        <v>0</v>
      </c>
      <c r="T355" s="109">
        <f t="shared" si="133"/>
        <v>0</v>
      </c>
      <c r="U355" s="109">
        <f t="shared" si="133"/>
        <v>0</v>
      </c>
      <c r="V355" s="230">
        <f t="shared" si="129"/>
        <v>590750</v>
      </c>
      <c r="W355" s="109">
        <f t="shared" si="133"/>
        <v>0</v>
      </c>
      <c r="X355" s="109">
        <f t="shared" si="133"/>
        <v>3277556</v>
      </c>
    </row>
    <row r="356" spans="1:24" ht="15" x14ac:dyDescent="0.2">
      <c r="A356" s="571"/>
      <c r="B356" s="15" t="s">
        <v>745</v>
      </c>
      <c r="C356" s="16"/>
      <c r="D356" s="17" t="s">
        <v>746</v>
      </c>
      <c r="E356" s="18" t="str">
        <f>E357</f>
        <v>97 000,00</v>
      </c>
      <c r="F356" s="18">
        <f>F357</f>
        <v>72423.48</v>
      </c>
      <c r="G356" s="218">
        <f t="shared" si="126"/>
        <v>0.7466338144329896</v>
      </c>
      <c r="H356" s="246">
        <f>H357</f>
        <v>96564.64</v>
      </c>
      <c r="I356" s="247">
        <f t="shared" ref="I356:X356" si="134">I357</f>
        <v>0</v>
      </c>
      <c r="J356" s="246">
        <f t="shared" si="134"/>
        <v>0</v>
      </c>
      <c r="K356" s="248">
        <f t="shared" si="134"/>
        <v>0</v>
      </c>
      <c r="L356" s="219">
        <f t="shared" si="123"/>
        <v>0</v>
      </c>
      <c r="M356" s="249"/>
      <c r="N356" s="249">
        <f t="shared" si="134"/>
        <v>0</v>
      </c>
      <c r="O356" s="250">
        <f t="shared" si="134"/>
        <v>0</v>
      </c>
      <c r="P356" s="250">
        <f t="shared" si="134"/>
        <v>0</v>
      </c>
      <c r="Q356" s="250">
        <f t="shared" si="134"/>
        <v>0</v>
      </c>
      <c r="R356" s="250">
        <f t="shared" si="134"/>
        <v>0</v>
      </c>
      <c r="S356" s="250">
        <f t="shared" si="134"/>
        <v>0</v>
      </c>
      <c r="T356" s="250">
        <f t="shared" si="134"/>
        <v>0</v>
      </c>
      <c r="U356" s="250">
        <f t="shared" si="134"/>
        <v>0</v>
      </c>
      <c r="V356" s="26">
        <f t="shared" si="129"/>
        <v>0</v>
      </c>
      <c r="W356" s="250">
        <f t="shared" si="134"/>
        <v>0</v>
      </c>
      <c r="X356" s="250">
        <f t="shared" si="134"/>
        <v>0</v>
      </c>
    </row>
    <row r="357" spans="1:24" ht="33.75" x14ac:dyDescent="0.2">
      <c r="A357" s="572"/>
      <c r="B357" s="22"/>
      <c r="C357" s="23" t="s">
        <v>747</v>
      </c>
      <c r="D357" s="24" t="s">
        <v>748</v>
      </c>
      <c r="E357" s="25" t="s">
        <v>749</v>
      </c>
      <c r="F357" s="211">
        <v>72423.48</v>
      </c>
      <c r="G357" s="212">
        <f t="shared" si="126"/>
        <v>0.7466338144329896</v>
      </c>
      <c r="H357" s="213">
        <v>96564.64</v>
      </c>
      <c r="I357" s="214">
        <v>0</v>
      </c>
      <c r="J357" s="213"/>
      <c r="K357" s="215">
        <f>I357+J357</f>
        <v>0</v>
      </c>
      <c r="L357" s="216">
        <f t="shared" si="123"/>
        <v>0</v>
      </c>
      <c r="M357" s="626"/>
      <c r="N357" s="217">
        <f>V357+W357+X357</f>
        <v>0</v>
      </c>
      <c r="O357" s="26"/>
      <c r="P357" s="26"/>
      <c r="Q357" s="26"/>
      <c r="R357" s="26"/>
      <c r="S357" s="26"/>
      <c r="T357" s="26"/>
      <c r="U357" s="26"/>
      <c r="V357" s="26">
        <f t="shared" si="129"/>
        <v>0</v>
      </c>
      <c r="W357" s="26"/>
      <c r="X357" s="26"/>
    </row>
    <row r="358" spans="1:24" ht="15" x14ac:dyDescent="0.2">
      <c r="A358" s="571"/>
      <c r="B358" s="15" t="s">
        <v>750</v>
      </c>
      <c r="C358" s="16"/>
      <c r="D358" s="17" t="s">
        <v>751</v>
      </c>
      <c r="E358" s="18" t="str">
        <f>E359</f>
        <v>526 683,00</v>
      </c>
      <c r="F358" s="18">
        <f>F359</f>
        <v>382574.14</v>
      </c>
      <c r="G358" s="218">
        <f t="shared" si="126"/>
        <v>0.72638406783587095</v>
      </c>
      <c r="H358" s="246">
        <f>H359</f>
        <v>513086.74</v>
      </c>
      <c r="I358" s="247">
        <f t="shared" ref="I358:X358" si="135">I359</f>
        <v>642430</v>
      </c>
      <c r="J358" s="246">
        <f t="shared" si="135"/>
        <v>-100000</v>
      </c>
      <c r="K358" s="248">
        <f t="shared" si="135"/>
        <v>542430</v>
      </c>
      <c r="L358" s="219">
        <f t="shared" si="123"/>
        <v>1.0298984398585107</v>
      </c>
      <c r="M358" s="249"/>
      <c r="N358" s="249">
        <f t="shared" si="135"/>
        <v>542430</v>
      </c>
      <c r="O358" s="250">
        <f t="shared" si="135"/>
        <v>0</v>
      </c>
      <c r="P358" s="250">
        <f t="shared" si="135"/>
        <v>0</v>
      </c>
      <c r="Q358" s="250">
        <f t="shared" si="135"/>
        <v>0</v>
      </c>
      <c r="R358" s="250">
        <f t="shared" si="135"/>
        <v>0</v>
      </c>
      <c r="S358" s="250">
        <f t="shared" si="135"/>
        <v>0</v>
      </c>
      <c r="T358" s="250">
        <f t="shared" si="135"/>
        <v>0</v>
      </c>
      <c r="U358" s="250">
        <f t="shared" si="135"/>
        <v>0</v>
      </c>
      <c r="V358" s="26">
        <f t="shared" si="129"/>
        <v>0</v>
      </c>
      <c r="W358" s="250">
        <f t="shared" si="135"/>
        <v>0</v>
      </c>
      <c r="X358" s="250">
        <f t="shared" si="135"/>
        <v>542430</v>
      </c>
    </row>
    <row r="359" spans="1:24" ht="33.75" x14ac:dyDescent="0.2">
      <c r="A359" s="572"/>
      <c r="B359" s="22"/>
      <c r="C359" s="23" t="s">
        <v>747</v>
      </c>
      <c r="D359" s="24" t="s">
        <v>748</v>
      </c>
      <c r="E359" s="25" t="s">
        <v>752</v>
      </c>
      <c r="F359" s="211">
        <v>382574.14</v>
      </c>
      <c r="G359" s="212">
        <f t="shared" si="126"/>
        <v>0.72638406783587095</v>
      </c>
      <c r="H359" s="213">
        <v>513086.74</v>
      </c>
      <c r="I359" s="214">
        <v>642430</v>
      </c>
      <c r="J359" s="213">
        <v>-100000</v>
      </c>
      <c r="K359" s="215">
        <f>I359+J359</f>
        <v>542430</v>
      </c>
      <c r="L359" s="216">
        <f t="shared" si="123"/>
        <v>1.0298984398585107</v>
      </c>
      <c r="M359" s="626"/>
      <c r="N359" s="217">
        <f>V359+W359+X359</f>
        <v>542430</v>
      </c>
      <c r="O359" s="26"/>
      <c r="P359" s="26"/>
      <c r="Q359" s="26"/>
      <c r="R359" s="26"/>
      <c r="S359" s="26"/>
      <c r="T359" s="26"/>
      <c r="U359" s="26"/>
      <c r="V359" s="26">
        <f t="shared" si="129"/>
        <v>0</v>
      </c>
      <c r="W359" s="26"/>
      <c r="X359" s="26">
        <f>642430-100000</f>
        <v>542430</v>
      </c>
    </row>
    <row r="360" spans="1:24" ht="15" x14ac:dyDescent="0.2">
      <c r="A360" s="571"/>
      <c r="B360" s="15" t="s">
        <v>753</v>
      </c>
      <c r="C360" s="16"/>
      <c r="D360" s="17" t="s">
        <v>290</v>
      </c>
      <c r="E360" s="18">
        <f>E361</f>
        <v>79460</v>
      </c>
      <c r="F360" s="18">
        <f>F361</f>
        <v>58152.1</v>
      </c>
      <c r="G360" s="218">
        <f t="shared" si="126"/>
        <v>0.73184117795117043</v>
      </c>
      <c r="H360" s="246">
        <f>H361</f>
        <v>79460</v>
      </c>
      <c r="I360" s="247">
        <f t="shared" ref="I360:X360" si="136">I361</f>
        <v>0</v>
      </c>
      <c r="J360" s="246">
        <f t="shared" si="136"/>
        <v>0</v>
      </c>
      <c r="K360" s="248">
        <f t="shared" si="136"/>
        <v>0</v>
      </c>
      <c r="L360" s="219">
        <f t="shared" si="123"/>
        <v>0</v>
      </c>
      <c r="M360" s="249"/>
      <c r="N360" s="249">
        <f t="shared" si="136"/>
        <v>0</v>
      </c>
      <c r="O360" s="250">
        <f t="shared" si="136"/>
        <v>0</v>
      </c>
      <c r="P360" s="250">
        <f t="shared" si="136"/>
        <v>0</v>
      </c>
      <c r="Q360" s="250">
        <f t="shared" si="136"/>
        <v>0</v>
      </c>
      <c r="R360" s="250">
        <f t="shared" si="136"/>
        <v>0</v>
      </c>
      <c r="S360" s="250">
        <f t="shared" si="136"/>
        <v>0</v>
      </c>
      <c r="T360" s="250">
        <f t="shared" si="136"/>
        <v>0</v>
      </c>
      <c r="U360" s="250">
        <f t="shared" si="136"/>
        <v>0</v>
      </c>
      <c r="V360" s="26">
        <f t="shared" si="129"/>
        <v>0</v>
      </c>
      <c r="W360" s="250">
        <f t="shared" si="136"/>
        <v>0</v>
      </c>
      <c r="X360" s="250">
        <f t="shared" si="136"/>
        <v>0</v>
      </c>
    </row>
    <row r="361" spans="1:24" ht="33.75" x14ac:dyDescent="0.2">
      <c r="A361" s="572"/>
      <c r="B361" s="22"/>
      <c r="C361" s="23" t="s">
        <v>747</v>
      </c>
      <c r="D361" s="24" t="s">
        <v>748</v>
      </c>
      <c r="E361" s="25">
        <v>79460</v>
      </c>
      <c r="F361" s="211">
        <v>58152.1</v>
      </c>
      <c r="G361" s="212">
        <f t="shared" si="126"/>
        <v>0.73184117795117043</v>
      </c>
      <c r="H361" s="213">
        <v>79460</v>
      </c>
      <c r="I361" s="214">
        <v>0</v>
      </c>
      <c r="J361" s="213"/>
      <c r="K361" s="215">
        <f>I361+J361</f>
        <v>0</v>
      </c>
      <c r="L361" s="216">
        <f t="shared" si="123"/>
        <v>0</v>
      </c>
      <c r="M361" s="626"/>
      <c r="N361" s="217">
        <f>V361+W361+X361</f>
        <v>0</v>
      </c>
      <c r="O361" s="26"/>
      <c r="P361" s="26"/>
      <c r="Q361" s="26"/>
      <c r="R361" s="26"/>
      <c r="S361" s="26"/>
      <c r="T361" s="26"/>
      <c r="U361" s="26"/>
      <c r="V361" s="26">
        <f t="shared" si="129"/>
        <v>0</v>
      </c>
      <c r="W361" s="26"/>
      <c r="X361" s="26"/>
    </row>
    <row r="362" spans="1:24" ht="22.5" x14ac:dyDescent="0.2">
      <c r="A362" s="571"/>
      <c r="B362" s="15" t="s">
        <v>754</v>
      </c>
      <c r="C362" s="16"/>
      <c r="D362" s="17" t="s">
        <v>755</v>
      </c>
      <c r="E362" s="18">
        <f>E363+E364</f>
        <v>9300</v>
      </c>
      <c r="F362" s="18">
        <f>F363+F364</f>
        <v>3550</v>
      </c>
      <c r="G362" s="218">
        <f t="shared" si="126"/>
        <v>0.38172043010752688</v>
      </c>
      <c r="H362" s="246">
        <f>H363+H364</f>
        <v>6750</v>
      </c>
      <c r="I362" s="247">
        <f t="shared" ref="I362:X362" si="137">I363+I364</f>
        <v>5000</v>
      </c>
      <c r="J362" s="246">
        <f t="shared" si="137"/>
        <v>0</v>
      </c>
      <c r="K362" s="248">
        <f t="shared" si="137"/>
        <v>5000</v>
      </c>
      <c r="L362" s="219">
        <f t="shared" si="123"/>
        <v>0.5376344086021505</v>
      </c>
      <c r="M362" s="249"/>
      <c r="N362" s="249">
        <f t="shared" si="137"/>
        <v>5000</v>
      </c>
      <c r="O362" s="250">
        <f t="shared" si="137"/>
        <v>0</v>
      </c>
      <c r="P362" s="250">
        <f t="shared" si="137"/>
        <v>0</v>
      </c>
      <c r="Q362" s="250">
        <f t="shared" si="137"/>
        <v>0</v>
      </c>
      <c r="R362" s="250">
        <f t="shared" si="137"/>
        <v>0</v>
      </c>
      <c r="S362" s="250">
        <f t="shared" si="137"/>
        <v>0</v>
      </c>
      <c r="T362" s="250">
        <f t="shared" si="137"/>
        <v>0</v>
      </c>
      <c r="U362" s="250">
        <f t="shared" si="137"/>
        <v>0</v>
      </c>
      <c r="V362" s="26">
        <f t="shared" si="129"/>
        <v>0</v>
      </c>
      <c r="W362" s="250">
        <f t="shared" si="137"/>
        <v>0</v>
      </c>
      <c r="X362" s="250">
        <f t="shared" si="137"/>
        <v>5000</v>
      </c>
    </row>
    <row r="363" spans="1:24" x14ac:dyDescent="0.2">
      <c r="A363" s="572"/>
      <c r="B363" s="22"/>
      <c r="C363" s="23" t="s">
        <v>382</v>
      </c>
      <c r="D363" s="24" t="s">
        <v>383</v>
      </c>
      <c r="E363" s="25" t="s">
        <v>660</v>
      </c>
      <c r="F363" s="211">
        <v>550</v>
      </c>
      <c r="G363" s="212">
        <f t="shared" si="126"/>
        <v>0.42307692307692307</v>
      </c>
      <c r="H363" s="213">
        <v>750</v>
      </c>
      <c r="I363" s="214">
        <v>1000</v>
      </c>
      <c r="J363" s="213"/>
      <c r="K363" s="215">
        <f>I363+J363</f>
        <v>1000</v>
      </c>
      <c r="L363" s="216">
        <f t="shared" si="123"/>
        <v>0.76923076923076927</v>
      </c>
      <c r="M363" s="626"/>
      <c r="N363" s="217">
        <f>V363+W363+X363</f>
        <v>1000</v>
      </c>
      <c r="O363" s="26"/>
      <c r="P363" s="26"/>
      <c r="Q363" s="26"/>
      <c r="R363" s="26"/>
      <c r="S363" s="26"/>
      <c r="T363" s="26"/>
      <c r="U363" s="26"/>
      <c r="V363" s="26">
        <f t="shared" si="129"/>
        <v>0</v>
      </c>
      <c r="W363" s="26"/>
      <c r="X363" s="26">
        <v>1000</v>
      </c>
    </row>
    <row r="364" spans="1:24" x14ac:dyDescent="0.2">
      <c r="A364" s="572"/>
      <c r="B364" s="22"/>
      <c r="C364" s="23" t="s">
        <v>386</v>
      </c>
      <c r="D364" s="24" t="s">
        <v>387</v>
      </c>
      <c r="E364" s="25" t="s">
        <v>756</v>
      </c>
      <c r="F364" s="211">
        <v>3000</v>
      </c>
      <c r="G364" s="212">
        <f t="shared" si="126"/>
        <v>0.375</v>
      </c>
      <c r="H364" s="213">
        <v>6000</v>
      </c>
      <c r="I364" s="214">
        <v>4000</v>
      </c>
      <c r="J364" s="213"/>
      <c r="K364" s="215">
        <f>I364+J364</f>
        <v>4000</v>
      </c>
      <c r="L364" s="216">
        <f t="shared" si="123"/>
        <v>0.5</v>
      </c>
      <c r="M364" s="626"/>
      <c r="N364" s="217">
        <f>V364+W364+X364</f>
        <v>4000</v>
      </c>
      <c r="O364" s="26"/>
      <c r="P364" s="26"/>
      <c r="Q364" s="26"/>
      <c r="R364" s="26"/>
      <c r="S364" s="26"/>
      <c r="T364" s="26"/>
      <c r="U364" s="26"/>
      <c r="V364" s="26">
        <f t="shared" si="129"/>
        <v>0</v>
      </c>
      <c r="W364" s="26"/>
      <c r="X364" s="26">
        <v>4000</v>
      </c>
    </row>
    <row r="365" spans="1:24" ht="15" x14ac:dyDescent="0.2">
      <c r="A365" s="571"/>
      <c r="B365" s="15" t="s">
        <v>229</v>
      </c>
      <c r="C365" s="16"/>
      <c r="D365" s="17" t="s">
        <v>230</v>
      </c>
      <c r="E365" s="18">
        <f>E366+E367+E368+E370+E371+E373+E369+E372</f>
        <v>136749</v>
      </c>
      <c r="F365" s="18">
        <f>F366+F367+F368+F370+F371+F373+F369+F372</f>
        <v>68528.800000000003</v>
      </c>
      <c r="G365" s="218">
        <f t="shared" si="126"/>
        <v>0.50112834463140499</v>
      </c>
      <c r="H365" s="246">
        <f>H366+H367+H368+H369+H370+H371+H372+H373</f>
        <v>107344.69</v>
      </c>
      <c r="I365" s="247">
        <f t="shared" ref="I365:X365" si="138">I366+I367+I368+I369+I370+I371+I372+I373</f>
        <v>0</v>
      </c>
      <c r="J365" s="246">
        <f t="shared" si="138"/>
        <v>0</v>
      </c>
      <c r="K365" s="248">
        <f t="shared" si="138"/>
        <v>0</v>
      </c>
      <c r="L365" s="219">
        <f t="shared" si="123"/>
        <v>0</v>
      </c>
      <c r="M365" s="249"/>
      <c r="N365" s="249">
        <f t="shared" si="138"/>
        <v>0</v>
      </c>
      <c r="O365" s="250">
        <f t="shared" si="138"/>
        <v>0</v>
      </c>
      <c r="P365" s="250">
        <f t="shared" si="138"/>
        <v>0</v>
      </c>
      <c r="Q365" s="250">
        <f t="shared" si="138"/>
        <v>0</v>
      </c>
      <c r="R365" s="250">
        <f t="shared" si="138"/>
        <v>0</v>
      </c>
      <c r="S365" s="250">
        <f t="shared" si="138"/>
        <v>0</v>
      </c>
      <c r="T365" s="250">
        <f t="shared" si="138"/>
        <v>0</v>
      </c>
      <c r="U365" s="250">
        <f t="shared" si="138"/>
        <v>0</v>
      </c>
      <c r="V365" s="26">
        <f t="shared" si="129"/>
        <v>0</v>
      </c>
      <c r="W365" s="250">
        <f t="shared" si="138"/>
        <v>0</v>
      </c>
      <c r="X365" s="250">
        <f t="shared" si="138"/>
        <v>0</v>
      </c>
    </row>
    <row r="366" spans="1:24" ht="22.5" x14ac:dyDescent="0.2">
      <c r="A366" s="572"/>
      <c r="B366" s="22"/>
      <c r="C366" s="23" t="s">
        <v>488</v>
      </c>
      <c r="D366" s="24" t="s">
        <v>489</v>
      </c>
      <c r="E366" s="25" t="s">
        <v>757</v>
      </c>
      <c r="F366" s="211">
        <v>0</v>
      </c>
      <c r="G366" s="212">
        <f t="shared" si="126"/>
        <v>0</v>
      </c>
      <c r="H366" s="213">
        <v>1292</v>
      </c>
      <c r="I366" s="214">
        <v>0</v>
      </c>
      <c r="J366" s="213"/>
      <c r="K366" s="215">
        <f>I366+J366</f>
        <v>0</v>
      </c>
      <c r="L366" s="216">
        <f t="shared" si="123"/>
        <v>0</v>
      </c>
      <c r="M366" s="626"/>
      <c r="N366" s="217">
        <f>V366+W366+X366</f>
        <v>0</v>
      </c>
      <c r="O366" s="26"/>
      <c r="P366" s="26"/>
      <c r="Q366" s="26"/>
      <c r="R366" s="26"/>
      <c r="S366" s="26"/>
      <c r="T366" s="26"/>
      <c r="U366" s="26"/>
      <c r="V366" s="26">
        <f t="shared" si="129"/>
        <v>0</v>
      </c>
      <c r="W366" s="26"/>
      <c r="X366" s="26"/>
    </row>
    <row r="367" spans="1:24" x14ac:dyDescent="0.2">
      <c r="A367" s="572"/>
      <c r="B367" s="22"/>
      <c r="C367" s="23" t="s">
        <v>373</v>
      </c>
      <c r="D367" s="24" t="s">
        <v>374</v>
      </c>
      <c r="E367" s="25" t="s">
        <v>758</v>
      </c>
      <c r="F367" s="211">
        <v>48001.48</v>
      </c>
      <c r="G367" s="212">
        <f t="shared" si="126"/>
        <v>0.45533129072955109</v>
      </c>
      <c r="H367" s="213">
        <v>76065</v>
      </c>
      <c r="I367" s="214">
        <v>0</v>
      </c>
      <c r="J367" s="213"/>
      <c r="K367" s="215">
        <f t="shared" ref="K367:K373" si="139">I367+J367</f>
        <v>0</v>
      </c>
      <c r="L367" s="216">
        <f t="shared" si="123"/>
        <v>0</v>
      </c>
      <c r="M367" s="626"/>
      <c r="N367" s="217">
        <f t="shared" ref="N367:N373" si="140">V367+W367+X367</f>
        <v>0</v>
      </c>
      <c r="O367" s="26"/>
      <c r="P367" s="26"/>
      <c r="Q367" s="26"/>
      <c r="R367" s="26"/>
      <c r="S367" s="26"/>
      <c r="T367" s="26"/>
      <c r="U367" s="26"/>
      <c r="V367" s="26">
        <f t="shared" si="129"/>
        <v>0</v>
      </c>
      <c r="W367" s="26"/>
      <c r="X367" s="26"/>
    </row>
    <row r="368" spans="1:24" x14ac:dyDescent="0.2">
      <c r="A368" s="572"/>
      <c r="B368" s="22"/>
      <c r="C368" s="23" t="s">
        <v>466</v>
      </c>
      <c r="D368" s="24" t="s">
        <v>467</v>
      </c>
      <c r="E368" s="25" t="s">
        <v>759</v>
      </c>
      <c r="F368" s="211">
        <v>4607.6899999999996</v>
      </c>
      <c r="G368" s="212">
        <f t="shared" si="126"/>
        <v>0.98962414089347073</v>
      </c>
      <c r="H368" s="213">
        <v>4607.6899999999996</v>
      </c>
      <c r="I368" s="214">
        <v>0</v>
      </c>
      <c r="J368" s="213"/>
      <c r="K368" s="215">
        <f t="shared" si="139"/>
        <v>0</v>
      </c>
      <c r="L368" s="216">
        <f t="shared" si="123"/>
        <v>0</v>
      </c>
      <c r="M368" s="626"/>
      <c r="N368" s="217">
        <f t="shared" si="140"/>
        <v>0</v>
      </c>
      <c r="O368" s="26"/>
      <c r="P368" s="26"/>
      <c r="Q368" s="26"/>
      <c r="R368" s="26"/>
      <c r="S368" s="26"/>
      <c r="T368" s="26"/>
      <c r="U368" s="26"/>
      <c r="V368" s="26">
        <f t="shared" si="129"/>
        <v>0</v>
      </c>
      <c r="W368" s="26"/>
      <c r="X368" s="26"/>
    </row>
    <row r="369" spans="1:24" x14ac:dyDescent="0.2">
      <c r="A369" s="572"/>
      <c r="B369" s="22"/>
      <c r="C369" s="23" t="s">
        <v>376</v>
      </c>
      <c r="D369" s="24" t="s">
        <v>377</v>
      </c>
      <c r="E369" s="25" t="s">
        <v>760</v>
      </c>
      <c r="F369" s="211">
        <v>8980.31</v>
      </c>
      <c r="G369" s="212">
        <f t="shared" si="126"/>
        <v>0.64606546762589923</v>
      </c>
      <c r="H369" s="213">
        <v>13900</v>
      </c>
      <c r="I369" s="214">
        <v>0</v>
      </c>
      <c r="J369" s="213"/>
      <c r="K369" s="215">
        <f t="shared" si="139"/>
        <v>0</v>
      </c>
      <c r="L369" s="216">
        <f t="shared" si="123"/>
        <v>0</v>
      </c>
      <c r="M369" s="626"/>
      <c r="N369" s="217">
        <f t="shared" si="140"/>
        <v>0</v>
      </c>
      <c r="O369" s="26"/>
      <c r="P369" s="26"/>
      <c r="Q369" s="26"/>
      <c r="R369" s="26"/>
      <c r="S369" s="26"/>
      <c r="T369" s="26"/>
      <c r="U369" s="26"/>
      <c r="V369" s="26">
        <f t="shared" si="129"/>
        <v>0</v>
      </c>
      <c r="W369" s="26"/>
      <c r="X369" s="26"/>
    </row>
    <row r="370" spans="1:24" x14ac:dyDescent="0.2">
      <c r="A370" s="572"/>
      <c r="B370" s="22"/>
      <c r="C370" s="23" t="s">
        <v>379</v>
      </c>
      <c r="D370" s="24" t="s">
        <v>380</v>
      </c>
      <c r="E370" s="25" t="s">
        <v>761</v>
      </c>
      <c r="F370" s="211">
        <v>1138.56</v>
      </c>
      <c r="G370" s="212">
        <f t="shared" si="126"/>
        <v>0.57561172901921132</v>
      </c>
      <c r="H370" s="213">
        <v>1978</v>
      </c>
      <c r="I370" s="214">
        <v>0</v>
      </c>
      <c r="J370" s="213"/>
      <c r="K370" s="215">
        <f t="shared" si="139"/>
        <v>0</v>
      </c>
      <c r="L370" s="216">
        <f t="shared" si="123"/>
        <v>0</v>
      </c>
      <c r="M370" s="626"/>
      <c r="N370" s="217">
        <f t="shared" si="140"/>
        <v>0</v>
      </c>
      <c r="O370" s="26"/>
      <c r="P370" s="26"/>
      <c r="Q370" s="26"/>
      <c r="R370" s="26"/>
      <c r="S370" s="26"/>
      <c r="T370" s="26"/>
      <c r="U370" s="26"/>
      <c r="V370" s="26">
        <f t="shared" si="129"/>
        <v>0</v>
      </c>
      <c r="W370" s="26"/>
      <c r="X370" s="26"/>
    </row>
    <row r="371" spans="1:24" x14ac:dyDescent="0.2">
      <c r="A371" s="572"/>
      <c r="B371" s="22"/>
      <c r="C371" s="23" t="s">
        <v>382</v>
      </c>
      <c r="D371" s="24" t="s">
        <v>383</v>
      </c>
      <c r="E371" s="25" t="s">
        <v>183</v>
      </c>
      <c r="F371" s="211">
        <v>220.72</v>
      </c>
      <c r="G371" s="212">
        <f t="shared" si="126"/>
        <v>6.8974999999999995E-2</v>
      </c>
      <c r="H371" s="213">
        <v>3200</v>
      </c>
      <c r="I371" s="214">
        <v>0</v>
      </c>
      <c r="J371" s="213"/>
      <c r="K371" s="215">
        <f t="shared" si="139"/>
        <v>0</v>
      </c>
      <c r="L371" s="216">
        <f t="shared" si="123"/>
        <v>0</v>
      </c>
      <c r="M371" s="626"/>
      <c r="N371" s="217">
        <f t="shared" si="140"/>
        <v>0</v>
      </c>
      <c r="O371" s="26"/>
      <c r="P371" s="26"/>
      <c r="Q371" s="26"/>
      <c r="R371" s="26"/>
      <c r="S371" s="26"/>
      <c r="T371" s="26"/>
      <c r="U371" s="26"/>
      <c r="V371" s="26">
        <f t="shared" si="129"/>
        <v>0</v>
      </c>
      <c r="W371" s="26"/>
      <c r="X371" s="26"/>
    </row>
    <row r="372" spans="1:24" x14ac:dyDescent="0.2">
      <c r="A372" s="572"/>
      <c r="B372" s="22"/>
      <c r="C372" s="23" t="s">
        <v>473</v>
      </c>
      <c r="D372" s="24" t="s">
        <v>474</v>
      </c>
      <c r="E372" s="25" t="s">
        <v>79</v>
      </c>
      <c r="F372" s="211">
        <v>3278.04</v>
      </c>
      <c r="G372" s="212">
        <f t="shared" si="126"/>
        <v>0.81950999999999996</v>
      </c>
      <c r="H372" s="213">
        <v>4000</v>
      </c>
      <c r="I372" s="214">
        <v>0</v>
      </c>
      <c r="J372" s="213"/>
      <c r="K372" s="215">
        <f t="shared" si="139"/>
        <v>0</v>
      </c>
      <c r="L372" s="216">
        <f t="shared" si="123"/>
        <v>0</v>
      </c>
      <c r="M372" s="626"/>
      <c r="N372" s="217">
        <f t="shared" si="140"/>
        <v>0</v>
      </c>
      <c r="O372" s="26"/>
      <c r="P372" s="26"/>
      <c r="Q372" s="26"/>
      <c r="R372" s="26"/>
      <c r="S372" s="26"/>
      <c r="T372" s="26"/>
      <c r="U372" s="26"/>
      <c r="V372" s="26">
        <f t="shared" si="129"/>
        <v>0</v>
      </c>
      <c r="W372" s="26"/>
      <c r="X372" s="26"/>
    </row>
    <row r="373" spans="1:24" ht="22.5" x14ac:dyDescent="0.2">
      <c r="A373" s="572"/>
      <c r="B373" s="22"/>
      <c r="C373" s="23" t="s">
        <v>515</v>
      </c>
      <c r="D373" s="24" t="s">
        <v>516</v>
      </c>
      <c r="E373" s="25" t="s">
        <v>762</v>
      </c>
      <c r="F373" s="211">
        <v>2302</v>
      </c>
      <c r="G373" s="212">
        <f t="shared" si="126"/>
        <v>1</v>
      </c>
      <c r="H373" s="213">
        <v>2302</v>
      </c>
      <c r="I373" s="214">
        <v>0</v>
      </c>
      <c r="J373" s="213"/>
      <c r="K373" s="215">
        <f t="shared" si="139"/>
        <v>0</v>
      </c>
      <c r="L373" s="216">
        <f t="shared" si="123"/>
        <v>0</v>
      </c>
      <c r="M373" s="626"/>
      <c r="N373" s="217">
        <f t="shared" si="140"/>
        <v>0</v>
      </c>
      <c r="O373" s="26"/>
      <c r="P373" s="26"/>
      <c r="Q373" s="26"/>
      <c r="R373" s="26"/>
      <c r="S373" s="26"/>
      <c r="T373" s="26"/>
      <c r="U373" s="26"/>
      <c r="V373" s="26">
        <f t="shared" si="129"/>
        <v>0</v>
      </c>
      <c r="W373" s="26"/>
      <c r="X373" s="26"/>
    </row>
    <row r="374" spans="1:24" ht="15" x14ac:dyDescent="0.2">
      <c r="A374" s="571"/>
      <c r="B374" s="15" t="s">
        <v>232</v>
      </c>
      <c r="C374" s="16"/>
      <c r="D374" s="17" t="s">
        <v>233</v>
      </c>
      <c r="E374" s="18">
        <f>E375+E376+E377+E378+E379+E380+E381+E382</f>
        <v>9409796</v>
      </c>
      <c r="F374" s="18">
        <f>F375+F376+F377+F378+F379+F380+F381+F382</f>
        <v>7290462.1299999999</v>
      </c>
      <c r="G374" s="218">
        <f t="shared" si="126"/>
        <v>0.77477366459379138</v>
      </c>
      <c r="H374" s="246">
        <f>H375+H376+H377+H378+H379+H380+H381+H382</f>
        <v>9409796</v>
      </c>
      <c r="I374" s="247">
        <f t="shared" ref="I374:X374" si="141">I375+I376+I377+I378+I379+I380+I381+I382</f>
        <v>0</v>
      </c>
      <c r="J374" s="246">
        <f t="shared" si="141"/>
        <v>0</v>
      </c>
      <c r="K374" s="248">
        <f t="shared" si="141"/>
        <v>0</v>
      </c>
      <c r="L374" s="219">
        <f t="shared" si="123"/>
        <v>0</v>
      </c>
      <c r="M374" s="249"/>
      <c r="N374" s="249">
        <f t="shared" si="141"/>
        <v>0</v>
      </c>
      <c r="O374" s="250">
        <f t="shared" si="141"/>
        <v>0</v>
      </c>
      <c r="P374" s="250">
        <f t="shared" si="141"/>
        <v>0</v>
      </c>
      <c r="Q374" s="250">
        <f t="shared" si="141"/>
        <v>0</v>
      </c>
      <c r="R374" s="250">
        <f t="shared" si="141"/>
        <v>0</v>
      </c>
      <c r="S374" s="250">
        <f t="shared" si="141"/>
        <v>0</v>
      </c>
      <c r="T374" s="250">
        <f t="shared" si="141"/>
        <v>0</v>
      </c>
      <c r="U374" s="250">
        <f t="shared" si="141"/>
        <v>0</v>
      </c>
      <c r="V374" s="26">
        <f t="shared" si="129"/>
        <v>0</v>
      </c>
      <c r="W374" s="250">
        <f t="shared" si="141"/>
        <v>0</v>
      </c>
      <c r="X374" s="250">
        <f t="shared" si="141"/>
        <v>0</v>
      </c>
    </row>
    <row r="375" spans="1:24" x14ac:dyDescent="0.2">
      <c r="A375" s="572"/>
      <c r="B375" s="22"/>
      <c r="C375" s="23" t="s">
        <v>763</v>
      </c>
      <c r="D375" s="24" t="s">
        <v>764</v>
      </c>
      <c r="E375" s="25" t="s">
        <v>765</v>
      </c>
      <c r="F375" s="211">
        <v>7172723.5999999996</v>
      </c>
      <c r="G375" s="212">
        <f t="shared" si="126"/>
        <v>0.77688281116557811</v>
      </c>
      <c r="H375" s="25" t="s">
        <v>765</v>
      </c>
      <c r="I375" s="214">
        <v>0</v>
      </c>
      <c r="J375" s="213"/>
      <c r="K375" s="215">
        <f>I375+J375</f>
        <v>0</v>
      </c>
      <c r="L375" s="216">
        <f t="shared" si="123"/>
        <v>0</v>
      </c>
      <c r="M375" s="626"/>
      <c r="N375" s="217">
        <f>V375+W375+X375</f>
        <v>0</v>
      </c>
      <c r="O375" s="26"/>
      <c r="P375" s="26"/>
      <c r="Q375" s="26"/>
      <c r="R375" s="26"/>
      <c r="S375" s="26"/>
      <c r="T375" s="26"/>
      <c r="U375" s="26"/>
      <c r="V375" s="26">
        <f t="shared" si="129"/>
        <v>0</v>
      </c>
      <c r="W375" s="26"/>
      <c r="X375" s="26"/>
    </row>
    <row r="376" spans="1:24" x14ac:dyDescent="0.2">
      <c r="A376" s="572"/>
      <c r="B376" s="22"/>
      <c r="C376" s="23" t="s">
        <v>373</v>
      </c>
      <c r="D376" s="24" t="s">
        <v>374</v>
      </c>
      <c r="E376" s="25" t="s">
        <v>766</v>
      </c>
      <c r="F376" s="211">
        <v>30138</v>
      </c>
      <c r="G376" s="212">
        <f t="shared" si="126"/>
        <v>0.65517391304347827</v>
      </c>
      <c r="H376" s="25" t="s">
        <v>766</v>
      </c>
      <c r="I376" s="214">
        <v>0</v>
      </c>
      <c r="J376" s="213"/>
      <c r="K376" s="215">
        <f t="shared" ref="K376:K382" si="142">I376+J376</f>
        <v>0</v>
      </c>
      <c r="L376" s="216">
        <f t="shared" si="123"/>
        <v>0</v>
      </c>
      <c r="M376" s="626"/>
      <c r="N376" s="217">
        <f t="shared" ref="N376:N382" si="143">V376+W376+X376</f>
        <v>0</v>
      </c>
      <c r="O376" s="26"/>
      <c r="P376" s="26"/>
      <c r="Q376" s="26"/>
      <c r="R376" s="26"/>
      <c r="S376" s="26"/>
      <c r="T376" s="26"/>
      <c r="U376" s="26"/>
      <c r="V376" s="26">
        <f t="shared" si="129"/>
        <v>0</v>
      </c>
      <c r="W376" s="26"/>
      <c r="X376" s="26"/>
    </row>
    <row r="377" spans="1:24" x14ac:dyDescent="0.2">
      <c r="A377" s="572"/>
      <c r="B377" s="22"/>
      <c r="C377" s="23" t="s">
        <v>376</v>
      </c>
      <c r="D377" s="24" t="s">
        <v>377</v>
      </c>
      <c r="E377" s="25" t="s">
        <v>767</v>
      </c>
      <c r="F377" s="211">
        <v>5580.4</v>
      </c>
      <c r="G377" s="212">
        <f t="shared" si="126"/>
        <v>0.52153271028037385</v>
      </c>
      <c r="H377" s="25" t="s">
        <v>767</v>
      </c>
      <c r="I377" s="214">
        <v>0</v>
      </c>
      <c r="J377" s="213"/>
      <c r="K377" s="215">
        <f t="shared" si="142"/>
        <v>0</v>
      </c>
      <c r="L377" s="216">
        <f t="shared" si="123"/>
        <v>0</v>
      </c>
      <c r="M377" s="626"/>
      <c r="N377" s="217">
        <f t="shared" si="143"/>
        <v>0</v>
      </c>
      <c r="O377" s="26"/>
      <c r="P377" s="26"/>
      <c r="Q377" s="26"/>
      <c r="R377" s="26"/>
      <c r="S377" s="26"/>
      <c r="T377" s="26"/>
      <c r="U377" s="26"/>
      <c r="V377" s="26">
        <f t="shared" si="129"/>
        <v>0</v>
      </c>
      <c r="W377" s="26"/>
      <c r="X377" s="26"/>
    </row>
    <row r="378" spans="1:24" x14ac:dyDescent="0.2">
      <c r="A378" s="572"/>
      <c r="B378" s="22"/>
      <c r="C378" s="23" t="s">
        <v>379</v>
      </c>
      <c r="D378" s="24" t="s">
        <v>380</v>
      </c>
      <c r="E378" s="25" t="s">
        <v>768</v>
      </c>
      <c r="F378" s="211">
        <v>721.84</v>
      </c>
      <c r="G378" s="212">
        <f t="shared" si="126"/>
        <v>0.49441095890410963</v>
      </c>
      <c r="H378" s="25" t="s">
        <v>768</v>
      </c>
      <c r="I378" s="214">
        <v>0</v>
      </c>
      <c r="J378" s="213"/>
      <c r="K378" s="215">
        <f t="shared" si="142"/>
        <v>0</v>
      </c>
      <c r="L378" s="216">
        <f t="shared" si="123"/>
        <v>0</v>
      </c>
      <c r="M378" s="626"/>
      <c r="N378" s="217">
        <f t="shared" si="143"/>
        <v>0</v>
      </c>
      <c r="O378" s="26"/>
      <c r="P378" s="26"/>
      <c r="Q378" s="26"/>
      <c r="R378" s="26"/>
      <c r="S378" s="26"/>
      <c r="T378" s="26"/>
      <c r="U378" s="26"/>
      <c r="V378" s="26">
        <f t="shared" si="129"/>
        <v>0</v>
      </c>
      <c r="W378" s="26"/>
      <c r="X378" s="26"/>
    </row>
    <row r="379" spans="1:24" x14ac:dyDescent="0.2">
      <c r="A379" s="572"/>
      <c r="B379" s="22"/>
      <c r="C379" s="23" t="s">
        <v>398</v>
      </c>
      <c r="D379" s="24" t="s">
        <v>399</v>
      </c>
      <c r="E379" s="25" t="s">
        <v>769</v>
      </c>
      <c r="F379" s="211">
        <v>6750</v>
      </c>
      <c r="G379" s="212">
        <f t="shared" si="126"/>
        <v>0.4576271186440678</v>
      </c>
      <c r="H379" s="25" t="s">
        <v>769</v>
      </c>
      <c r="I379" s="214">
        <v>0</v>
      </c>
      <c r="J379" s="213"/>
      <c r="K379" s="215">
        <f t="shared" si="142"/>
        <v>0</v>
      </c>
      <c r="L379" s="216">
        <f t="shared" si="123"/>
        <v>0</v>
      </c>
      <c r="M379" s="626"/>
      <c r="N379" s="217">
        <f t="shared" si="143"/>
        <v>0</v>
      </c>
      <c r="O379" s="26"/>
      <c r="P379" s="26"/>
      <c r="Q379" s="26"/>
      <c r="R379" s="26"/>
      <c r="S379" s="26"/>
      <c r="T379" s="26"/>
      <c r="U379" s="26"/>
      <c r="V379" s="26">
        <f t="shared" si="129"/>
        <v>0</v>
      </c>
      <c r="W379" s="26"/>
      <c r="X379" s="26"/>
    </row>
    <row r="380" spans="1:24" x14ac:dyDescent="0.2">
      <c r="A380" s="572"/>
      <c r="B380" s="22"/>
      <c r="C380" s="23" t="s">
        <v>382</v>
      </c>
      <c r="D380" s="24" t="s">
        <v>383</v>
      </c>
      <c r="E380" s="25" t="s">
        <v>770</v>
      </c>
      <c r="F380" s="211">
        <v>59614.55</v>
      </c>
      <c r="G380" s="212">
        <f t="shared" si="126"/>
        <v>0.77735464017003741</v>
      </c>
      <c r="H380" s="25" t="s">
        <v>770</v>
      </c>
      <c r="I380" s="214">
        <v>0</v>
      </c>
      <c r="J380" s="213"/>
      <c r="K380" s="215">
        <f t="shared" si="142"/>
        <v>0</v>
      </c>
      <c r="L380" s="216">
        <f t="shared" si="123"/>
        <v>0</v>
      </c>
      <c r="M380" s="626"/>
      <c r="N380" s="217">
        <f t="shared" si="143"/>
        <v>0</v>
      </c>
      <c r="O380" s="26"/>
      <c r="P380" s="26"/>
      <c r="Q380" s="26"/>
      <c r="R380" s="26"/>
      <c r="S380" s="26"/>
      <c r="T380" s="26"/>
      <c r="U380" s="26"/>
      <c r="V380" s="26">
        <f t="shared" si="129"/>
        <v>0</v>
      </c>
      <c r="W380" s="26"/>
      <c r="X380" s="26"/>
    </row>
    <row r="381" spans="1:24" x14ac:dyDescent="0.2">
      <c r="A381" s="572"/>
      <c r="B381" s="22"/>
      <c r="C381" s="23" t="s">
        <v>386</v>
      </c>
      <c r="D381" s="24" t="s">
        <v>387</v>
      </c>
      <c r="E381" s="25" t="s">
        <v>518</v>
      </c>
      <c r="F381" s="211">
        <v>12487.4</v>
      </c>
      <c r="G381" s="212">
        <f t="shared" si="126"/>
        <v>0.52030833333333337</v>
      </c>
      <c r="H381" s="25" t="s">
        <v>518</v>
      </c>
      <c r="I381" s="214">
        <v>0</v>
      </c>
      <c r="J381" s="213"/>
      <c r="K381" s="215">
        <f t="shared" si="142"/>
        <v>0</v>
      </c>
      <c r="L381" s="216">
        <f t="shared" si="123"/>
        <v>0</v>
      </c>
      <c r="M381" s="626"/>
      <c r="N381" s="217">
        <f t="shared" si="143"/>
        <v>0</v>
      </c>
      <c r="O381" s="26"/>
      <c r="P381" s="26"/>
      <c r="Q381" s="26"/>
      <c r="R381" s="26"/>
      <c r="S381" s="26"/>
      <c r="T381" s="26"/>
      <c r="U381" s="26"/>
      <c r="V381" s="26">
        <f t="shared" si="129"/>
        <v>0</v>
      </c>
      <c r="W381" s="26"/>
      <c r="X381" s="26"/>
    </row>
    <row r="382" spans="1:24" ht="22.5" x14ac:dyDescent="0.2">
      <c r="A382" s="572"/>
      <c r="B382" s="22"/>
      <c r="C382" s="23" t="s">
        <v>475</v>
      </c>
      <c r="D382" s="24" t="s">
        <v>476</v>
      </c>
      <c r="E382" s="25" t="s">
        <v>573</v>
      </c>
      <c r="F382" s="211">
        <v>2446.34</v>
      </c>
      <c r="G382" s="212">
        <f t="shared" si="126"/>
        <v>0.69895428571428575</v>
      </c>
      <c r="H382" s="25" t="s">
        <v>573</v>
      </c>
      <c r="I382" s="214">
        <v>0</v>
      </c>
      <c r="J382" s="213"/>
      <c r="K382" s="215">
        <f t="shared" si="142"/>
        <v>0</v>
      </c>
      <c r="L382" s="216">
        <f t="shared" si="123"/>
        <v>0</v>
      </c>
      <c r="M382" s="626"/>
      <c r="N382" s="217">
        <f t="shared" si="143"/>
        <v>0</v>
      </c>
      <c r="O382" s="26"/>
      <c r="P382" s="26"/>
      <c r="Q382" s="26"/>
      <c r="R382" s="26"/>
      <c r="S382" s="26"/>
      <c r="T382" s="26"/>
      <c r="U382" s="26"/>
      <c r="V382" s="26">
        <f t="shared" si="129"/>
        <v>0</v>
      </c>
      <c r="W382" s="26"/>
      <c r="X382" s="26"/>
    </row>
    <row r="383" spans="1:24" ht="45" x14ac:dyDescent="0.2">
      <c r="A383" s="571"/>
      <c r="B383" s="15" t="s">
        <v>237</v>
      </c>
      <c r="C383" s="16"/>
      <c r="D383" s="17" t="s">
        <v>238</v>
      </c>
      <c r="E383" s="18">
        <f>E384+E385+E386+E387+E388+E389+E390+E391+E392+E393+E394+E395+E396+E397+E398</f>
        <v>7142508</v>
      </c>
      <c r="F383" s="18">
        <f>F384+F385+F386+F387+F388+F389+F390+F391+F392+F393+F394+F395+F396+F397+F398</f>
        <v>5896463.9799999995</v>
      </c>
      <c r="G383" s="218">
        <f t="shared" si="126"/>
        <v>0.82554530985474561</v>
      </c>
      <c r="H383" s="246">
        <f>H384+H385+H386+H387+H388+H389+H390+H391+H393+H394+H395+H396+H397+H398+H392</f>
        <v>7137595.4000000004</v>
      </c>
      <c r="I383" s="614">
        <f t="shared" ref="I383:X383" si="144">I384+I385+I386+I387+I388+I389+I390+I391+I393+I394+I395+I396+I397+I398+I392</f>
        <v>0</v>
      </c>
      <c r="J383" s="246">
        <f t="shared" si="144"/>
        <v>0</v>
      </c>
      <c r="K383" s="248">
        <f t="shared" si="144"/>
        <v>0</v>
      </c>
      <c r="L383" s="249">
        <f t="shared" si="144"/>
        <v>0</v>
      </c>
      <c r="M383" s="615">
        <f t="shared" si="144"/>
        <v>0</v>
      </c>
      <c r="N383" s="246">
        <f t="shared" si="144"/>
        <v>0</v>
      </c>
      <c r="O383" s="246">
        <f t="shared" si="144"/>
        <v>0</v>
      </c>
      <c r="P383" s="246">
        <f t="shared" si="144"/>
        <v>0</v>
      </c>
      <c r="Q383" s="246">
        <f t="shared" si="144"/>
        <v>0</v>
      </c>
      <c r="R383" s="246">
        <f t="shared" si="144"/>
        <v>0</v>
      </c>
      <c r="S383" s="246">
        <f t="shared" si="144"/>
        <v>0</v>
      </c>
      <c r="T383" s="246">
        <f t="shared" si="144"/>
        <v>0</v>
      </c>
      <c r="U383" s="246">
        <f t="shared" si="144"/>
        <v>0</v>
      </c>
      <c r="V383" s="246">
        <f t="shared" si="144"/>
        <v>0</v>
      </c>
      <c r="W383" s="246">
        <f t="shared" si="144"/>
        <v>0</v>
      </c>
      <c r="X383" s="246">
        <f t="shared" si="144"/>
        <v>0</v>
      </c>
    </row>
    <row r="384" spans="1:24" ht="67.5" x14ac:dyDescent="0.2">
      <c r="A384" s="572"/>
      <c r="B384" s="22"/>
      <c r="C384" s="23" t="s">
        <v>55</v>
      </c>
      <c r="D384" s="24" t="s">
        <v>771</v>
      </c>
      <c r="E384" s="25" t="s">
        <v>242</v>
      </c>
      <c r="F384" s="211">
        <v>9087.4</v>
      </c>
      <c r="G384" s="212">
        <f t="shared" si="126"/>
        <v>0.64910000000000001</v>
      </c>
      <c r="H384" s="213">
        <v>9087.4</v>
      </c>
      <c r="I384" s="214">
        <v>0</v>
      </c>
      <c r="J384" s="213"/>
      <c r="K384" s="215">
        <f>I384+J384</f>
        <v>0</v>
      </c>
      <c r="L384" s="216">
        <f t="shared" si="123"/>
        <v>0</v>
      </c>
      <c r="M384" s="626"/>
      <c r="N384" s="217">
        <f>V384+W384+X384</f>
        <v>0</v>
      </c>
      <c r="O384" s="26"/>
      <c r="P384" s="26"/>
      <c r="Q384" s="26"/>
      <c r="R384" s="26"/>
      <c r="S384" s="26"/>
      <c r="T384" s="26"/>
      <c r="U384" s="26"/>
      <c r="V384" s="26">
        <f t="shared" si="129"/>
        <v>0</v>
      </c>
      <c r="W384" s="26"/>
      <c r="X384" s="26"/>
    </row>
    <row r="385" spans="1:24" x14ac:dyDescent="0.2">
      <c r="A385" s="572"/>
      <c r="B385" s="22"/>
      <c r="C385" s="23" t="s">
        <v>763</v>
      </c>
      <c r="D385" s="24" t="s">
        <v>764</v>
      </c>
      <c r="E385" s="25" t="s">
        <v>772</v>
      </c>
      <c r="F385" s="211">
        <v>5552574.5999999996</v>
      </c>
      <c r="G385" s="212">
        <f t="shared" si="126"/>
        <v>0.83370901911641693</v>
      </c>
      <c r="H385" s="25" t="s">
        <v>772</v>
      </c>
      <c r="I385" s="214">
        <v>0</v>
      </c>
      <c r="J385" s="213"/>
      <c r="K385" s="215">
        <f t="shared" ref="K385:K398" si="145">I385+J385</f>
        <v>0</v>
      </c>
      <c r="L385" s="216">
        <f t="shared" si="123"/>
        <v>0</v>
      </c>
      <c r="M385" s="626"/>
      <c r="N385" s="217">
        <f t="shared" ref="N385:N398" si="146">V385+W385+X385</f>
        <v>0</v>
      </c>
      <c r="O385" s="26"/>
      <c r="P385" s="26"/>
      <c r="Q385" s="26"/>
      <c r="R385" s="26"/>
      <c r="S385" s="26"/>
      <c r="T385" s="26"/>
      <c r="U385" s="26"/>
      <c r="V385" s="26">
        <f t="shared" si="129"/>
        <v>0</v>
      </c>
      <c r="W385" s="26"/>
      <c r="X385" s="26"/>
    </row>
    <row r="386" spans="1:24" x14ac:dyDescent="0.2">
      <c r="A386" s="572"/>
      <c r="B386" s="22"/>
      <c r="C386" s="23" t="s">
        <v>373</v>
      </c>
      <c r="D386" s="24" t="s">
        <v>374</v>
      </c>
      <c r="E386" s="25" t="s">
        <v>773</v>
      </c>
      <c r="F386" s="211">
        <v>93106.11</v>
      </c>
      <c r="G386" s="212">
        <f t="shared" si="126"/>
        <v>0.66334736887102985</v>
      </c>
      <c r="H386" s="25" t="s">
        <v>773</v>
      </c>
      <c r="I386" s="214">
        <v>0</v>
      </c>
      <c r="J386" s="213"/>
      <c r="K386" s="215">
        <f t="shared" si="145"/>
        <v>0</v>
      </c>
      <c r="L386" s="216">
        <f t="shared" si="123"/>
        <v>0</v>
      </c>
      <c r="M386" s="626"/>
      <c r="N386" s="217">
        <f t="shared" si="146"/>
        <v>0</v>
      </c>
      <c r="O386" s="26"/>
      <c r="P386" s="26"/>
      <c r="Q386" s="26"/>
      <c r="R386" s="26"/>
      <c r="S386" s="26"/>
      <c r="T386" s="26"/>
      <c r="U386" s="26"/>
      <c r="V386" s="26">
        <f t="shared" si="129"/>
        <v>0</v>
      </c>
      <c r="W386" s="26"/>
      <c r="X386" s="26"/>
    </row>
    <row r="387" spans="1:24" x14ac:dyDescent="0.2">
      <c r="A387" s="572"/>
      <c r="B387" s="22"/>
      <c r="C387" s="23" t="s">
        <v>466</v>
      </c>
      <c r="D387" s="24" t="s">
        <v>467</v>
      </c>
      <c r="E387" s="25" t="s">
        <v>774</v>
      </c>
      <c r="F387" s="211">
        <v>7838</v>
      </c>
      <c r="G387" s="212">
        <f t="shared" si="126"/>
        <v>1</v>
      </c>
      <c r="H387" s="25" t="s">
        <v>774</v>
      </c>
      <c r="I387" s="214">
        <v>0</v>
      </c>
      <c r="J387" s="213"/>
      <c r="K387" s="215">
        <f t="shared" si="145"/>
        <v>0</v>
      </c>
      <c r="L387" s="216">
        <f t="shared" si="123"/>
        <v>0</v>
      </c>
      <c r="M387" s="626"/>
      <c r="N387" s="217">
        <f t="shared" si="146"/>
        <v>0</v>
      </c>
      <c r="O387" s="26"/>
      <c r="P387" s="26"/>
      <c r="Q387" s="26"/>
      <c r="R387" s="26"/>
      <c r="S387" s="26"/>
      <c r="T387" s="26"/>
      <c r="U387" s="26"/>
      <c r="V387" s="26">
        <f t="shared" si="129"/>
        <v>0</v>
      </c>
      <c r="W387" s="26"/>
      <c r="X387" s="26"/>
    </row>
    <row r="388" spans="1:24" x14ac:dyDescent="0.2">
      <c r="A388" s="572"/>
      <c r="B388" s="22"/>
      <c r="C388" s="23" t="s">
        <v>376</v>
      </c>
      <c r="D388" s="24" t="s">
        <v>377</v>
      </c>
      <c r="E388" s="25" t="s">
        <v>775</v>
      </c>
      <c r="F388" s="211">
        <v>204614.01</v>
      </c>
      <c r="G388" s="212">
        <f t="shared" si="126"/>
        <v>0.73548455624130582</v>
      </c>
      <c r="H388" s="25" t="s">
        <v>775</v>
      </c>
      <c r="I388" s="214">
        <v>0</v>
      </c>
      <c r="J388" s="213"/>
      <c r="K388" s="215">
        <f t="shared" si="145"/>
        <v>0</v>
      </c>
      <c r="L388" s="216">
        <f t="shared" si="123"/>
        <v>0</v>
      </c>
      <c r="M388" s="626"/>
      <c r="N388" s="217">
        <f t="shared" si="146"/>
        <v>0</v>
      </c>
      <c r="O388" s="26"/>
      <c r="P388" s="26"/>
      <c r="Q388" s="26"/>
      <c r="R388" s="26"/>
      <c r="S388" s="26"/>
      <c r="T388" s="26"/>
      <c r="U388" s="26"/>
      <c r="V388" s="26">
        <f t="shared" si="129"/>
        <v>0</v>
      </c>
      <c r="W388" s="26"/>
      <c r="X388" s="26"/>
    </row>
    <row r="389" spans="1:24" x14ac:dyDescent="0.2">
      <c r="A389" s="572"/>
      <c r="B389" s="22"/>
      <c r="C389" s="23" t="s">
        <v>379</v>
      </c>
      <c r="D389" s="24" t="s">
        <v>380</v>
      </c>
      <c r="E389" s="25" t="s">
        <v>776</v>
      </c>
      <c r="F389" s="211">
        <v>2149.46</v>
      </c>
      <c r="G389" s="212">
        <f t="shared" si="126"/>
        <v>0.59973772321428576</v>
      </c>
      <c r="H389" s="25" t="s">
        <v>776</v>
      </c>
      <c r="I389" s="214">
        <v>0</v>
      </c>
      <c r="J389" s="213"/>
      <c r="K389" s="215">
        <f t="shared" si="145"/>
        <v>0</v>
      </c>
      <c r="L389" s="216">
        <f t="shared" si="123"/>
        <v>0</v>
      </c>
      <c r="M389" s="626"/>
      <c r="N389" s="217">
        <f t="shared" si="146"/>
        <v>0</v>
      </c>
      <c r="O389" s="26"/>
      <c r="P389" s="26"/>
      <c r="Q389" s="26"/>
      <c r="R389" s="26"/>
      <c r="S389" s="26"/>
      <c r="T389" s="26"/>
      <c r="U389" s="26"/>
      <c r="V389" s="26">
        <f t="shared" si="129"/>
        <v>0</v>
      </c>
      <c r="W389" s="26"/>
      <c r="X389" s="26"/>
    </row>
    <row r="390" spans="1:24" x14ac:dyDescent="0.2">
      <c r="A390" s="572"/>
      <c r="B390" s="22"/>
      <c r="C390" s="23" t="s">
        <v>382</v>
      </c>
      <c r="D390" s="24" t="s">
        <v>383</v>
      </c>
      <c r="E390" s="25" t="s">
        <v>145</v>
      </c>
      <c r="F390" s="211">
        <v>8070.81</v>
      </c>
      <c r="G390" s="212">
        <f t="shared" si="126"/>
        <v>0.73371000000000008</v>
      </c>
      <c r="H390" s="25" t="s">
        <v>145</v>
      </c>
      <c r="I390" s="214">
        <v>0</v>
      </c>
      <c r="J390" s="213"/>
      <c r="K390" s="215">
        <f t="shared" si="145"/>
        <v>0</v>
      </c>
      <c r="L390" s="216">
        <f t="shared" si="123"/>
        <v>0</v>
      </c>
      <c r="M390" s="626"/>
      <c r="N390" s="217">
        <f t="shared" si="146"/>
        <v>0</v>
      </c>
      <c r="O390" s="26"/>
      <c r="P390" s="26"/>
      <c r="Q390" s="26"/>
      <c r="R390" s="26"/>
      <c r="S390" s="26"/>
      <c r="T390" s="26"/>
      <c r="U390" s="26"/>
      <c r="V390" s="26">
        <f t="shared" si="129"/>
        <v>0</v>
      </c>
      <c r="W390" s="26"/>
      <c r="X390" s="26"/>
    </row>
    <row r="391" spans="1:24" x14ac:dyDescent="0.2">
      <c r="A391" s="572"/>
      <c r="B391" s="22"/>
      <c r="C391" s="23" t="s">
        <v>401</v>
      </c>
      <c r="D391" s="24" t="s">
        <v>402</v>
      </c>
      <c r="E391" s="25" t="s">
        <v>104</v>
      </c>
      <c r="F391" s="211">
        <v>974.78</v>
      </c>
      <c r="G391" s="212">
        <f t="shared" si="126"/>
        <v>0.97477999999999998</v>
      </c>
      <c r="H391" s="25" t="s">
        <v>104</v>
      </c>
      <c r="I391" s="214">
        <v>0</v>
      </c>
      <c r="J391" s="213"/>
      <c r="K391" s="215">
        <f t="shared" si="145"/>
        <v>0</v>
      </c>
      <c r="L391" s="216">
        <f t="shared" si="123"/>
        <v>0</v>
      </c>
      <c r="M391" s="626"/>
      <c r="N391" s="217">
        <f t="shared" si="146"/>
        <v>0</v>
      </c>
      <c r="O391" s="26"/>
      <c r="P391" s="26"/>
      <c r="Q391" s="26"/>
      <c r="R391" s="26"/>
      <c r="S391" s="26"/>
      <c r="T391" s="26"/>
      <c r="U391" s="26"/>
      <c r="V391" s="26">
        <f t="shared" si="129"/>
        <v>0</v>
      </c>
      <c r="W391" s="26"/>
      <c r="X391" s="26"/>
    </row>
    <row r="392" spans="1:24" x14ac:dyDescent="0.2">
      <c r="A392" s="572"/>
      <c r="B392" s="22"/>
      <c r="C392" s="23" t="s">
        <v>386</v>
      </c>
      <c r="D392" s="24" t="s">
        <v>387</v>
      </c>
      <c r="E392" s="25" t="s">
        <v>777</v>
      </c>
      <c r="F392" s="211">
        <v>6431.01</v>
      </c>
      <c r="G392" s="212">
        <f t="shared" si="126"/>
        <v>0.9187157142857143</v>
      </c>
      <c r="H392" s="25" t="s">
        <v>777</v>
      </c>
      <c r="I392" s="214">
        <v>0</v>
      </c>
      <c r="J392" s="213"/>
      <c r="K392" s="215">
        <f t="shared" si="145"/>
        <v>0</v>
      </c>
      <c r="L392" s="216">
        <f t="shared" si="123"/>
        <v>0</v>
      </c>
      <c r="M392" s="626"/>
      <c r="N392" s="217">
        <f t="shared" si="146"/>
        <v>0</v>
      </c>
      <c r="O392" s="26"/>
      <c r="P392" s="26"/>
      <c r="Q392" s="26"/>
      <c r="R392" s="26"/>
      <c r="S392" s="26"/>
      <c r="T392" s="26"/>
      <c r="U392" s="26"/>
      <c r="V392" s="26">
        <f t="shared" si="129"/>
        <v>0</v>
      </c>
      <c r="W392" s="26"/>
      <c r="X392" s="26"/>
    </row>
    <row r="393" spans="1:24" ht="22.5" x14ac:dyDescent="0.2">
      <c r="A393" s="572"/>
      <c r="B393" s="22"/>
      <c r="C393" s="23" t="s">
        <v>506</v>
      </c>
      <c r="D393" s="24" t="s">
        <v>507</v>
      </c>
      <c r="E393" s="25" t="s">
        <v>180</v>
      </c>
      <c r="F393" s="211">
        <v>894.09</v>
      </c>
      <c r="G393" s="212">
        <f t="shared" si="126"/>
        <v>0.74507500000000004</v>
      </c>
      <c r="H393" s="25" t="s">
        <v>180</v>
      </c>
      <c r="I393" s="214">
        <v>0</v>
      </c>
      <c r="J393" s="213"/>
      <c r="K393" s="215">
        <f t="shared" si="145"/>
        <v>0</v>
      </c>
      <c r="L393" s="216">
        <f t="shared" si="123"/>
        <v>0</v>
      </c>
      <c r="M393" s="626"/>
      <c r="N393" s="217">
        <f t="shared" si="146"/>
        <v>0</v>
      </c>
      <c r="O393" s="26"/>
      <c r="P393" s="26"/>
      <c r="Q393" s="26"/>
      <c r="R393" s="26"/>
      <c r="S393" s="26"/>
      <c r="T393" s="26"/>
      <c r="U393" s="26"/>
      <c r="V393" s="26">
        <f t="shared" si="129"/>
        <v>0</v>
      </c>
      <c r="W393" s="26"/>
      <c r="X393" s="26"/>
    </row>
    <row r="394" spans="1:24" ht="22.5" x14ac:dyDescent="0.2">
      <c r="A394" s="572"/>
      <c r="B394" s="22"/>
      <c r="C394" s="23" t="s">
        <v>778</v>
      </c>
      <c r="D394" s="24" t="s">
        <v>779</v>
      </c>
      <c r="E394" s="25" t="s">
        <v>780</v>
      </c>
      <c r="F394" s="211">
        <v>2109</v>
      </c>
      <c r="G394" s="212">
        <f t="shared" si="126"/>
        <v>1</v>
      </c>
      <c r="H394" s="25" t="s">
        <v>780</v>
      </c>
      <c r="I394" s="214">
        <v>0</v>
      </c>
      <c r="J394" s="213"/>
      <c r="K394" s="215">
        <f t="shared" si="145"/>
        <v>0</v>
      </c>
      <c r="L394" s="216">
        <f t="shared" si="123"/>
        <v>0</v>
      </c>
      <c r="M394" s="626"/>
      <c r="N394" s="217">
        <f t="shared" si="146"/>
        <v>0</v>
      </c>
      <c r="O394" s="26"/>
      <c r="P394" s="26"/>
      <c r="Q394" s="26"/>
      <c r="R394" s="26"/>
      <c r="S394" s="26"/>
      <c r="T394" s="26"/>
      <c r="U394" s="26"/>
      <c r="V394" s="26">
        <f t="shared" si="129"/>
        <v>0</v>
      </c>
      <c r="W394" s="26"/>
      <c r="X394" s="26"/>
    </row>
    <row r="395" spans="1:24" ht="22.5" x14ac:dyDescent="0.2">
      <c r="A395" s="572"/>
      <c r="B395" s="22"/>
      <c r="C395" s="23" t="s">
        <v>515</v>
      </c>
      <c r="D395" s="24" t="s">
        <v>516</v>
      </c>
      <c r="E395" s="25" t="s">
        <v>781</v>
      </c>
      <c r="F395" s="211">
        <v>4029</v>
      </c>
      <c r="G395" s="212">
        <f t="shared" si="126"/>
        <v>1</v>
      </c>
      <c r="H395" s="25" t="s">
        <v>781</v>
      </c>
      <c r="I395" s="214">
        <v>0</v>
      </c>
      <c r="J395" s="213"/>
      <c r="K395" s="215">
        <f t="shared" si="145"/>
        <v>0</v>
      </c>
      <c r="L395" s="216">
        <f t="shared" si="123"/>
        <v>0</v>
      </c>
      <c r="M395" s="626"/>
      <c r="N395" s="217">
        <f t="shared" si="146"/>
        <v>0</v>
      </c>
      <c r="O395" s="26"/>
      <c r="P395" s="26"/>
      <c r="Q395" s="26"/>
      <c r="R395" s="26"/>
      <c r="S395" s="26"/>
      <c r="T395" s="26"/>
      <c r="U395" s="26"/>
      <c r="V395" s="26">
        <f t="shared" si="129"/>
        <v>0</v>
      </c>
      <c r="W395" s="26"/>
      <c r="X395" s="26"/>
    </row>
    <row r="396" spans="1:24" ht="67.5" x14ac:dyDescent="0.2">
      <c r="A396" s="572"/>
      <c r="B396" s="22"/>
      <c r="C396" s="23" t="s">
        <v>782</v>
      </c>
      <c r="D396" s="24" t="s">
        <v>783</v>
      </c>
      <c r="E396" s="25" t="s">
        <v>239</v>
      </c>
      <c r="F396" s="211">
        <v>2848.05</v>
      </c>
      <c r="G396" s="212">
        <f t="shared" si="126"/>
        <v>0.35161111111111115</v>
      </c>
      <c r="H396" s="25" t="s">
        <v>239</v>
      </c>
      <c r="I396" s="214">
        <v>0</v>
      </c>
      <c r="J396" s="213"/>
      <c r="K396" s="215">
        <f t="shared" si="145"/>
        <v>0</v>
      </c>
      <c r="L396" s="216">
        <f t="shared" si="123"/>
        <v>0</v>
      </c>
      <c r="M396" s="626"/>
      <c r="N396" s="217">
        <f t="shared" si="146"/>
        <v>0</v>
      </c>
      <c r="O396" s="26"/>
      <c r="P396" s="26"/>
      <c r="Q396" s="26"/>
      <c r="R396" s="26"/>
      <c r="S396" s="26"/>
      <c r="T396" s="26"/>
      <c r="U396" s="26"/>
      <c r="V396" s="26">
        <f t="shared" si="129"/>
        <v>0</v>
      </c>
      <c r="W396" s="26"/>
      <c r="X396" s="26"/>
    </row>
    <row r="397" spans="1:24" ht="22.5" x14ac:dyDescent="0.2">
      <c r="A397" s="572"/>
      <c r="B397" s="22"/>
      <c r="C397" s="23" t="s">
        <v>450</v>
      </c>
      <c r="D397" s="24" t="s">
        <v>451</v>
      </c>
      <c r="E397" s="25" t="s">
        <v>104</v>
      </c>
      <c r="F397" s="211">
        <v>91.26</v>
      </c>
      <c r="G397" s="212">
        <f t="shared" si="126"/>
        <v>9.1260000000000008E-2</v>
      </c>
      <c r="H397" s="25" t="s">
        <v>104</v>
      </c>
      <c r="I397" s="214">
        <v>0</v>
      </c>
      <c r="J397" s="213"/>
      <c r="K397" s="215">
        <f t="shared" si="145"/>
        <v>0</v>
      </c>
      <c r="L397" s="216">
        <f t="shared" si="123"/>
        <v>0</v>
      </c>
      <c r="M397" s="626"/>
      <c r="N397" s="217">
        <f t="shared" si="146"/>
        <v>0</v>
      </c>
      <c r="O397" s="26"/>
      <c r="P397" s="26"/>
      <c r="Q397" s="26"/>
      <c r="R397" s="26"/>
      <c r="S397" s="26"/>
      <c r="T397" s="26"/>
      <c r="U397" s="26"/>
      <c r="V397" s="26">
        <f t="shared" si="129"/>
        <v>0</v>
      </c>
      <c r="W397" s="26"/>
      <c r="X397" s="26"/>
    </row>
    <row r="398" spans="1:24" ht="22.5" x14ac:dyDescent="0.2">
      <c r="A398" s="572"/>
      <c r="B398" s="22"/>
      <c r="C398" s="23" t="s">
        <v>475</v>
      </c>
      <c r="D398" s="24" t="s">
        <v>476</v>
      </c>
      <c r="E398" s="25" t="s">
        <v>664</v>
      </c>
      <c r="F398" s="211">
        <v>1646.4</v>
      </c>
      <c r="G398" s="212">
        <f t="shared" si="126"/>
        <v>0.54880000000000007</v>
      </c>
      <c r="H398" s="25" t="s">
        <v>664</v>
      </c>
      <c r="I398" s="214">
        <v>0</v>
      </c>
      <c r="J398" s="213"/>
      <c r="K398" s="215">
        <f t="shared" si="145"/>
        <v>0</v>
      </c>
      <c r="L398" s="216">
        <f t="shared" si="123"/>
        <v>0</v>
      </c>
      <c r="M398" s="626"/>
      <c r="N398" s="217">
        <f t="shared" si="146"/>
        <v>0</v>
      </c>
      <c r="O398" s="26"/>
      <c r="P398" s="26"/>
      <c r="Q398" s="26"/>
      <c r="R398" s="26"/>
      <c r="S398" s="26"/>
      <c r="T398" s="26"/>
      <c r="U398" s="26"/>
      <c r="V398" s="26">
        <f t="shared" si="129"/>
        <v>0</v>
      </c>
      <c r="W398" s="26"/>
      <c r="X398" s="26"/>
    </row>
    <row r="399" spans="1:24" ht="67.5" x14ac:dyDescent="0.2">
      <c r="A399" s="571"/>
      <c r="B399" s="15" t="s">
        <v>243</v>
      </c>
      <c r="C399" s="16"/>
      <c r="D399" s="17" t="s">
        <v>784</v>
      </c>
      <c r="E399" s="18">
        <f>E400+E401</f>
        <v>74972</v>
      </c>
      <c r="F399" s="18">
        <f>F400+F401</f>
        <v>63174.5</v>
      </c>
      <c r="G399" s="218">
        <f t="shared" si="126"/>
        <v>0.8426412527343542</v>
      </c>
      <c r="H399" s="246">
        <f>H400+H401</f>
        <v>74722</v>
      </c>
      <c r="I399" s="247">
        <f t="shared" ref="I399:X399" si="147">I400+I401</f>
        <v>91450</v>
      </c>
      <c r="J399" s="246">
        <f t="shared" si="147"/>
        <v>-699</v>
      </c>
      <c r="K399" s="248">
        <f t="shared" si="147"/>
        <v>90751</v>
      </c>
      <c r="L399" s="219">
        <f t="shared" si="123"/>
        <v>1.2104652403563998</v>
      </c>
      <c r="M399" s="249"/>
      <c r="N399" s="249">
        <f t="shared" si="147"/>
        <v>90751</v>
      </c>
      <c r="O399" s="250">
        <f t="shared" si="147"/>
        <v>250</v>
      </c>
      <c r="P399" s="250">
        <f t="shared" si="147"/>
        <v>0</v>
      </c>
      <c r="Q399" s="250">
        <f t="shared" si="147"/>
        <v>0</v>
      </c>
      <c r="R399" s="250">
        <f t="shared" si="147"/>
        <v>0</v>
      </c>
      <c r="S399" s="250">
        <f t="shared" si="147"/>
        <v>0</v>
      </c>
      <c r="T399" s="250">
        <f t="shared" si="147"/>
        <v>0</v>
      </c>
      <c r="U399" s="250">
        <f t="shared" si="147"/>
        <v>0</v>
      </c>
      <c r="V399" s="26">
        <f t="shared" si="129"/>
        <v>250</v>
      </c>
      <c r="W399" s="250">
        <f t="shared" si="147"/>
        <v>0</v>
      </c>
      <c r="X399" s="250">
        <f t="shared" si="147"/>
        <v>90501</v>
      </c>
    </row>
    <row r="400" spans="1:24" ht="67.5" x14ac:dyDescent="0.2">
      <c r="A400" s="572"/>
      <c r="B400" s="22"/>
      <c r="C400" s="23" t="s">
        <v>55</v>
      </c>
      <c r="D400" s="24" t="s">
        <v>771</v>
      </c>
      <c r="E400" s="25" t="s">
        <v>247</v>
      </c>
      <c r="F400" s="211">
        <v>0</v>
      </c>
      <c r="G400" s="212">
        <f t="shared" si="126"/>
        <v>0</v>
      </c>
      <c r="H400" s="213">
        <v>0</v>
      </c>
      <c r="I400" s="214">
        <v>250</v>
      </c>
      <c r="J400" s="213"/>
      <c r="K400" s="215">
        <f>I400+J400</f>
        <v>250</v>
      </c>
      <c r="L400" s="216">
        <f t="shared" si="123"/>
        <v>1</v>
      </c>
      <c r="M400" s="626"/>
      <c r="N400" s="217">
        <f>V400+W400+X400</f>
        <v>250</v>
      </c>
      <c r="O400" s="26">
        <v>250</v>
      </c>
      <c r="P400" s="26"/>
      <c r="Q400" s="26"/>
      <c r="R400" s="26"/>
      <c r="S400" s="26"/>
      <c r="T400" s="26"/>
      <c r="U400" s="26"/>
      <c r="V400" s="26">
        <f t="shared" si="129"/>
        <v>250</v>
      </c>
      <c r="W400" s="26"/>
      <c r="X400" s="26"/>
    </row>
    <row r="401" spans="1:24" x14ac:dyDescent="0.2">
      <c r="A401" s="572"/>
      <c r="B401" s="251"/>
      <c r="C401" s="252" t="s">
        <v>785</v>
      </c>
      <c r="D401" s="24" t="s">
        <v>786</v>
      </c>
      <c r="E401" s="25" t="s">
        <v>787</v>
      </c>
      <c r="F401" s="211">
        <v>63174.5</v>
      </c>
      <c r="G401" s="212">
        <f t="shared" si="126"/>
        <v>0.84546050694574559</v>
      </c>
      <c r="H401" s="213">
        <v>74722</v>
      </c>
      <c r="I401" s="214">
        <v>91200</v>
      </c>
      <c r="J401" s="213">
        <v>-699</v>
      </c>
      <c r="K401" s="215">
        <f>I401+J401</f>
        <v>90501</v>
      </c>
      <c r="L401" s="216">
        <f t="shared" si="123"/>
        <v>1.21116940124729</v>
      </c>
      <c r="M401" s="626"/>
      <c r="N401" s="217">
        <f>V401+W401+X401</f>
        <v>90501</v>
      </c>
      <c r="O401" s="26"/>
      <c r="P401" s="26"/>
      <c r="Q401" s="26"/>
      <c r="R401" s="26"/>
      <c r="S401" s="26"/>
      <c r="T401" s="26"/>
      <c r="U401" s="26"/>
      <c r="V401" s="26">
        <f t="shared" si="129"/>
        <v>0</v>
      </c>
      <c r="W401" s="26"/>
      <c r="X401" s="26">
        <v>90501</v>
      </c>
    </row>
    <row r="402" spans="1:24" ht="33.75" x14ac:dyDescent="0.2">
      <c r="A402" s="571"/>
      <c r="B402" s="15" t="s">
        <v>248</v>
      </c>
      <c r="C402" s="16"/>
      <c r="D402" s="17" t="s">
        <v>996</v>
      </c>
      <c r="E402" s="18" t="str">
        <f>E403</f>
        <v>489 276,00</v>
      </c>
      <c r="F402" s="18">
        <f>F403</f>
        <v>310416.2</v>
      </c>
      <c r="G402" s="218">
        <f t="shared" si="126"/>
        <v>0.63443986625135917</v>
      </c>
      <c r="H402" s="246">
        <f>H403</f>
        <v>489276</v>
      </c>
      <c r="I402" s="247">
        <f t="shared" ref="I402:X402" si="148">I403</f>
        <v>747600</v>
      </c>
      <c r="J402" s="246">
        <f t="shared" si="148"/>
        <v>-330343</v>
      </c>
      <c r="K402" s="248">
        <f t="shared" si="148"/>
        <v>417257</v>
      </c>
      <c r="L402" s="219">
        <f t="shared" si="123"/>
        <v>0.85280496079922175</v>
      </c>
      <c r="M402" s="249"/>
      <c r="N402" s="249">
        <f t="shared" si="148"/>
        <v>417257</v>
      </c>
      <c r="O402" s="250">
        <f t="shared" si="148"/>
        <v>0</v>
      </c>
      <c r="P402" s="250">
        <f t="shared" si="148"/>
        <v>0</v>
      </c>
      <c r="Q402" s="250">
        <f t="shared" si="148"/>
        <v>0</v>
      </c>
      <c r="R402" s="250">
        <f t="shared" si="148"/>
        <v>0</v>
      </c>
      <c r="S402" s="250">
        <f t="shared" si="148"/>
        <v>0</v>
      </c>
      <c r="T402" s="250">
        <f t="shared" si="148"/>
        <v>0</v>
      </c>
      <c r="U402" s="250">
        <f t="shared" si="148"/>
        <v>0</v>
      </c>
      <c r="V402" s="26">
        <f t="shared" si="129"/>
        <v>0</v>
      </c>
      <c r="W402" s="250">
        <f t="shared" si="148"/>
        <v>0</v>
      </c>
      <c r="X402" s="250">
        <f t="shared" si="148"/>
        <v>417257</v>
      </c>
    </row>
    <row r="403" spans="1:24" x14ac:dyDescent="0.2">
      <c r="A403" s="572"/>
      <c r="B403" s="22"/>
      <c r="C403" s="23" t="s">
        <v>763</v>
      </c>
      <c r="D403" s="24" t="s">
        <v>764</v>
      </c>
      <c r="E403" s="25" t="s">
        <v>788</v>
      </c>
      <c r="F403" s="211">
        <v>310416.2</v>
      </c>
      <c r="G403" s="212">
        <f t="shared" si="126"/>
        <v>0.63443986625135917</v>
      </c>
      <c r="H403" s="213">
        <v>489276</v>
      </c>
      <c r="I403" s="214">
        <v>747600</v>
      </c>
      <c r="J403" s="213">
        <v>-330343</v>
      </c>
      <c r="K403" s="215">
        <f>I403+J403</f>
        <v>417257</v>
      </c>
      <c r="L403" s="216">
        <f t="shared" ref="L403:L467" si="149">K403/E403</f>
        <v>0.85280496079922175</v>
      </c>
      <c r="M403" s="626"/>
      <c r="N403" s="217">
        <f>V403+W403+X403</f>
        <v>417257</v>
      </c>
      <c r="O403" s="26"/>
      <c r="P403" s="26"/>
      <c r="Q403" s="26"/>
      <c r="R403" s="26"/>
      <c r="S403" s="26"/>
      <c r="T403" s="26"/>
      <c r="U403" s="26"/>
      <c r="V403" s="26">
        <f t="shared" si="129"/>
        <v>0</v>
      </c>
      <c r="W403" s="26"/>
      <c r="X403" s="26">
        <v>417257</v>
      </c>
    </row>
    <row r="404" spans="1:24" ht="15" x14ac:dyDescent="0.2">
      <c r="A404" s="571"/>
      <c r="B404" s="15" t="s">
        <v>253</v>
      </c>
      <c r="C404" s="16"/>
      <c r="D404" s="17" t="s">
        <v>254</v>
      </c>
      <c r="E404" s="18">
        <f>E405+E406</f>
        <v>511500</v>
      </c>
      <c r="F404" s="18">
        <f>F405+F406</f>
        <v>301279.62</v>
      </c>
      <c r="G404" s="218">
        <f t="shared" ref="G404:G473" si="150">F404/E404</f>
        <v>0.58901196480938411</v>
      </c>
      <c r="H404" s="246">
        <f>H405+H406</f>
        <v>490167.07</v>
      </c>
      <c r="I404" s="247">
        <f t="shared" ref="I404:X404" si="151">I405+I406</f>
        <v>440000</v>
      </c>
      <c r="J404" s="246">
        <f t="shared" si="151"/>
        <v>0</v>
      </c>
      <c r="K404" s="248">
        <f t="shared" si="151"/>
        <v>440000</v>
      </c>
      <c r="L404" s="219">
        <f t="shared" si="149"/>
        <v>0.86021505376344087</v>
      </c>
      <c r="M404" s="249"/>
      <c r="N404" s="249">
        <f t="shared" si="151"/>
        <v>440000</v>
      </c>
      <c r="O404" s="250">
        <f t="shared" si="151"/>
        <v>0</v>
      </c>
      <c r="P404" s="250">
        <f t="shared" si="151"/>
        <v>0</v>
      </c>
      <c r="Q404" s="250">
        <f t="shared" si="151"/>
        <v>440000</v>
      </c>
      <c r="R404" s="250">
        <f t="shared" si="151"/>
        <v>0</v>
      </c>
      <c r="S404" s="250">
        <f t="shared" si="151"/>
        <v>0</v>
      </c>
      <c r="T404" s="250">
        <f t="shared" si="151"/>
        <v>0</v>
      </c>
      <c r="U404" s="250">
        <f t="shared" si="151"/>
        <v>0</v>
      </c>
      <c r="V404" s="26">
        <f t="shared" si="129"/>
        <v>440000</v>
      </c>
      <c r="W404" s="250">
        <f t="shared" si="151"/>
        <v>0</v>
      </c>
      <c r="X404" s="250">
        <f t="shared" si="151"/>
        <v>0</v>
      </c>
    </row>
    <row r="405" spans="1:24" x14ac:dyDescent="0.2">
      <c r="A405" s="572"/>
      <c r="B405" s="22"/>
      <c r="C405" s="23" t="s">
        <v>763</v>
      </c>
      <c r="D405" s="24" t="s">
        <v>764</v>
      </c>
      <c r="E405" s="25" t="s">
        <v>789</v>
      </c>
      <c r="F405" s="211">
        <v>301279.62</v>
      </c>
      <c r="G405" s="212">
        <f t="shared" si="150"/>
        <v>0.58927173975483349</v>
      </c>
      <c r="H405" s="213">
        <v>489941.58</v>
      </c>
      <c r="I405" s="214">
        <v>440000</v>
      </c>
      <c r="J405" s="213"/>
      <c r="K405" s="215">
        <f>I405+J405</f>
        <v>440000</v>
      </c>
      <c r="L405" s="216">
        <f t="shared" si="149"/>
        <v>0.86059443878788322</v>
      </c>
      <c r="M405" s="626"/>
      <c r="N405" s="217">
        <f>V405+W405+X405</f>
        <v>440000</v>
      </c>
      <c r="O405" s="26"/>
      <c r="P405" s="26"/>
      <c r="Q405" s="26">
        <v>440000</v>
      </c>
      <c r="R405" s="26"/>
      <c r="S405" s="26"/>
      <c r="T405" s="26"/>
      <c r="U405" s="26"/>
      <c r="V405" s="26">
        <f t="shared" si="129"/>
        <v>440000</v>
      </c>
      <c r="W405" s="26"/>
      <c r="X405" s="26"/>
    </row>
    <row r="406" spans="1:24" x14ac:dyDescent="0.2">
      <c r="A406" s="572"/>
      <c r="B406" s="22"/>
      <c r="C406" s="23" t="s">
        <v>382</v>
      </c>
      <c r="D406" s="24" t="s">
        <v>383</v>
      </c>
      <c r="E406" s="25" t="s">
        <v>790</v>
      </c>
      <c r="F406" s="211">
        <v>0</v>
      </c>
      <c r="G406" s="212">
        <f t="shared" si="150"/>
        <v>0</v>
      </c>
      <c r="H406" s="213">
        <v>225.49</v>
      </c>
      <c r="I406" s="214"/>
      <c r="J406" s="213"/>
      <c r="K406" s="215">
        <f>I406+J406</f>
        <v>0</v>
      </c>
      <c r="L406" s="216">
        <f t="shared" si="149"/>
        <v>0</v>
      </c>
      <c r="M406" s="626"/>
      <c r="N406" s="217">
        <f>V406+W406+X406</f>
        <v>0</v>
      </c>
      <c r="O406" s="26"/>
      <c r="P406" s="26"/>
      <c r="Q406" s="26"/>
      <c r="R406" s="26"/>
      <c r="S406" s="26"/>
      <c r="T406" s="26"/>
      <c r="U406" s="26"/>
      <c r="V406" s="26">
        <f t="shared" si="129"/>
        <v>0</v>
      </c>
      <c r="W406" s="26"/>
      <c r="X406" s="26"/>
    </row>
    <row r="407" spans="1:24" ht="15" x14ac:dyDescent="0.2">
      <c r="A407" s="571"/>
      <c r="B407" s="15" t="s">
        <v>256</v>
      </c>
      <c r="C407" s="16"/>
      <c r="D407" s="17" t="s">
        <v>257</v>
      </c>
      <c r="E407" s="18">
        <f>E408+E409</f>
        <v>320824</v>
      </c>
      <c r="F407" s="18">
        <f>F408+F409</f>
        <v>296266.88</v>
      </c>
      <c r="G407" s="218">
        <f t="shared" si="150"/>
        <v>0.92345610054110672</v>
      </c>
      <c r="H407" s="246">
        <f>H408+H409</f>
        <v>320508.06</v>
      </c>
      <c r="I407" s="247">
        <f t="shared" ref="I407:X407" si="152">I408+I409</f>
        <v>360500</v>
      </c>
      <c r="J407" s="246">
        <f t="shared" si="152"/>
        <v>-129196</v>
      </c>
      <c r="K407" s="248">
        <f t="shared" si="152"/>
        <v>231304</v>
      </c>
      <c r="L407" s="219">
        <f t="shared" si="149"/>
        <v>0.72096850609680074</v>
      </c>
      <c r="M407" s="249"/>
      <c r="N407" s="249">
        <f t="shared" si="152"/>
        <v>231304</v>
      </c>
      <c r="O407" s="250">
        <f t="shared" si="152"/>
        <v>500</v>
      </c>
      <c r="P407" s="250">
        <f t="shared" si="152"/>
        <v>0</v>
      </c>
      <c r="Q407" s="250">
        <f t="shared" si="152"/>
        <v>0</v>
      </c>
      <c r="R407" s="250">
        <f t="shared" si="152"/>
        <v>0</v>
      </c>
      <c r="S407" s="250">
        <f t="shared" si="152"/>
        <v>0</v>
      </c>
      <c r="T407" s="250">
        <f t="shared" si="152"/>
        <v>0</v>
      </c>
      <c r="U407" s="250">
        <f t="shared" si="152"/>
        <v>0</v>
      </c>
      <c r="V407" s="26">
        <f t="shared" si="129"/>
        <v>500</v>
      </c>
      <c r="W407" s="250">
        <f t="shared" si="152"/>
        <v>0</v>
      </c>
      <c r="X407" s="250">
        <f t="shared" si="152"/>
        <v>230804</v>
      </c>
    </row>
    <row r="408" spans="1:24" ht="67.5" x14ac:dyDescent="0.2">
      <c r="A408" s="572"/>
      <c r="B408" s="22"/>
      <c r="C408" s="23" t="s">
        <v>55</v>
      </c>
      <c r="D408" s="24" t="s">
        <v>771</v>
      </c>
      <c r="E408" s="25" t="s">
        <v>259</v>
      </c>
      <c r="F408" s="211">
        <v>184.06</v>
      </c>
      <c r="G408" s="212">
        <f t="shared" si="150"/>
        <v>0.36812</v>
      </c>
      <c r="H408" s="213">
        <v>184.06</v>
      </c>
      <c r="I408" s="214">
        <v>500</v>
      </c>
      <c r="J408" s="213"/>
      <c r="K408" s="215">
        <f>I408+J408</f>
        <v>500</v>
      </c>
      <c r="L408" s="216">
        <f t="shared" si="149"/>
        <v>1</v>
      </c>
      <c r="M408" s="626"/>
      <c r="N408" s="217">
        <f>V408+W408+X408</f>
        <v>500</v>
      </c>
      <c r="O408" s="26">
        <v>500</v>
      </c>
      <c r="P408" s="26"/>
      <c r="Q408" s="26"/>
      <c r="R408" s="26"/>
      <c r="S408" s="26"/>
      <c r="T408" s="26"/>
      <c r="U408" s="26"/>
      <c r="V408" s="26">
        <f t="shared" si="129"/>
        <v>500</v>
      </c>
      <c r="W408" s="26"/>
      <c r="X408" s="26"/>
    </row>
    <row r="409" spans="1:24" x14ac:dyDescent="0.2">
      <c r="A409" s="572"/>
      <c r="B409" s="22"/>
      <c r="C409" s="23" t="s">
        <v>763</v>
      </c>
      <c r="D409" s="24" t="s">
        <v>764</v>
      </c>
      <c r="E409" s="25" t="s">
        <v>791</v>
      </c>
      <c r="F409" s="211">
        <v>296082.82</v>
      </c>
      <c r="G409" s="212">
        <f t="shared" si="150"/>
        <v>0.92432293552777811</v>
      </c>
      <c r="H409" s="213">
        <v>320324</v>
      </c>
      <c r="I409" s="214">
        <v>360000</v>
      </c>
      <c r="J409" s="213">
        <v>-129196</v>
      </c>
      <c r="K409" s="215">
        <f>I409+J409</f>
        <v>230804</v>
      </c>
      <c r="L409" s="216">
        <f t="shared" si="149"/>
        <v>0.72053296037761771</v>
      </c>
      <c r="M409" s="626"/>
      <c r="N409" s="217">
        <f>V409+W409+X409</f>
        <v>230804</v>
      </c>
      <c r="O409" s="26"/>
      <c r="P409" s="26"/>
      <c r="Q409" s="26"/>
      <c r="R409" s="26"/>
      <c r="S409" s="26"/>
      <c r="T409" s="26"/>
      <c r="U409" s="26"/>
      <c r="V409" s="26">
        <f t="shared" si="129"/>
        <v>0</v>
      </c>
      <c r="W409" s="26"/>
      <c r="X409" s="26">
        <v>230804</v>
      </c>
    </row>
    <row r="410" spans="1:24" ht="15" x14ac:dyDescent="0.2">
      <c r="A410" s="571"/>
      <c r="B410" s="15" t="s">
        <v>260</v>
      </c>
      <c r="C410" s="16"/>
      <c r="D410" s="17" t="s">
        <v>261</v>
      </c>
      <c r="E410" s="18">
        <f>E411+E412+E413+E414+E415+E417+E418+E419+E420+E421+E422+E423+E424+E425+E426+E427+E428+E429+E430+E416</f>
        <v>1279244</v>
      </c>
      <c r="F410" s="18">
        <f>F411+F412+F413+F414+F415+F417+F418+F419+F420+F421+F422+F423+F424+F425+F426+F427+F428+F429+F430+F416</f>
        <v>916943.76999999979</v>
      </c>
      <c r="G410" s="218">
        <f t="shared" si="150"/>
        <v>0.71678567184993625</v>
      </c>
      <c r="H410" s="18">
        <f t="shared" ref="H410:X410" si="153">H411+H412+H413+H414+H415+H417+H418+H419+H420+H421+H422+H423+H424+H425+H426+H427+H428+H429+H430+H416</f>
        <v>1253091.32</v>
      </c>
      <c r="I410" s="20">
        <f t="shared" si="153"/>
        <v>1461137</v>
      </c>
      <c r="J410" s="114">
        <f t="shared" si="153"/>
        <v>-59023</v>
      </c>
      <c r="K410" s="209">
        <f t="shared" si="153"/>
        <v>1402114</v>
      </c>
      <c r="L410" s="219">
        <f t="shared" si="149"/>
        <v>1.0960489163912437</v>
      </c>
      <c r="M410" s="21"/>
      <c r="N410" s="210">
        <f t="shared" si="153"/>
        <v>1402114</v>
      </c>
      <c r="O410" s="95">
        <f t="shared" si="153"/>
        <v>0</v>
      </c>
      <c r="P410" s="95">
        <f t="shared" si="153"/>
        <v>0</v>
      </c>
      <c r="Q410" s="95">
        <f t="shared" si="153"/>
        <v>0</v>
      </c>
      <c r="R410" s="95">
        <f t="shared" si="153"/>
        <v>0</v>
      </c>
      <c r="S410" s="95">
        <f t="shared" si="153"/>
        <v>0</v>
      </c>
      <c r="T410" s="95">
        <f t="shared" si="153"/>
        <v>0</v>
      </c>
      <c r="U410" s="95">
        <f t="shared" si="153"/>
        <v>0</v>
      </c>
      <c r="V410" s="26">
        <f t="shared" si="129"/>
        <v>0</v>
      </c>
      <c r="W410" s="95">
        <f t="shared" si="153"/>
        <v>0</v>
      </c>
      <c r="X410" s="95">
        <f t="shared" si="153"/>
        <v>1402114</v>
      </c>
    </row>
    <row r="411" spans="1:24" ht="22.5" x14ac:dyDescent="0.2">
      <c r="A411" s="572"/>
      <c r="B411" s="22"/>
      <c r="C411" s="23" t="s">
        <v>488</v>
      </c>
      <c r="D411" s="24" t="s">
        <v>489</v>
      </c>
      <c r="E411" s="25" t="s">
        <v>792</v>
      </c>
      <c r="F411" s="211">
        <v>2463.4699999999998</v>
      </c>
      <c r="G411" s="212">
        <f t="shared" si="150"/>
        <v>0.40017381416504222</v>
      </c>
      <c r="H411" s="213">
        <v>5284.63</v>
      </c>
      <c r="I411" s="214">
        <v>7350</v>
      </c>
      <c r="J411" s="213"/>
      <c r="K411" s="215">
        <f>I411+J411</f>
        <v>7350</v>
      </c>
      <c r="L411" s="216">
        <f t="shared" si="149"/>
        <v>1.1939571150097466</v>
      </c>
      <c r="M411" s="626"/>
      <c r="N411" s="217">
        <f>V411+W411+X411</f>
        <v>7350</v>
      </c>
      <c r="O411" s="26"/>
      <c r="P411" s="26"/>
      <c r="Q411" s="26"/>
      <c r="R411" s="26"/>
      <c r="S411" s="26"/>
      <c r="T411" s="26"/>
      <c r="U411" s="26"/>
      <c r="V411" s="26">
        <f t="shared" si="129"/>
        <v>0</v>
      </c>
      <c r="W411" s="26"/>
      <c r="X411" s="211">
        <v>7350</v>
      </c>
    </row>
    <row r="412" spans="1:24" x14ac:dyDescent="0.2">
      <c r="A412" s="572"/>
      <c r="B412" s="22"/>
      <c r="C412" s="23" t="s">
        <v>373</v>
      </c>
      <c r="D412" s="24" t="s">
        <v>374</v>
      </c>
      <c r="E412" s="25" t="s">
        <v>793</v>
      </c>
      <c r="F412" s="211">
        <v>533981.99</v>
      </c>
      <c r="G412" s="212">
        <f t="shared" si="150"/>
        <v>0.70389990838446881</v>
      </c>
      <c r="H412" s="213">
        <v>758605</v>
      </c>
      <c r="I412" s="214">
        <v>835071</v>
      </c>
      <c r="J412" s="213"/>
      <c r="K412" s="215">
        <f t="shared" ref="K412:K430" si="154">I412+J412</f>
        <v>835071</v>
      </c>
      <c r="L412" s="216">
        <f t="shared" si="149"/>
        <v>1.1007981755986318</v>
      </c>
      <c r="M412" s="626"/>
      <c r="N412" s="217">
        <f t="shared" ref="N412:N430" si="155">V412+W412+X412</f>
        <v>835071</v>
      </c>
      <c r="O412" s="26"/>
      <c r="P412" s="26"/>
      <c r="Q412" s="26"/>
      <c r="R412" s="26"/>
      <c r="S412" s="26"/>
      <c r="T412" s="26"/>
      <c r="U412" s="26"/>
      <c r="V412" s="26">
        <f t="shared" si="129"/>
        <v>0</v>
      </c>
      <c r="W412" s="26"/>
      <c r="X412" s="211">
        <v>835071</v>
      </c>
    </row>
    <row r="413" spans="1:24" x14ac:dyDescent="0.2">
      <c r="A413" s="572"/>
      <c r="B413" s="22"/>
      <c r="C413" s="23" t="s">
        <v>466</v>
      </c>
      <c r="D413" s="24" t="s">
        <v>467</v>
      </c>
      <c r="E413" s="25" t="s">
        <v>794</v>
      </c>
      <c r="F413" s="211">
        <v>54293.81</v>
      </c>
      <c r="G413" s="212">
        <f t="shared" si="150"/>
        <v>0.99720475333357816</v>
      </c>
      <c r="H413" s="213">
        <v>54293.81</v>
      </c>
      <c r="I413" s="214">
        <v>61737</v>
      </c>
      <c r="J413" s="213"/>
      <c r="K413" s="215">
        <f t="shared" si="154"/>
        <v>61737</v>
      </c>
      <c r="L413" s="216">
        <f t="shared" si="149"/>
        <v>1.1339125004591706</v>
      </c>
      <c r="M413" s="626"/>
      <c r="N413" s="217">
        <f t="shared" si="155"/>
        <v>61737</v>
      </c>
      <c r="O413" s="26"/>
      <c r="P413" s="26"/>
      <c r="Q413" s="26"/>
      <c r="R413" s="26"/>
      <c r="S413" s="26"/>
      <c r="T413" s="26"/>
      <c r="U413" s="26"/>
      <c r="V413" s="26">
        <f t="shared" si="129"/>
        <v>0</v>
      </c>
      <c r="W413" s="26"/>
      <c r="X413" s="211">
        <v>61737</v>
      </c>
    </row>
    <row r="414" spans="1:24" x14ac:dyDescent="0.2">
      <c r="A414" s="572"/>
      <c r="B414" s="22"/>
      <c r="C414" s="23" t="s">
        <v>376</v>
      </c>
      <c r="D414" s="24" t="s">
        <v>377</v>
      </c>
      <c r="E414" s="25" t="s">
        <v>795</v>
      </c>
      <c r="F414" s="211">
        <v>94781.43</v>
      </c>
      <c r="G414" s="212">
        <f t="shared" si="150"/>
        <v>0.67953419845139085</v>
      </c>
      <c r="H414" s="213">
        <v>139480</v>
      </c>
      <c r="I414" s="214">
        <v>154301</v>
      </c>
      <c r="J414" s="213"/>
      <c r="K414" s="215">
        <f t="shared" si="154"/>
        <v>154301</v>
      </c>
      <c r="L414" s="216">
        <f t="shared" si="149"/>
        <v>1.1062589618583309</v>
      </c>
      <c r="M414" s="626"/>
      <c r="N414" s="217">
        <f t="shared" si="155"/>
        <v>154301</v>
      </c>
      <c r="O414" s="26"/>
      <c r="P414" s="26"/>
      <c r="Q414" s="26"/>
      <c r="R414" s="26"/>
      <c r="S414" s="26"/>
      <c r="T414" s="26"/>
      <c r="U414" s="26"/>
      <c r="V414" s="26">
        <f t="shared" ref="V414:V479" si="156">SUM(O414:U414)</f>
        <v>0</v>
      </c>
      <c r="W414" s="26"/>
      <c r="X414" s="211">
        <v>154301</v>
      </c>
    </row>
    <row r="415" spans="1:24" x14ac:dyDescent="0.2">
      <c r="A415" s="572"/>
      <c r="B415" s="22"/>
      <c r="C415" s="23" t="s">
        <v>379</v>
      </c>
      <c r="D415" s="24" t="s">
        <v>380</v>
      </c>
      <c r="E415" s="25" t="s">
        <v>796</v>
      </c>
      <c r="F415" s="211">
        <v>10073.200000000001</v>
      </c>
      <c r="G415" s="212">
        <f t="shared" si="150"/>
        <v>0.50761943156621647</v>
      </c>
      <c r="H415" s="213">
        <v>19844</v>
      </c>
      <c r="I415" s="214">
        <v>21652</v>
      </c>
      <c r="J415" s="213"/>
      <c r="K415" s="215">
        <f t="shared" si="154"/>
        <v>21652</v>
      </c>
      <c r="L415" s="216">
        <f t="shared" si="149"/>
        <v>1.0911106631727474</v>
      </c>
      <c r="M415" s="626"/>
      <c r="N415" s="217">
        <f t="shared" si="155"/>
        <v>21652</v>
      </c>
      <c r="O415" s="26"/>
      <c r="P415" s="26"/>
      <c r="Q415" s="26"/>
      <c r="R415" s="26"/>
      <c r="S415" s="26"/>
      <c r="T415" s="26"/>
      <c r="U415" s="26"/>
      <c r="V415" s="26">
        <f t="shared" si="156"/>
        <v>0</v>
      </c>
      <c r="W415" s="26"/>
      <c r="X415" s="211">
        <v>21652</v>
      </c>
    </row>
    <row r="416" spans="1:24" ht="22.5" x14ac:dyDescent="0.2">
      <c r="A416" s="572"/>
      <c r="B416" s="22"/>
      <c r="C416" s="23" t="s">
        <v>495</v>
      </c>
      <c r="D416" s="24" t="s">
        <v>797</v>
      </c>
      <c r="E416" s="25" t="s">
        <v>104</v>
      </c>
      <c r="F416" s="211">
        <v>66</v>
      </c>
      <c r="G416" s="212">
        <f t="shared" si="150"/>
        <v>6.6000000000000003E-2</v>
      </c>
      <c r="H416" s="213">
        <v>66</v>
      </c>
      <c r="I416" s="214">
        <v>20000</v>
      </c>
      <c r="J416" s="213"/>
      <c r="K416" s="215">
        <f t="shared" si="154"/>
        <v>20000</v>
      </c>
      <c r="L416" s="216">
        <f t="shared" si="149"/>
        <v>20</v>
      </c>
      <c r="M416" s="626"/>
      <c r="N416" s="217">
        <f t="shared" si="155"/>
        <v>20000</v>
      </c>
      <c r="O416" s="26"/>
      <c r="P416" s="26"/>
      <c r="Q416" s="26"/>
      <c r="R416" s="26"/>
      <c r="S416" s="26"/>
      <c r="T416" s="26"/>
      <c r="U416" s="26"/>
      <c r="V416" s="26">
        <f t="shared" si="156"/>
        <v>0</v>
      </c>
      <c r="W416" s="26"/>
      <c r="X416" s="211">
        <v>20000</v>
      </c>
    </row>
    <row r="417" spans="1:24" x14ac:dyDescent="0.2">
      <c r="A417" s="572"/>
      <c r="B417" s="22"/>
      <c r="C417" s="23" t="s">
        <v>398</v>
      </c>
      <c r="D417" s="24" t="s">
        <v>399</v>
      </c>
      <c r="E417" s="25" t="s">
        <v>464</v>
      </c>
      <c r="F417" s="211">
        <v>5856</v>
      </c>
      <c r="G417" s="212">
        <f t="shared" si="150"/>
        <v>0.58560000000000001</v>
      </c>
      <c r="H417" s="213">
        <v>10000</v>
      </c>
      <c r="I417" s="214">
        <v>10000</v>
      </c>
      <c r="J417" s="213"/>
      <c r="K417" s="215">
        <f t="shared" si="154"/>
        <v>10000</v>
      </c>
      <c r="L417" s="216">
        <f t="shared" si="149"/>
        <v>1</v>
      </c>
      <c r="M417" s="626"/>
      <c r="N417" s="217">
        <f t="shared" si="155"/>
        <v>10000</v>
      </c>
      <c r="O417" s="26"/>
      <c r="P417" s="26"/>
      <c r="Q417" s="26"/>
      <c r="R417" s="26"/>
      <c r="S417" s="26"/>
      <c r="T417" s="26"/>
      <c r="U417" s="26"/>
      <c r="V417" s="26">
        <f t="shared" si="156"/>
        <v>0</v>
      </c>
      <c r="W417" s="26"/>
      <c r="X417" s="211">
        <v>10000</v>
      </c>
    </row>
    <row r="418" spans="1:24" x14ac:dyDescent="0.2">
      <c r="A418" s="572"/>
      <c r="B418" s="22"/>
      <c r="C418" s="23" t="s">
        <v>382</v>
      </c>
      <c r="D418" s="24" t="s">
        <v>383</v>
      </c>
      <c r="E418" s="25" t="s">
        <v>798</v>
      </c>
      <c r="F418" s="211">
        <v>21095.040000000001</v>
      </c>
      <c r="G418" s="212">
        <f t="shared" si="150"/>
        <v>0.62402129862446387</v>
      </c>
      <c r="H418" s="213">
        <v>30126.720000000001</v>
      </c>
      <c r="I418" s="214">
        <v>70000</v>
      </c>
      <c r="J418" s="213"/>
      <c r="K418" s="215">
        <f t="shared" si="154"/>
        <v>70000</v>
      </c>
      <c r="L418" s="216">
        <f t="shared" si="149"/>
        <v>2.0706996006507912</v>
      </c>
      <c r="M418" s="626"/>
      <c r="N418" s="217">
        <f t="shared" si="155"/>
        <v>70000</v>
      </c>
      <c r="O418" s="26"/>
      <c r="P418" s="26"/>
      <c r="Q418" s="26"/>
      <c r="R418" s="26"/>
      <c r="S418" s="26"/>
      <c r="T418" s="26"/>
      <c r="U418" s="26"/>
      <c r="V418" s="26">
        <f t="shared" si="156"/>
        <v>0</v>
      </c>
      <c r="W418" s="26"/>
      <c r="X418" s="211">
        <v>70000</v>
      </c>
    </row>
    <row r="419" spans="1:24" x14ac:dyDescent="0.2">
      <c r="A419" s="572"/>
      <c r="B419" s="22"/>
      <c r="C419" s="23" t="s">
        <v>401</v>
      </c>
      <c r="D419" s="24" t="s">
        <v>402</v>
      </c>
      <c r="E419" s="25" t="s">
        <v>799</v>
      </c>
      <c r="F419" s="211">
        <v>6702</v>
      </c>
      <c r="G419" s="212">
        <f t="shared" si="150"/>
        <v>0.54048387096774198</v>
      </c>
      <c r="H419" s="213">
        <v>12400</v>
      </c>
      <c r="I419" s="214">
        <v>128000</v>
      </c>
      <c r="J419" s="213">
        <v>-50000</v>
      </c>
      <c r="K419" s="215">
        <f t="shared" si="154"/>
        <v>78000</v>
      </c>
      <c r="L419" s="216">
        <f t="shared" si="149"/>
        <v>6.290322580645161</v>
      </c>
      <c r="M419" s="626"/>
      <c r="N419" s="217">
        <f t="shared" si="155"/>
        <v>78000</v>
      </c>
      <c r="O419" s="26"/>
      <c r="P419" s="26"/>
      <c r="Q419" s="26"/>
      <c r="R419" s="26"/>
      <c r="S419" s="26"/>
      <c r="T419" s="26"/>
      <c r="U419" s="26"/>
      <c r="V419" s="26">
        <f t="shared" si="156"/>
        <v>0</v>
      </c>
      <c r="W419" s="26"/>
      <c r="X419" s="211">
        <v>78000</v>
      </c>
    </row>
    <row r="420" spans="1:24" x14ac:dyDescent="0.2">
      <c r="A420" s="572"/>
      <c r="B420" s="22"/>
      <c r="C420" s="23" t="s">
        <v>416</v>
      </c>
      <c r="D420" s="24" t="s">
        <v>417</v>
      </c>
      <c r="E420" s="25" t="s">
        <v>104</v>
      </c>
      <c r="F420" s="211">
        <v>369</v>
      </c>
      <c r="G420" s="212">
        <f t="shared" si="150"/>
        <v>0.36899999999999999</v>
      </c>
      <c r="H420" s="213">
        <v>369</v>
      </c>
      <c r="I420" s="214">
        <v>1000</v>
      </c>
      <c r="J420" s="213"/>
      <c r="K420" s="215">
        <f t="shared" si="154"/>
        <v>1000</v>
      </c>
      <c r="L420" s="216">
        <f t="shared" si="149"/>
        <v>1</v>
      </c>
      <c r="M420" s="626"/>
      <c r="N420" s="217">
        <f t="shared" si="155"/>
        <v>1000</v>
      </c>
      <c r="O420" s="26"/>
      <c r="P420" s="26"/>
      <c r="Q420" s="26"/>
      <c r="R420" s="26"/>
      <c r="S420" s="26"/>
      <c r="T420" s="26"/>
      <c r="U420" s="26"/>
      <c r="V420" s="26">
        <f t="shared" si="156"/>
        <v>0</v>
      </c>
      <c r="W420" s="26"/>
      <c r="X420" s="211">
        <v>1000</v>
      </c>
    </row>
    <row r="421" spans="1:24" x14ac:dyDescent="0.2">
      <c r="A421" s="572"/>
      <c r="B421" s="22"/>
      <c r="C421" s="23" t="s">
        <v>502</v>
      </c>
      <c r="D421" s="24" t="s">
        <v>503</v>
      </c>
      <c r="E421" s="25" t="s">
        <v>91</v>
      </c>
      <c r="F421" s="211">
        <v>896</v>
      </c>
      <c r="G421" s="212">
        <f t="shared" si="150"/>
        <v>0.59733333333333338</v>
      </c>
      <c r="H421" s="213">
        <v>896</v>
      </c>
      <c r="I421" s="214">
        <v>1800</v>
      </c>
      <c r="J421" s="213"/>
      <c r="K421" s="215">
        <f t="shared" si="154"/>
        <v>1800</v>
      </c>
      <c r="L421" s="216">
        <f t="shared" si="149"/>
        <v>1.2</v>
      </c>
      <c r="M421" s="626"/>
      <c r="N421" s="217">
        <f t="shared" si="155"/>
        <v>1800</v>
      </c>
      <c r="O421" s="26"/>
      <c r="P421" s="26"/>
      <c r="Q421" s="26"/>
      <c r="R421" s="26"/>
      <c r="S421" s="26"/>
      <c r="T421" s="26"/>
      <c r="U421" s="26"/>
      <c r="V421" s="26">
        <f t="shared" si="156"/>
        <v>0</v>
      </c>
      <c r="W421" s="26"/>
      <c r="X421" s="211">
        <v>1800</v>
      </c>
    </row>
    <row r="422" spans="1:24" x14ac:dyDescent="0.2">
      <c r="A422" s="572"/>
      <c r="B422" s="22"/>
      <c r="C422" s="23" t="s">
        <v>386</v>
      </c>
      <c r="D422" s="24" t="s">
        <v>387</v>
      </c>
      <c r="E422" s="25" t="s">
        <v>800</v>
      </c>
      <c r="F422" s="211">
        <v>60458.09</v>
      </c>
      <c r="G422" s="212">
        <f t="shared" si="150"/>
        <v>0.69109176744930378</v>
      </c>
      <c r="H422" s="213">
        <v>80610.789999999994</v>
      </c>
      <c r="I422" s="214">
        <v>70000</v>
      </c>
      <c r="J422" s="213">
        <v>-9023</v>
      </c>
      <c r="K422" s="215">
        <f t="shared" si="154"/>
        <v>60977</v>
      </c>
      <c r="L422" s="216">
        <f t="shared" si="149"/>
        <v>0.69702338766832039</v>
      </c>
      <c r="M422" s="626"/>
      <c r="N422" s="217">
        <f t="shared" si="155"/>
        <v>60977</v>
      </c>
      <c r="O422" s="26"/>
      <c r="P422" s="26"/>
      <c r="Q422" s="26"/>
      <c r="R422" s="26"/>
      <c r="S422" s="26"/>
      <c r="T422" s="26"/>
      <c r="U422" s="26"/>
      <c r="V422" s="26">
        <f t="shared" si="156"/>
        <v>0</v>
      </c>
      <c r="W422" s="26"/>
      <c r="X422" s="211">
        <v>60977</v>
      </c>
    </row>
    <row r="423" spans="1:24" ht="22.5" x14ac:dyDescent="0.2">
      <c r="A423" s="572"/>
      <c r="B423" s="22"/>
      <c r="C423" s="23" t="s">
        <v>506</v>
      </c>
      <c r="D423" s="24" t="s">
        <v>507</v>
      </c>
      <c r="E423" s="25" t="s">
        <v>801</v>
      </c>
      <c r="F423" s="211">
        <v>5360.46</v>
      </c>
      <c r="G423" s="212">
        <f t="shared" si="150"/>
        <v>0.62330930232558135</v>
      </c>
      <c r="H423" s="213">
        <v>7146.28</v>
      </c>
      <c r="I423" s="214">
        <v>11000</v>
      </c>
      <c r="J423" s="213"/>
      <c r="K423" s="215">
        <f t="shared" si="154"/>
        <v>11000</v>
      </c>
      <c r="L423" s="216">
        <f t="shared" si="149"/>
        <v>1.2790697674418605</v>
      </c>
      <c r="M423" s="626"/>
      <c r="N423" s="217">
        <f t="shared" si="155"/>
        <v>11000</v>
      </c>
      <c r="O423" s="26"/>
      <c r="P423" s="26"/>
      <c r="Q423" s="26"/>
      <c r="R423" s="26"/>
      <c r="S423" s="26"/>
      <c r="T423" s="26"/>
      <c r="U423" s="26"/>
      <c r="V423" s="26">
        <f t="shared" si="156"/>
        <v>0</v>
      </c>
      <c r="W423" s="26"/>
      <c r="X423" s="211">
        <v>11000</v>
      </c>
    </row>
    <row r="424" spans="1:24" ht="22.5" x14ac:dyDescent="0.2">
      <c r="A424" s="572"/>
      <c r="B424" s="22"/>
      <c r="C424" s="23" t="s">
        <v>510</v>
      </c>
      <c r="D424" s="24" t="s">
        <v>511</v>
      </c>
      <c r="E424" s="25" t="s">
        <v>802</v>
      </c>
      <c r="F424" s="211">
        <v>14400</v>
      </c>
      <c r="G424" s="212">
        <f t="shared" si="150"/>
        <v>0.75</v>
      </c>
      <c r="H424" s="213">
        <v>19200</v>
      </c>
      <c r="I424" s="214">
        <v>22000</v>
      </c>
      <c r="J424" s="213"/>
      <c r="K424" s="215">
        <f t="shared" si="154"/>
        <v>22000</v>
      </c>
      <c r="L424" s="216">
        <f t="shared" si="149"/>
        <v>1.1458333333333333</v>
      </c>
      <c r="M424" s="626"/>
      <c r="N424" s="217">
        <f t="shared" si="155"/>
        <v>22000</v>
      </c>
      <c r="O424" s="26"/>
      <c r="P424" s="26"/>
      <c r="Q424" s="26"/>
      <c r="R424" s="26"/>
      <c r="S424" s="26"/>
      <c r="T424" s="26"/>
      <c r="U424" s="26"/>
      <c r="V424" s="26">
        <f t="shared" si="156"/>
        <v>0</v>
      </c>
      <c r="W424" s="26"/>
      <c r="X424" s="211">
        <v>22000</v>
      </c>
    </row>
    <row r="425" spans="1:24" ht="22.5" x14ac:dyDescent="0.2">
      <c r="A425" s="572"/>
      <c r="B425" s="22"/>
      <c r="C425" s="23" t="s">
        <v>778</v>
      </c>
      <c r="D425" s="24" t="s">
        <v>779</v>
      </c>
      <c r="E425" s="25" t="s">
        <v>803</v>
      </c>
      <c r="F425" s="211">
        <v>22641</v>
      </c>
      <c r="G425" s="212">
        <f t="shared" si="150"/>
        <v>0.68609090909090908</v>
      </c>
      <c r="H425" s="213">
        <v>25157</v>
      </c>
      <c r="I425" s="214">
        <v>0</v>
      </c>
      <c r="J425" s="213"/>
      <c r="K425" s="215">
        <f t="shared" si="154"/>
        <v>0</v>
      </c>
      <c r="L425" s="216">
        <f t="shared" si="149"/>
        <v>0</v>
      </c>
      <c r="M425" s="626"/>
      <c r="N425" s="217">
        <f t="shared" si="155"/>
        <v>0</v>
      </c>
      <c r="O425" s="26"/>
      <c r="P425" s="26"/>
      <c r="Q425" s="26"/>
      <c r="R425" s="26"/>
      <c r="S425" s="26"/>
      <c r="T425" s="26"/>
      <c r="U425" s="26"/>
      <c r="V425" s="26">
        <f t="shared" si="156"/>
        <v>0</v>
      </c>
      <c r="W425" s="26"/>
      <c r="X425" s="211">
        <v>0</v>
      </c>
    </row>
    <row r="426" spans="1:24" x14ac:dyDescent="0.2">
      <c r="A426" s="572"/>
      <c r="B426" s="22"/>
      <c r="C426" s="23" t="s">
        <v>473</v>
      </c>
      <c r="D426" s="24" t="s">
        <v>474</v>
      </c>
      <c r="E426" s="25" t="s">
        <v>485</v>
      </c>
      <c r="F426" s="211">
        <v>7629.58</v>
      </c>
      <c r="G426" s="212">
        <f t="shared" si="150"/>
        <v>0.58689076923076922</v>
      </c>
      <c r="H426" s="213">
        <v>11823.59</v>
      </c>
      <c r="I426" s="214">
        <v>13000</v>
      </c>
      <c r="J426" s="213"/>
      <c r="K426" s="215">
        <f t="shared" si="154"/>
        <v>13000</v>
      </c>
      <c r="L426" s="216">
        <f t="shared" si="149"/>
        <v>1</v>
      </c>
      <c r="M426" s="626"/>
      <c r="N426" s="217">
        <f t="shared" si="155"/>
        <v>13000</v>
      </c>
      <c r="O426" s="26"/>
      <c r="P426" s="26"/>
      <c r="Q426" s="26"/>
      <c r="R426" s="26"/>
      <c r="S426" s="26"/>
      <c r="T426" s="26"/>
      <c r="U426" s="26"/>
      <c r="V426" s="26">
        <f t="shared" si="156"/>
        <v>0</v>
      </c>
      <c r="W426" s="26"/>
      <c r="X426" s="211">
        <v>13000</v>
      </c>
    </row>
    <row r="427" spans="1:24" x14ac:dyDescent="0.2">
      <c r="A427" s="572"/>
      <c r="B427" s="22"/>
      <c r="C427" s="23" t="s">
        <v>390</v>
      </c>
      <c r="D427" s="24" t="s">
        <v>391</v>
      </c>
      <c r="E427" s="25" t="s">
        <v>615</v>
      </c>
      <c r="F427" s="211">
        <v>212.5</v>
      </c>
      <c r="G427" s="212">
        <f t="shared" si="150"/>
        <v>0.265625</v>
      </c>
      <c r="H427" s="213">
        <v>212.5</v>
      </c>
      <c r="I427" s="214">
        <v>900</v>
      </c>
      <c r="J427" s="213"/>
      <c r="K427" s="215">
        <f t="shared" si="154"/>
        <v>900</v>
      </c>
      <c r="L427" s="216">
        <f t="shared" si="149"/>
        <v>1.125</v>
      </c>
      <c r="M427" s="626"/>
      <c r="N427" s="217">
        <f t="shared" si="155"/>
        <v>900</v>
      </c>
      <c r="O427" s="26"/>
      <c r="P427" s="26"/>
      <c r="Q427" s="26"/>
      <c r="R427" s="26"/>
      <c r="S427" s="26"/>
      <c r="T427" s="26"/>
      <c r="U427" s="26"/>
      <c r="V427" s="26">
        <f t="shared" si="156"/>
        <v>0</v>
      </c>
      <c r="W427" s="26"/>
      <c r="X427" s="211">
        <v>900</v>
      </c>
    </row>
    <row r="428" spans="1:24" ht="22.5" x14ac:dyDescent="0.2">
      <c r="A428" s="572"/>
      <c r="B428" s="22"/>
      <c r="C428" s="23" t="s">
        <v>515</v>
      </c>
      <c r="D428" s="24" t="s">
        <v>516</v>
      </c>
      <c r="E428" s="25" t="s">
        <v>804</v>
      </c>
      <c r="F428" s="211">
        <v>29326</v>
      </c>
      <c r="G428" s="212">
        <f t="shared" si="150"/>
        <v>1</v>
      </c>
      <c r="H428" s="213">
        <v>29326</v>
      </c>
      <c r="I428" s="214">
        <v>29326</v>
      </c>
      <c r="J428" s="213"/>
      <c r="K428" s="215">
        <f t="shared" si="154"/>
        <v>29326</v>
      </c>
      <c r="L428" s="216">
        <f t="shared" si="149"/>
        <v>1</v>
      </c>
      <c r="M428" s="626"/>
      <c r="N428" s="217">
        <f t="shared" si="155"/>
        <v>29326</v>
      </c>
      <c r="O428" s="26"/>
      <c r="P428" s="26"/>
      <c r="Q428" s="26"/>
      <c r="R428" s="26"/>
      <c r="S428" s="26"/>
      <c r="T428" s="26"/>
      <c r="U428" s="26"/>
      <c r="V428" s="26">
        <f t="shared" si="156"/>
        <v>0</v>
      </c>
      <c r="W428" s="26"/>
      <c r="X428" s="211">
        <v>29326</v>
      </c>
    </row>
    <row r="429" spans="1:24" ht="22.5" x14ac:dyDescent="0.2">
      <c r="A429" s="572"/>
      <c r="B429" s="22"/>
      <c r="C429" s="23" t="s">
        <v>475</v>
      </c>
      <c r="D429" s="24" t="s">
        <v>476</v>
      </c>
      <c r="E429" s="25" t="s">
        <v>79</v>
      </c>
      <c r="F429" s="211">
        <v>888.2</v>
      </c>
      <c r="G429" s="212">
        <f t="shared" si="150"/>
        <v>0.22205000000000003</v>
      </c>
      <c r="H429" s="213">
        <v>2800</v>
      </c>
      <c r="I429" s="214">
        <v>4000</v>
      </c>
      <c r="J429" s="213"/>
      <c r="K429" s="215">
        <f t="shared" si="154"/>
        <v>4000</v>
      </c>
      <c r="L429" s="216">
        <f t="shared" si="149"/>
        <v>1</v>
      </c>
      <c r="M429" s="626"/>
      <c r="N429" s="217">
        <f t="shared" si="155"/>
        <v>4000</v>
      </c>
      <c r="O429" s="26"/>
      <c r="P429" s="26"/>
      <c r="Q429" s="26"/>
      <c r="R429" s="26"/>
      <c r="S429" s="26"/>
      <c r="T429" s="26"/>
      <c r="U429" s="26"/>
      <c r="V429" s="26">
        <f t="shared" si="156"/>
        <v>0</v>
      </c>
      <c r="W429" s="26"/>
      <c r="X429" s="211">
        <v>4000</v>
      </c>
    </row>
    <row r="430" spans="1:24" ht="22.5" x14ac:dyDescent="0.2">
      <c r="A430" s="572"/>
      <c r="B430" s="22"/>
      <c r="C430" s="23" t="s">
        <v>453</v>
      </c>
      <c r="D430" s="24" t="s">
        <v>454</v>
      </c>
      <c r="E430" s="25" t="s">
        <v>805</v>
      </c>
      <c r="F430" s="211">
        <v>45450</v>
      </c>
      <c r="G430" s="212">
        <f t="shared" si="150"/>
        <v>0.99671052631578949</v>
      </c>
      <c r="H430" s="213">
        <v>45450</v>
      </c>
      <c r="I430" s="214">
        <v>0</v>
      </c>
      <c r="J430" s="213"/>
      <c r="K430" s="215">
        <f t="shared" si="154"/>
        <v>0</v>
      </c>
      <c r="L430" s="216">
        <f t="shared" si="149"/>
        <v>0</v>
      </c>
      <c r="M430" s="626"/>
      <c r="N430" s="217">
        <f t="shared" si="155"/>
        <v>0</v>
      </c>
      <c r="O430" s="26"/>
      <c r="P430" s="26"/>
      <c r="Q430" s="26"/>
      <c r="R430" s="26"/>
      <c r="S430" s="26"/>
      <c r="T430" s="26"/>
      <c r="U430" s="26"/>
      <c r="V430" s="26">
        <f t="shared" si="156"/>
        <v>0</v>
      </c>
      <c r="W430" s="26"/>
      <c r="X430" s="211">
        <v>0</v>
      </c>
    </row>
    <row r="431" spans="1:24" ht="22.5" x14ac:dyDescent="0.2">
      <c r="A431" s="571"/>
      <c r="B431" s="15" t="s">
        <v>263</v>
      </c>
      <c r="C431" s="16"/>
      <c r="D431" s="17" t="s">
        <v>264</v>
      </c>
      <c r="E431" s="18">
        <f>E432+E433+E434</f>
        <v>443693</v>
      </c>
      <c r="F431" s="18">
        <f>F432+F433+F434</f>
        <v>305750.06</v>
      </c>
      <c r="G431" s="218">
        <f t="shared" si="150"/>
        <v>0.68910273544996203</v>
      </c>
      <c r="H431" s="246">
        <f>H432+H433+H434</f>
        <v>436660.03</v>
      </c>
      <c r="I431" s="247">
        <f t="shared" ref="I431:X431" si="157">I432+I433+I434</f>
        <v>593407</v>
      </c>
      <c r="J431" s="246">
        <f t="shared" si="157"/>
        <v>-147957</v>
      </c>
      <c r="K431" s="248">
        <f t="shared" si="157"/>
        <v>445450</v>
      </c>
      <c r="L431" s="219">
        <f t="shared" si="149"/>
        <v>1.0039599452774779</v>
      </c>
      <c r="M431" s="249"/>
      <c r="N431" s="249">
        <f t="shared" si="157"/>
        <v>445450</v>
      </c>
      <c r="O431" s="250">
        <f t="shared" si="157"/>
        <v>0</v>
      </c>
      <c r="P431" s="250">
        <f t="shared" si="157"/>
        <v>0</v>
      </c>
      <c r="Q431" s="250">
        <f t="shared" si="157"/>
        <v>0</v>
      </c>
      <c r="R431" s="250">
        <f t="shared" si="157"/>
        <v>0</v>
      </c>
      <c r="S431" s="250">
        <f t="shared" si="157"/>
        <v>0</v>
      </c>
      <c r="T431" s="250">
        <f t="shared" si="157"/>
        <v>0</v>
      </c>
      <c r="U431" s="250">
        <f t="shared" si="157"/>
        <v>0</v>
      </c>
      <c r="V431" s="26">
        <f t="shared" si="156"/>
        <v>0</v>
      </c>
      <c r="W431" s="250">
        <f t="shared" si="157"/>
        <v>0</v>
      </c>
      <c r="X431" s="250">
        <f t="shared" si="157"/>
        <v>445450</v>
      </c>
    </row>
    <row r="432" spans="1:24" x14ac:dyDescent="0.2">
      <c r="A432" s="572"/>
      <c r="B432" s="22"/>
      <c r="C432" s="23" t="s">
        <v>376</v>
      </c>
      <c r="D432" s="24" t="s">
        <v>377</v>
      </c>
      <c r="E432" s="25" t="s">
        <v>806</v>
      </c>
      <c r="F432" s="211">
        <v>12909.57</v>
      </c>
      <c r="G432" s="212">
        <f t="shared" si="150"/>
        <v>0.83325179113147874</v>
      </c>
      <c r="H432" s="213">
        <v>15493</v>
      </c>
      <c r="I432" s="214">
        <v>29400</v>
      </c>
      <c r="J432" s="213"/>
      <c r="K432" s="215">
        <f>I432+J432</f>
        <v>29400</v>
      </c>
      <c r="L432" s="216">
        <f t="shared" si="149"/>
        <v>1.8976311882785775</v>
      </c>
      <c r="M432" s="626"/>
      <c r="N432" s="217">
        <f>V432+W432+X432</f>
        <v>29400</v>
      </c>
      <c r="O432" s="26"/>
      <c r="P432" s="26"/>
      <c r="Q432" s="26"/>
      <c r="R432" s="26"/>
      <c r="S432" s="26"/>
      <c r="T432" s="26"/>
      <c r="U432" s="26"/>
      <c r="V432" s="26">
        <f t="shared" si="156"/>
        <v>0</v>
      </c>
      <c r="W432" s="26"/>
      <c r="X432" s="211">
        <v>29400</v>
      </c>
    </row>
    <row r="433" spans="1:24" x14ac:dyDescent="0.2">
      <c r="A433" s="572"/>
      <c r="B433" s="22"/>
      <c r="C433" s="23" t="s">
        <v>398</v>
      </c>
      <c r="D433" s="24" t="s">
        <v>399</v>
      </c>
      <c r="E433" s="25" t="s">
        <v>807</v>
      </c>
      <c r="F433" s="211">
        <v>83375.27</v>
      </c>
      <c r="G433" s="212">
        <f t="shared" si="150"/>
        <v>0.70537453468697131</v>
      </c>
      <c r="H433" s="213">
        <v>111167.03</v>
      </c>
      <c r="I433" s="214">
        <v>168000</v>
      </c>
      <c r="J433" s="213"/>
      <c r="K433" s="215">
        <f t="shared" ref="K433:K434" si="158">I433+J433</f>
        <v>168000</v>
      </c>
      <c r="L433" s="216">
        <f t="shared" si="149"/>
        <v>1.4213197969543148</v>
      </c>
      <c r="M433" s="626"/>
      <c r="N433" s="217">
        <f t="shared" ref="N433:N434" si="159">V433+W433+X433</f>
        <v>168000</v>
      </c>
      <c r="O433" s="26"/>
      <c r="P433" s="26"/>
      <c r="Q433" s="26"/>
      <c r="R433" s="26"/>
      <c r="S433" s="26"/>
      <c r="T433" s="26"/>
      <c r="U433" s="26"/>
      <c r="V433" s="26">
        <f t="shared" si="156"/>
        <v>0</v>
      </c>
      <c r="W433" s="26"/>
      <c r="X433" s="211">
        <v>168000</v>
      </c>
    </row>
    <row r="434" spans="1:24" x14ac:dyDescent="0.2">
      <c r="A434" s="572"/>
      <c r="B434" s="22"/>
      <c r="C434" s="23" t="s">
        <v>386</v>
      </c>
      <c r="D434" s="24" t="s">
        <v>387</v>
      </c>
      <c r="E434" s="25" t="s">
        <v>808</v>
      </c>
      <c r="F434" s="211">
        <v>209465.22</v>
      </c>
      <c r="G434" s="212">
        <f t="shared" si="150"/>
        <v>0.67569425806451611</v>
      </c>
      <c r="H434" s="213">
        <v>310000</v>
      </c>
      <c r="I434" s="214">
        <v>396007</v>
      </c>
      <c r="J434" s="213">
        <v>-147957</v>
      </c>
      <c r="K434" s="215">
        <f t="shared" si="158"/>
        <v>248050</v>
      </c>
      <c r="L434" s="216">
        <f t="shared" si="149"/>
        <v>0.80016129032258065</v>
      </c>
      <c r="M434" s="626"/>
      <c r="N434" s="217">
        <f t="shared" si="159"/>
        <v>248050</v>
      </c>
      <c r="O434" s="26"/>
      <c r="P434" s="26"/>
      <c r="Q434" s="26"/>
      <c r="R434" s="26"/>
      <c r="S434" s="26"/>
      <c r="T434" s="26"/>
      <c r="U434" s="26"/>
      <c r="V434" s="26">
        <f t="shared" si="156"/>
        <v>0</v>
      </c>
      <c r="W434" s="26"/>
      <c r="X434" s="211">
        <v>248050</v>
      </c>
    </row>
    <row r="435" spans="1:24" ht="15" x14ac:dyDescent="0.2">
      <c r="A435" s="571"/>
      <c r="B435" s="15" t="s">
        <v>268</v>
      </c>
      <c r="C435" s="16"/>
      <c r="D435" s="635" t="s">
        <v>809</v>
      </c>
      <c r="E435" s="18">
        <f>E436</f>
        <v>0</v>
      </c>
      <c r="F435" s="18">
        <f>F436</f>
        <v>0</v>
      </c>
      <c r="G435" s="218">
        <v>0</v>
      </c>
      <c r="H435" s="246">
        <f>H436</f>
        <v>0</v>
      </c>
      <c r="I435" s="247">
        <f t="shared" ref="I435:X435" si="160">I436</f>
        <v>130000</v>
      </c>
      <c r="J435" s="246">
        <f t="shared" si="160"/>
        <v>0</v>
      </c>
      <c r="K435" s="248">
        <f t="shared" si="160"/>
        <v>130000</v>
      </c>
      <c r="L435" s="219">
        <v>0</v>
      </c>
      <c r="M435" s="249"/>
      <c r="N435" s="249">
        <f t="shared" si="160"/>
        <v>130000</v>
      </c>
      <c r="O435" s="250">
        <f t="shared" si="160"/>
        <v>0</v>
      </c>
      <c r="P435" s="250">
        <f t="shared" si="160"/>
        <v>0</v>
      </c>
      <c r="Q435" s="250">
        <f t="shared" si="160"/>
        <v>0</v>
      </c>
      <c r="R435" s="250">
        <f t="shared" si="160"/>
        <v>0</v>
      </c>
      <c r="S435" s="250">
        <f t="shared" si="160"/>
        <v>0</v>
      </c>
      <c r="T435" s="250">
        <f t="shared" si="160"/>
        <v>0</v>
      </c>
      <c r="U435" s="250">
        <f t="shared" si="160"/>
        <v>0</v>
      </c>
      <c r="V435" s="26">
        <f t="shared" si="156"/>
        <v>0</v>
      </c>
      <c r="W435" s="250">
        <f t="shared" si="160"/>
        <v>0</v>
      </c>
      <c r="X435" s="250">
        <f t="shared" si="160"/>
        <v>130000</v>
      </c>
    </row>
    <row r="436" spans="1:24" x14ac:dyDescent="0.2">
      <c r="A436" s="572"/>
      <c r="B436" s="22"/>
      <c r="C436" s="23" t="s">
        <v>763</v>
      </c>
      <c r="D436" s="24" t="s">
        <v>764</v>
      </c>
      <c r="E436" s="25">
        <v>0</v>
      </c>
      <c r="F436" s="211">
        <v>0</v>
      </c>
      <c r="G436" s="212">
        <v>0</v>
      </c>
      <c r="H436" s="213">
        <v>0</v>
      </c>
      <c r="I436" s="214">
        <v>130000</v>
      </c>
      <c r="J436" s="213"/>
      <c r="K436" s="215">
        <f>I436+J436</f>
        <v>130000</v>
      </c>
      <c r="L436" s="216">
        <v>0</v>
      </c>
      <c r="M436" s="626"/>
      <c r="N436" s="217">
        <f>V436+W436+X436</f>
        <v>130000</v>
      </c>
      <c r="O436" s="26"/>
      <c r="P436" s="26"/>
      <c r="Q436" s="26"/>
      <c r="R436" s="26"/>
      <c r="S436" s="26"/>
      <c r="T436" s="26"/>
      <c r="U436" s="26"/>
      <c r="V436" s="26">
        <f t="shared" si="156"/>
        <v>0</v>
      </c>
      <c r="W436" s="26"/>
      <c r="X436" s="26">
        <f>I436</f>
        <v>130000</v>
      </c>
    </row>
    <row r="437" spans="1:24" ht="15" x14ac:dyDescent="0.2">
      <c r="A437" s="571"/>
      <c r="B437" s="15" t="s">
        <v>810</v>
      </c>
      <c r="C437" s="16"/>
      <c r="D437" s="17" t="s">
        <v>811</v>
      </c>
      <c r="E437" s="18">
        <f>E438+E439</f>
        <v>150000</v>
      </c>
      <c r="F437" s="18">
        <f>F438+F439</f>
        <v>0</v>
      </c>
      <c r="G437" s="218">
        <f t="shared" si="150"/>
        <v>0</v>
      </c>
      <c r="H437" s="246">
        <f>H438+H439</f>
        <v>150000</v>
      </c>
      <c r="I437" s="247">
        <f t="shared" ref="I437:X437" si="161">I438+I439</f>
        <v>150000</v>
      </c>
      <c r="J437" s="246">
        <f t="shared" si="161"/>
        <v>0</v>
      </c>
      <c r="K437" s="248">
        <f t="shared" si="161"/>
        <v>150000</v>
      </c>
      <c r="L437" s="219">
        <f>K437/E437</f>
        <v>1</v>
      </c>
      <c r="M437" s="249"/>
      <c r="N437" s="249">
        <f t="shared" si="161"/>
        <v>150000</v>
      </c>
      <c r="O437" s="250">
        <f t="shared" si="161"/>
        <v>150000</v>
      </c>
      <c r="P437" s="250">
        <f t="shared" si="161"/>
        <v>0</v>
      </c>
      <c r="Q437" s="250">
        <f t="shared" si="161"/>
        <v>0</v>
      </c>
      <c r="R437" s="250">
        <f t="shared" si="161"/>
        <v>0</v>
      </c>
      <c r="S437" s="250">
        <f t="shared" si="161"/>
        <v>0</v>
      </c>
      <c r="T437" s="250">
        <f t="shared" si="161"/>
        <v>0</v>
      </c>
      <c r="U437" s="250">
        <f t="shared" si="161"/>
        <v>0</v>
      </c>
      <c r="V437" s="26">
        <f t="shared" si="156"/>
        <v>150000</v>
      </c>
      <c r="W437" s="250">
        <f t="shared" si="161"/>
        <v>0</v>
      </c>
      <c r="X437" s="250">
        <f t="shared" si="161"/>
        <v>0</v>
      </c>
    </row>
    <row r="438" spans="1:24" ht="45" x14ac:dyDescent="0.2">
      <c r="A438" s="572"/>
      <c r="B438" s="22"/>
      <c r="C438" s="23" t="s">
        <v>812</v>
      </c>
      <c r="D438" s="24" t="s">
        <v>813</v>
      </c>
      <c r="E438" s="25" t="s">
        <v>814</v>
      </c>
      <c r="F438" s="211">
        <v>0</v>
      </c>
      <c r="G438" s="212">
        <f t="shared" si="150"/>
        <v>0</v>
      </c>
      <c r="H438" s="213">
        <v>58600</v>
      </c>
      <c r="I438" s="214"/>
      <c r="J438" s="213"/>
      <c r="K438" s="215">
        <f>I438+J438</f>
        <v>0</v>
      </c>
      <c r="L438" s="216">
        <f t="shared" si="149"/>
        <v>0</v>
      </c>
      <c r="M438" s="626"/>
      <c r="N438" s="217">
        <f>V438+W438+X438</f>
        <v>0</v>
      </c>
      <c r="O438" s="26"/>
      <c r="P438" s="26"/>
      <c r="Q438" s="26"/>
      <c r="R438" s="26"/>
      <c r="S438" s="26"/>
      <c r="T438" s="26"/>
      <c r="U438" s="26"/>
      <c r="V438" s="26">
        <f t="shared" si="156"/>
        <v>0</v>
      </c>
      <c r="W438" s="26"/>
      <c r="X438" s="26"/>
    </row>
    <row r="439" spans="1:24" ht="22.5" x14ac:dyDescent="0.2">
      <c r="A439" s="572"/>
      <c r="B439" s="22"/>
      <c r="C439" s="23" t="s">
        <v>427</v>
      </c>
      <c r="D439" s="24" t="s">
        <v>428</v>
      </c>
      <c r="E439" s="25" t="s">
        <v>815</v>
      </c>
      <c r="F439" s="211">
        <v>0</v>
      </c>
      <c r="G439" s="212">
        <f t="shared" si="150"/>
        <v>0</v>
      </c>
      <c r="H439" s="213">
        <v>91400</v>
      </c>
      <c r="I439" s="214">
        <v>150000</v>
      </c>
      <c r="J439" s="213"/>
      <c r="K439" s="215">
        <f>I439+J439</f>
        <v>150000</v>
      </c>
      <c r="L439" s="216">
        <f t="shared" si="149"/>
        <v>1.6411378555798688</v>
      </c>
      <c r="M439" s="626"/>
      <c r="N439" s="217">
        <f>V439+W439+X439</f>
        <v>150000</v>
      </c>
      <c r="O439" s="26">
        <v>150000</v>
      </c>
      <c r="P439" s="26"/>
      <c r="Q439" s="26"/>
      <c r="R439" s="26"/>
      <c r="S439" s="26"/>
      <c r="T439" s="26"/>
      <c r="U439" s="26"/>
      <c r="V439" s="26">
        <f t="shared" si="156"/>
        <v>150000</v>
      </c>
      <c r="W439" s="26"/>
      <c r="X439" s="26"/>
    </row>
    <row r="440" spans="1:24" ht="15" x14ac:dyDescent="0.2">
      <c r="A440" s="571"/>
      <c r="B440" s="15" t="s">
        <v>270</v>
      </c>
      <c r="C440" s="16"/>
      <c r="D440" s="17" t="s">
        <v>22</v>
      </c>
      <c r="E440" s="18">
        <f>E441+E442+E443+E444+E445+E446+E447+E448</f>
        <v>338752</v>
      </c>
      <c r="F440" s="18">
        <f>F441+F442+F443+F444+F445+F446+F447+F448</f>
        <v>204316.03000000006</v>
      </c>
      <c r="G440" s="218">
        <f t="shared" si="150"/>
        <v>0.60314339103532988</v>
      </c>
      <c r="H440" s="246">
        <f>H441+H442+H443+H444+H445+H446+H448+H447</f>
        <v>338752</v>
      </c>
      <c r="I440" s="247">
        <f>I441+I442+I443+I444+I445+I446+I448+I447</f>
        <v>14000</v>
      </c>
      <c r="J440" s="246">
        <f t="shared" ref="J440:X440" si="162">J441+J442+J443+J444+J445+J446+J448+J447</f>
        <v>0</v>
      </c>
      <c r="K440" s="248">
        <f t="shared" si="162"/>
        <v>14000</v>
      </c>
      <c r="L440" s="219">
        <f t="shared" si="149"/>
        <v>4.1328169280181369E-2</v>
      </c>
      <c r="M440" s="249"/>
      <c r="N440" s="249">
        <f t="shared" si="162"/>
        <v>14000</v>
      </c>
      <c r="O440" s="250">
        <f t="shared" si="162"/>
        <v>0</v>
      </c>
      <c r="P440" s="250">
        <f t="shared" si="162"/>
        <v>0</v>
      </c>
      <c r="Q440" s="250">
        <f t="shared" si="162"/>
        <v>0</v>
      </c>
      <c r="R440" s="250">
        <f t="shared" si="162"/>
        <v>0</v>
      </c>
      <c r="S440" s="250">
        <f t="shared" si="162"/>
        <v>0</v>
      </c>
      <c r="T440" s="250">
        <f t="shared" si="162"/>
        <v>0</v>
      </c>
      <c r="U440" s="250">
        <f t="shared" si="162"/>
        <v>0</v>
      </c>
      <c r="V440" s="26">
        <f t="shared" si="156"/>
        <v>0</v>
      </c>
      <c r="W440" s="250">
        <f t="shared" si="162"/>
        <v>0</v>
      </c>
      <c r="X440" s="250">
        <f t="shared" si="162"/>
        <v>14000</v>
      </c>
    </row>
    <row r="441" spans="1:24" x14ac:dyDescent="0.2">
      <c r="A441" s="572"/>
      <c r="B441" s="22"/>
      <c r="C441" s="23" t="s">
        <v>763</v>
      </c>
      <c r="D441" s="24" t="s">
        <v>764</v>
      </c>
      <c r="E441" s="25" t="s">
        <v>816</v>
      </c>
      <c r="F441" s="211">
        <v>198956.31</v>
      </c>
      <c r="G441" s="212">
        <f t="shared" si="150"/>
        <v>0.60289790909090912</v>
      </c>
      <c r="H441" s="213">
        <v>330000</v>
      </c>
      <c r="I441" s="214"/>
      <c r="J441" s="213"/>
      <c r="K441" s="215">
        <f>I441+J441</f>
        <v>0</v>
      </c>
      <c r="L441" s="216">
        <f t="shared" si="149"/>
        <v>0</v>
      </c>
      <c r="M441" s="626"/>
      <c r="N441" s="217">
        <f>V441+W441+X441</f>
        <v>0</v>
      </c>
      <c r="O441" s="26"/>
      <c r="P441" s="26"/>
      <c r="Q441" s="26"/>
      <c r="R441" s="26"/>
      <c r="S441" s="26"/>
      <c r="T441" s="26"/>
      <c r="U441" s="26"/>
      <c r="V441" s="26">
        <f t="shared" si="156"/>
        <v>0</v>
      </c>
      <c r="W441" s="26"/>
      <c r="X441" s="26"/>
    </row>
    <row r="442" spans="1:24" x14ac:dyDescent="0.2">
      <c r="A442" s="572"/>
      <c r="B442" s="22"/>
      <c r="C442" s="23" t="s">
        <v>373</v>
      </c>
      <c r="D442" s="24" t="s">
        <v>374</v>
      </c>
      <c r="E442" s="25" t="s">
        <v>817</v>
      </c>
      <c r="F442" s="211">
        <v>185.51</v>
      </c>
      <c r="G442" s="212">
        <f t="shared" si="150"/>
        <v>0.53927325581395347</v>
      </c>
      <c r="H442" s="25" t="s">
        <v>817</v>
      </c>
      <c r="I442" s="214"/>
      <c r="J442" s="213"/>
      <c r="K442" s="215">
        <f t="shared" ref="K442:K448" si="163">I442+J442</f>
        <v>0</v>
      </c>
      <c r="L442" s="216">
        <f t="shared" si="149"/>
        <v>0</v>
      </c>
      <c r="M442" s="626"/>
      <c r="N442" s="217">
        <f t="shared" ref="N442:N448" si="164">V442+W442+X442</f>
        <v>0</v>
      </c>
      <c r="O442" s="26"/>
      <c r="P442" s="26"/>
      <c r="Q442" s="26"/>
      <c r="R442" s="26"/>
      <c r="S442" s="26"/>
      <c r="T442" s="26"/>
      <c r="U442" s="26"/>
      <c r="V442" s="26">
        <f t="shared" si="156"/>
        <v>0</v>
      </c>
      <c r="W442" s="26"/>
      <c r="X442" s="26"/>
    </row>
    <row r="443" spans="1:24" x14ac:dyDescent="0.2">
      <c r="A443" s="572"/>
      <c r="B443" s="22"/>
      <c r="C443" s="23" t="s">
        <v>376</v>
      </c>
      <c r="D443" s="24" t="s">
        <v>377</v>
      </c>
      <c r="E443" s="25" t="s">
        <v>818</v>
      </c>
      <c r="F443" s="211">
        <v>32.39</v>
      </c>
      <c r="G443" s="212">
        <f t="shared" si="150"/>
        <v>0.54373006546919589</v>
      </c>
      <c r="H443" s="25" t="s">
        <v>818</v>
      </c>
      <c r="I443" s="214"/>
      <c r="J443" s="213"/>
      <c r="K443" s="215">
        <f t="shared" si="163"/>
        <v>0</v>
      </c>
      <c r="L443" s="216">
        <f t="shared" si="149"/>
        <v>0</v>
      </c>
      <c r="M443" s="626"/>
      <c r="N443" s="217">
        <f t="shared" si="164"/>
        <v>0</v>
      </c>
      <c r="O443" s="26"/>
      <c r="P443" s="26"/>
      <c r="Q443" s="26"/>
      <c r="R443" s="26"/>
      <c r="S443" s="26"/>
      <c r="T443" s="26"/>
      <c r="U443" s="26"/>
      <c r="V443" s="26">
        <f t="shared" si="156"/>
        <v>0</v>
      </c>
      <c r="W443" s="26"/>
      <c r="X443" s="26"/>
    </row>
    <row r="444" spans="1:24" x14ac:dyDescent="0.2">
      <c r="A444" s="572"/>
      <c r="B444" s="22"/>
      <c r="C444" s="23" t="s">
        <v>379</v>
      </c>
      <c r="D444" s="24" t="s">
        <v>380</v>
      </c>
      <c r="E444" s="25" t="s">
        <v>819</v>
      </c>
      <c r="F444" s="211">
        <v>4.54</v>
      </c>
      <c r="G444" s="212">
        <f t="shared" si="150"/>
        <v>0.53855278766310799</v>
      </c>
      <c r="H444" s="25" t="s">
        <v>819</v>
      </c>
      <c r="I444" s="214"/>
      <c r="J444" s="213"/>
      <c r="K444" s="215">
        <f t="shared" si="163"/>
        <v>0</v>
      </c>
      <c r="L444" s="216">
        <f t="shared" si="149"/>
        <v>0</v>
      </c>
      <c r="M444" s="626"/>
      <c r="N444" s="217">
        <f t="shared" si="164"/>
        <v>0</v>
      </c>
      <c r="O444" s="26"/>
      <c r="P444" s="26"/>
      <c r="Q444" s="26"/>
      <c r="R444" s="26"/>
      <c r="S444" s="26"/>
      <c r="T444" s="26"/>
      <c r="U444" s="26"/>
      <c r="V444" s="26">
        <f t="shared" si="156"/>
        <v>0</v>
      </c>
      <c r="W444" s="26"/>
      <c r="X444" s="26"/>
    </row>
    <row r="445" spans="1:24" hidden="1" x14ac:dyDescent="0.2">
      <c r="A445" s="572"/>
      <c r="B445" s="22"/>
      <c r="C445" s="23" t="s">
        <v>398</v>
      </c>
      <c r="D445" s="24" t="s">
        <v>399</v>
      </c>
      <c r="E445" s="25" t="s">
        <v>365</v>
      </c>
      <c r="F445" s="211">
        <v>0</v>
      </c>
      <c r="G445" s="212">
        <v>0</v>
      </c>
      <c r="H445" s="25" t="s">
        <v>365</v>
      </c>
      <c r="I445" s="214"/>
      <c r="J445" s="213"/>
      <c r="K445" s="215">
        <f t="shared" si="163"/>
        <v>0</v>
      </c>
      <c r="L445" s="216">
        <v>0</v>
      </c>
      <c r="M445" s="626"/>
      <c r="N445" s="217">
        <f t="shared" si="164"/>
        <v>0</v>
      </c>
      <c r="O445" s="26"/>
      <c r="P445" s="26"/>
      <c r="Q445" s="26"/>
      <c r="R445" s="26"/>
      <c r="S445" s="26"/>
      <c r="T445" s="26"/>
      <c r="U445" s="26"/>
      <c r="V445" s="26">
        <f t="shared" si="156"/>
        <v>0</v>
      </c>
      <c r="W445" s="26"/>
      <c r="X445" s="26"/>
    </row>
    <row r="446" spans="1:24" x14ac:dyDescent="0.2">
      <c r="A446" s="572"/>
      <c r="B446" s="22"/>
      <c r="C446" s="23" t="s">
        <v>382</v>
      </c>
      <c r="D446" s="24" t="s">
        <v>383</v>
      </c>
      <c r="E446" s="25" t="s">
        <v>820</v>
      </c>
      <c r="F446" s="211">
        <v>3561.89</v>
      </c>
      <c r="G446" s="212">
        <f t="shared" si="150"/>
        <v>0.60991267123287674</v>
      </c>
      <c r="H446" s="25" t="s">
        <v>820</v>
      </c>
      <c r="I446" s="214">
        <v>6000</v>
      </c>
      <c r="J446" s="213"/>
      <c r="K446" s="215">
        <f t="shared" si="163"/>
        <v>6000</v>
      </c>
      <c r="L446" s="216">
        <f t="shared" si="149"/>
        <v>1.0273972602739727</v>
      </c>
      <c r="M446" s="626"/>
      <c r="N446" s="217">
        <f t="shared" si="164"/>
        <v>6000</v>
      </c>
      <c r="O446" s="26"/>
      <c r="P446" s="26"/>
      <c r="Q446" s="26"/>
      <c r="R446" s="26"/>
      <c r="S446" s="26"/>
      <c r="T446" s="26"/>
      <c r="U446" s="26"/>
      <c r="V446" s="26">
        <f t="shared" si="156"/>
        <v>0</v>
      </c>
      <c r="W446" s="26"/>
      <c r="X446" s="211">
        <v>6000</v>
      </c>
    </row>
    <row r="447" spans="1:24" x14ac:dyDescent="0.2">
      <c r="A447" s="572"/>
      <c r="B447" s="22"/>
      <c r="C447" s="23" t="s">
        <v>386</v>
      </c>
      <c r="D447" s="24" t="s">
        <v>387</v>
      </c>
      <c r="E447" s="25" t="s">
        <v>504</v>
      </c>
      <c r="F447" s="211">
        <v>1575.39</v>
      </c>
      <c r="G447" s="212">
        <f t="shared" si="150"/>
        <v>0.63015600000000005</v>
      </c>
      <c r="H447" s="25" t="s">
        <v>504</v>
      </c>
      <c r="I447" s="214">
        <v>8000</v>
      </c>
      <c r="J447" s="213"/>
      <c r="K447" s="215">
        <f t="shared" si="163"/>
        <v>8000</v>
      </c>
      <c r="L447" s="216">
        <f t="shared" si="149"/>
        <v>3.2</v>
      </c>
      <c r="M447" s="626"/>
      <c r="N447" s="217">
        <f t="shared" si="164"/>
        <v>8000</v>
      </c>
      <c r="O447" s="26"/>
      <c r="P447" s="26"/>
      <c r="Q447" s="26"/>
      <c r="R447" s="26"/>
      <c r="S447" s="26"/>
      <c r="T447" s="26"/>
      <c r="U447" s="26"/>
      <c r="V447" s="26">
        <f t="shared" si="156"/>
        <v>0</v>
      </c>
      <c r="W447" s="26"/>
      <c r="X447" s="211">
        <v>8000</v>
      </c>
    </row>
    <row r="448" spans="1:24" ht="22.5" hidden="1" x14ac:dyDescent="0.2">
      <c r="A448" s="572"/>
      <c r="B448" s="22"/>
      <c r="C448" s="23" t="s">
        <v>475</v>
      </c>
      <c r="D448" s="24" t="s">
        <v>476</v>
      </c>
      <c r="E448" s="25" t="s">
        <v>365</v>
      </c>
      <c r="F448" s="211">
        <v>0</v>
      </c>
      <c r="G448" s="212">
        <v>0</v>
      </c>
      <c r="H448" s="213">
        <v>0</v>
      </c>
      <c r="I448" s="214"/>
      <c r="J448" s="213"/>
      <c r="K448" s="215">
        <f t="shared" si="163"/>
        <v>0</v>
      </c>
      <c r="L448" s="216">
        <v>0</v>
      </c>
      <c r="M448" s="626"/>
      <c r="N448" s="217">
        <f t="shared" si="164"/>
        <v>0</v>
      </c>
      <c r="O448" s="26"/>
      <c r="P448" s="26"/>
      <c r="Q448" s="26"/>
      <c r="R448" s="26"/>
      <c r="S448" s="26"/>
      <c r="T448" s="26"/>
      <c r="U448" s="26"/>
      <c r="V448" s="26">
        <f t="shared" si="156"/>
        <v>0</v>
      </c>
      <c r="W448" s="26"/>
      <c r="X448" s="26"/>
    </row>
    <row r="449" spans="1:24" ht="22.5" x14ac:dyDescent="0.2">
      <c r="A449" s="574" t="s">
        <v>821</v>
      </c>
      <c r="B449" s="39"/>
      <c r="C449" s="39"/>
      <c r="D449" s="40" t="s">
        <v>822</v>
      </c>
      <c r="E449" s="41">
        <f>E452+E450</f>
        <v>32000</v>
      </c>
      <c r="F449" s="41">
        <f>F452+F450</f>
        <v>29300</v>
      </c>
      <c r="G449" s="220">
        <f t="shared" si="150"/>
        <v>0.91562500000000002</v>
      </c>
      <c r="H449" s="241">
        <f>H452+H451</f>
        <v>29300</v>
      </c>
      <c r="I449" s="242">
        <f t="shared" ref="I449:X449" si="165">I452+I451</f>
        <v>40000</v>
      </c>
      <c r="J449" s="241">
        <f t="shared" si="165"/>
        <v>4000</v>
      </c>
      <c r="K449" s="243">
        <f t="shared" si="165"/>
        <v>44000</v>
      </c>
      <c r="L449" s="221">
        <f t="shared" si="149"/>
        <v>1.375</v>
      </c>
      <c r="M449" s="244"/>
      <c r="N449" s="244">
        <f t="shared" si="165"/>
        <v>44000</v>
      </c>
      <c r="O449" s="245">
        <f t="shared" si="165"/>
        <v>40000</v>
      </c>
      <c r="P449" s="245">
        <f t="shared" si="165"/>
        <v>0</v>
      </c>
      <c r="Q449" s="245">
        <f t="shared" si="165"/>
        <v>0</v>
      </c>
      <c r="R449" s="245">
        <f t="shared" si="165"/>
        <v>4000</v>
      </c>
      <c r="S449" s="245">
        <f t="shared" si="165"/>
        <v>0</v>
      </c>
      <c r="T449" s="245">
        <f t="shared" si="165"/>
        <v>0</v>
      </c>
      <c r="U449" s="245">
        <f t="shared" si="165"/>
        <v>0</v>
      </c>
      <c r="V449" s="230">
        <f t="shared" si="156"/>
        <v>44000</v>
      </c>
      <c r="W449" s="245">
        <f t="shared" si="165"/>
        <v>0</v>
      </c>
      <c r="X449" s="245">
        <f t="shared" si="165"/>
        <v>0</v>
      </c>
    </row>
    <row r="450" spans="1:24" ht="22.5" x14ac:dyDescent="0.2">
      <c r="A450" s="636"/>
      <c r="B450" s="253" t="s">
        <v>823</v>
      </c>
      <c r="C450" s="253"/>
      <c r="D450" s="254" t="s">
        <v>999</v>
      </c>
      <c r="E450" s="255">
        <f>E451</f>
        <v>0</v>
      </c>
      <c r="F450" s="255">
        <f t="shared" ref="F450:X450" si="166">F451</f>
        <v>0</v>
      </c>
      <c r="G450" s="256">
        <v>0</v>
      </c>
      <c r="H450" s="255">
        <f t="shared" si="166"/>
        <v>0</v>
      </c>
      <c r="I450" s="257">
        <f t="shared" si="166"/>
        <v>40000</v>
      </c>
      <c r="J450" s="258">
        <f t="shared" si="166"/>
        <v>0</v>
      </c>
      <c r="K450" s="259">
        <f t="shared" si="166"/>
        <v>40000</v>
      </c>
      <c r="L450" s="219">
        <v>0</v>
      </c>
      <c r="M450" s="260"/>
      <c r="N450" s="261">
        <f t="shared" si="166"/>
        <v>40000</v>
      </c>
      <c r="O450" s="262">
        <f t="shared" si="166"/>
        <v>40000</v>
      </c>
      <c r="P450" s="262">
        <f t="shared" si="166"/>
        <v>0</v>
      </c>
      <c r="Q450" s="262">
        <f t="shared" si="166"/>
        <v>0</v>
      </c>
      <c r="R450" s="262">
        <f t="shared" si="166"/>
        <v>0</v>
      </c>
      <c r="S450" s="262">
        <f t="shared" si="166"/>
        <v>0</v>
      </c>
      <c r="T450" s="262">
        <f t="shared" si="166"/>
        <v>0</v>
      </c>
      <c r="U450" s="262">
        <f t="shared" si="166"/>
        <v>0</v>
      </c>
      <c r="V450" s="26">
        <f t="shared" si="156"/>
        <v>40000</v>
      </c>
      <c r="W450" s="262">
        <f t="shared" si="166"/>
        <v>0</v>
      </c>
      <c r="X450" s="262">
        <f t="shared" si="166"/>
        <v>0</v>
      </c>
    </row>
    <row r="451" spans="1:24" ht="56.25" x14ac:dyDescent="0.2">
      <c r="A451" s="636"/>
      <c r="B451" s="263"/>
      <c r="C451" s="23" t="s">
        <v>18</v>
      </c>
      <c r="D451" s="24" t="s">
        <v>412</v>
      </c>
      <c r="E451" s="264">
        <v>0</v>
      </c>
      <c r="F451" s="264">
        <v>0</v>
      </c>
      <c r="G451" s="265">
        <v>0</v>
      </c>
      <c r="H451" s="266">
        <v>0</v>
      </c>
      <c r="I451" s="267">
        <v>40000</v>
      </c>
      <c r="J451" s="266"/>
      <c r="K451" s="268">
        <f>I451+J451</f>
        <v>40000</v>
      </c>
      <c r="L451" s="216">
        <v>0</v>
      </c>
      <c r="M451" s="626"/>
      <c r="N451" s="217">
        <f>V451+W451+X451</f>
        <v>40000</v>
      </c>
      <c r="O451" s="26">
        <v>40000</v>
      </c>
      <c r="P451" s="26"/>
      <c r="Q451" s="26"/>
      <c r="R451" s="26"/>
      <c r="S451" s="26"/>
      <c r="T451" s="26"/>
      <c r="U451" s="26"/>
      <c r="V451" s="26">
        <f t="shared" si="156"/>
        <v>40000</v>
      </c>
      <c r="W451" s="26"/>
      <c r="X451" s="26"/>
    </row>
    <row r="452" spans="1:24" ht="15" x14ac:dyDescent="0.2">
      <c r="A452" s="571"/>
      <c r="B452" s="15" t="s">
        <v>824</v>
      </c>
      <c r="C452" s="16"/>
      <c r="D452" s="17" t="s">
        <v>22</v>
      </c>
      <c r="E452" s="18">
        <f>E453+E454</f>
        <v>32000</v>
      </c>
      <c r="F452" s="18">
        <f>F453+F454</f>
        <v>29300</v>
      </c>
      <c r="G452" s="218">
        <f t="shared" si="150"/>
        <v>0.91562500000000002</v>
      </c>
      <c r="H452" s="246">
        <f>H453+H454</f>
        <v>29300</v>
      </c>
      <c r="I452" s="247">
        <f t="shared" ref="I452:X452" si="167">I453+I454</f>
        <v>0</v>
      </c>
      <c r="J452" s="246">
        <f t="shared" si="167"/>
        <v>4000</v>
      </c>
      <c r="K452" s="248">
        <f t="shared" si="167"/>
        <v>4000</v>
      </c>
      <c r="L452" s="269">
        <v>0</v>
      </c>
      <c r="M452" s="249"/>
      <c r="N452" s="249">
        <f t="shared" si="167"/>
        <v>4000</v>
      </c>
      <c r="O452" s="250">
        <f t="shared" si="167"/>
        <v>0</v>
      </c>
      <c r="P452" s="250">
        <f t="shared" si="167"/>
        <v>0</v>
      </c>
      <c r="Q452" s="250">
        <f t="shared" si="167"/>
        <v>0</v>
      </c>
      <c r="R452" s="250">
        <f t="shared" si="167"/>
        <v>4000</v>
      </c>
      <c r="S452" s="250">
        <f t="shared" si="167"/>
        <v>0</v>
      </c>
      <c r="T452" s="250">
        <f t="shared" si="167"/>
        <v>0</v>
      </c>
      <c r="U452" s="250">
        <f t="shared" si="167"/>
        <v>0</v>
      </c>
      <c r="V452" s="26">
        <f t="shared" si="156"/>
        <v>4000</v>
      </c>
      <c r="W452" s="250">
        <f t="shared" si="167"/>
        <v>0</v>
      </c>
      <c r="X452" s="250">
        <f t="shared" si="167"/>
        <v>0</v>
      </c>
    </row>
    <row r="453" spans="1:24" ht="67.5" x14ac:dyDescent="0.2">
      <c r="A453" s="572"/>
      <c r="B453" s="22"/>
      <c r="C453" s="23" t="s">
        <v>85</v>
      </c>
      <c r="D453" s="24" t="s">
        <v>522</v>
      </c>
      <c r="E453" s="25" t="s">
        <v>48</v>
      </c>
      <c r="F453" s="211">
        <v>9300</v>
      </c>
      <c r="G453" s="212">
        <f t="shared" si="150"/>
        <v>0.77500000000000002</v>
      </c>
      <c r="H453" s="213">
        <v>9300</v>
      </c>
      <c r="I453" s="214"/>
      <c r="J453" s="213">
        <v>4000</v>
      </c>
      <c r="K453" s="215">
        <f>I453+J453</f>
        <v>4000</v>
      </c>
      <c r="L453" s="216">
        <f t="shared" si="149"/>
        <v>0.33333333333333331</v>
      </c>
      <c r="M453" s="626"/>
      <c r="N453" s="217">
        <f>V453+W453+X453</f>
        <v>4000</v>
      </c>
      <c r="O453" s="26"/>
      <c r="P453" s="26"/>
      <c r="Q453" s="26"/>
      <c r="R453" s="26">
        <v>4000</v>
      </c>
      <c r="S453" s="26"/>
      <c r="T453" s="26"/>
      <c r="U453" s="26"/>
      <c r="V453" s="26">
        <f t="shared" si="156"/>
        <v>4000</v>
      </c>
      <c r="W453" s="26"/>
      <c r="X453" s="26"/>
    </row>
    <row r="454" spans="1:24" ht="22.5" x14ac:dyDescent="0.2">
      <c r="A454" s="572"/>
      <c r="B454" s="22"/>
      <c r="C454" s="23" t="s">
        <v>825</v>
      </c>
      <c r="D454" s="24" t="s">
        <v>826</v>
      </c>
      <c r="E454" s="25" t="s">
        <v>31</v>
      </c>
      <c r="F454" s="211">
        <v>20000</v>
      </c>
      <c r="G454" s="212">
        <f t="shared" si="150"/>
        <v>1</v>
      </c>
      <c r="H454" s="213">
        <v>20000</v>
      </c>
      <c r="I454" s="214"/>
      <c r="J454" s="213"/>
      <c r="K454" s="215">
        <f>I454+J454</f>
        <v>0</v>
      </c>
      <c r="L454" s="216">
        <f t="shared" si="149"/>
        <v>0</v>
      </c>
      <c r="M454" s="626"/>
      <c r="N454" s="217">
        <f>V454+W454+X454</f>
        <v>0</v>
      </c>
      <c r="O454" s="26"/>
      <c r="P454" s="26"/>
      <c r="Q454" s="26"/>
      <c r="R454" s="26"/>
      <c r="S454" s="26"/>
      <c r="T454" s="26"/>
      <c r="U454" s="26"/>
      <c r="V454" s="26">
        <f t="shared" si="156"/>
        <v>0</v>
      </c>
      <c r="W454" s="26"/>
      <c r="X454" s="26"/>
    </row>
    <row r="455" spans="1:24" x14ac:dyDescent="0.2">
      <c r="A455" s="574" t="s">
        <v>273</v>
      </c>
      <c r="B455" s="39"/>
      <c r="C455" s="39"/>
      <c r="D455" s="40" t="s">
        <v>274</v>
      </c>
      <c r="E455" s="41">
        <f>E456+E468+E473+E471</f>
        <v>812995</v>
      </c>
      <c r="F455" s="41">
        <f>F456+F468+F473+F471</f>
        <v>636957.80000000005</v>
      </c>
      <c r="G455" s="220">
        <f t="shared" si="150"/>
        <v>0.78347074705256492</v>
      </c>
      <c r="H455" s="241">
        <f>H456+H468+H473+H471</f>
        <v>772633</v>
      </c>
      <c r="I455" s="242">
        <f>I456+I468+I473+I471</f>
        <v>1013155</v>
      </c>
      <c r="J455" s="242">
        <f t="shared" ref="J455:K455" si="168">J456+J468+J473+J471</f>
        <v>9600</v>
      </c>
      <c r="K455" s="243">
        <f t="shared" si="168"/>
        <v>1022755</v>
      </c>
      <c r="L455" s="221">
        <f t="shared" si="149"/>
        <v>1.2580089668448144</v>
      </c>
      <c r="M455" s="244"/>
      <c r="N455" s="244">
        <f>N456+N468+N473+N471</f>
        <v>1022755</v>
      </c>
      <c r="O455" s="244">
        <f t="shared" ref="O455:X455" si="169">O456+O468+O473+O471</f>
        <v>0</v>
      </c>
      <c r="P455" s="244">
        <f t="shared" si="169"/>
        <v>0</v>
      </c>
      <c r="Q455" s="244">
        <f t="shared" si="169"/>
        <v>0</v>
      </c>
      <c r="R455" s="244">
        <f t="shared" si="169"/>
        <v>0</v>
      </c>
      <c r="S455" s="244">
        <f t="shared" si="169"/>
        <v>0</v>
      </c>
      <c r="T455" s="244">
        <f t="shared" si="169"/>
        <v>0</v>
      </c>
      <c r="U455" s="244">
        <f t="shared" si="169"/>
        <v>0</v>
      </c>
      <c r="V455" s="244">
        <f t="shared" si="169"/>
        <v>0</v>
      </c>
      <c r="W455" s="244">
        <f t="shared" si="169"/>
        <v>1022755</v>
      </c>
      <c r="X455" s="244">
        <f t="shared" si="169"/>
        <v>0</v>
      </c>
    </row>
    <row r="456" spans="1:24" ht="15" x14ac:dyDescent="0.2">
      <c r="A456" s="571"/>
      <c r="B456" s="15" t="s">
        <v>827</v>
      </c>
      <c r="C456" s="16"/>
      <c r="D456" s="17" t="s">
        <v>828</v>
      </c>
      <c r="E456" s="18">
        <f>E457+E458+E459+E460+E461+E462+E464+E465+E466+E467+E463</f>
        <v>555404</v>
      </c>
      <c r="F456" s="18">
        <f>F457+F458+F459+F460+F461+F462+F464+F465+F466+F467+F463</f>
        <v>445673.8</v>
      </c>
      <c r="G456" s="218">
        <f t="shared" si="150"/>
        <v>0.80243174337959389</v>
      </c>
      <c r="H456" s="246">
        <f>H457+H458+H459+H460+H461+H462+H463+H464+H465+H466+H467</f>
        <v>555404</v>
      </c>
      <c r="I456" s="247">
        <f t="shared" ref="I456:X456" si="170">I457+I458+I459+I460+I461+I462+I463+I464+I465+I466+I467</f>
        <v>913155</v>
      </c>
      <c r="J456" s="246">
        <f t="shared" si="170"/>
        <v>0</v>
      </c>
      <c r="K456" s="248">
        <f t="shared" si="170"/>
        <v>913155</v>
      </c>
      <c r="L456" s="219">
        <f t="shared" si="149"/>
        <v>1.6441275179869068</v>
      </c>
      <c r="M456" s="249"/>
      <c r="N456" s="249">
        <f t="shared" si="170"/>
        <v>913155</v>
      </c>
      <c r="O456" s="250">
        <f t="shared" si="170"/>
        <v>0</v>
      </c>
      <c r="P456" s="250">
        <f t="shared" si="170"/>
        <v>0</v>
      </c>
      <c r="Q456" s="250">
        <f t="shared" si="170"/>
        <v>0</v>
      </c>
      <c r="R456" s="250">
        <f t="shared" si="170"/>
        <v>0</v>
      </c>
      <c r="S456" s="250">
        <f t="shared" si="170"/>
        <v>0</v>
      </c>
      <c r="T456" s="250">
        <f t="shared" si="170"/>
        <v>0</v>
      </c>
      <c r="U456" s="250">
        <f t="shared" si="170"/>
        <v>0</v>
      </c>
      <c r="V456" s="124">
        <f t="shared" si="156"/>
        <v>0</v>
      </c>
      <c r="W456" s="250">
        <f t="shared" si="170"/>
        <v>913155</v>
      </c>
      <c r="X456" s="250">
        <f t="shared" si="170"/>
        <v>0</v>
      </c>
    </row>
    <row r="457" spans="1:24" ht="22.5" x14ac:dyDescent="0.2">
      <c r="A457" s="572"/>
      <c r="B457" s="22"/>
      <c r="C457" s="23" t="s">
        <v>488</v>
      </c>
      <c r="D457" s="24" t="s">
        <v>489</v>
      </c>
      <c r="E457" s="25" t="s">
        <v>829</v>
      </c>
      <c r="F457" s="211">
        <v>287</v>
      </c>
      <c r="G457" s="212">
        <f t="shared" si="150"/>
        <v>0.26186131386861317</v>
      </c>
      <c r="H457" s="25" t="s">
        <v>829</v>
      </c>
      <c r="I457" s="214">
        <v>1834</v>
      </c>
      <c r="J457" s="213"/>
      <c r="K457" s="215">
        <f>I457+J457</f>
        <v>1834</v>
      </c>
      <c r="L457" s="216">
        <f t="shared" si="149"/>
        <v>1.6733576642335766</v>
      </c>
      <c r="M457" s="626"/>
      <c r="N457" s="217">
        <f>V457+W457+X457</f>
        <v>1834</v>
      </c>
      <c r="O457" s="26"/>
      <c r="P457" s="26"/>
      <c r="Q457" s="26"/>
      <c r="R457" s="26"/>
      <c r="S457" s="26"/>
      <c r="T457" s="26"/>
      <c r="U457" s="26"/>
      <c r="V457" s="26">
        <f t="shared" si="156"/>
        <v>0</v>
      </c>
      <c r="W457" s="211">
        <v>1834</v>
      </c>
      <c r="X457" s="26"/>
    </row>
    <row r="458" spans="1:24" x14ac:dyDescent="0.2">
      <c r="A458" s="572"/>
      <c r="B458" s="22"/>
      <c r="C458" s="23" t="s">
        <v>373</v>
      </c>
      <c r="D458" s="24" t="s">
        <v>374</v>
      </c>
      <c r="E458" s="25" t="s">
        <v>830</v>
      </c>
      <c r="F458" s="211">
        <v>319412.83</v>
      </c>
      <c r="G458" s="212">
        <f t="shared" si="150"/>
        <v>0.80362747500527099</v>
      </c>
      <c r="H458" s="25" t="s">
        <v>830</v>
      </c>
      <c r="I458" s="214">
        <v>648961</v>
      </c>
      <c r="J458" s="213"/>
      <c r="K458" s="215">
        <f t="shared" ref="K458:K467" si="171">I458+J458</f>
        <v>648961</v>
      </c>
      <c r="L458" s="216">
        <f t="shared" si="149"/>
        <v>1.6327549829695183</v>
      </c>
      <c r="M458" s="626"/>
      <c r="N458" s="217">
        <f t="shared" ref="N458:N467" si="172">V458+W458+X458</f>
        <v>648961</v>
      </c>
      <c r="O458" s="26"/>
      <c r="P458" s="26"/>
      <c r="Q458" s="26"/>
      <c r="R458" s="26"/>
      <c r="S458" s="26"/>
      <c r="T458" s="26"/>
      <c r="U458" s="26"/>
      <c r="V458" s="26">
        <f t="shared" si="156"/>
        <v>0</v>
      </c>
      <c r="W458" s="211">
        <v>648961</v>
      </c>
      <c r="X458" s="26"/>
    </row>
    <row r="459" spans="1:24" x14ac:dyDescent="0.2">
      <c r="A459" s="572"/>
      <c r="B459" s="22"/>
      <c r="C459" s="23" t="s">
        <v>466</v>
      </c>
      <c r="D459" s="24" t="s">
        <v>467</v>
      </c>
      <c r="E459" s="25" t="s">
        <v>831</v>
      </c>
      <c r="F459" s="211">
        <v>22374.83</v>
      </c>
      <c r="G459" s="212">
        <f t="shared" si="150"/>
        <v>1</v>
      </c>
      <c r="H459" s="25" t="s">
        <v>831</v>
      </c>
      <c r="I459" s="214">
        <v>53792</v>
      </c>
      <c r="J459" s="213"/>
      <c r="K459" s="215">
        <f t="shared" si="171"/>
        <v>53792</v>
      </c>
      <c r="L459" s="216">
        <f t="shared" si="149"/>
        <v>2.4041299978592012</v>
      </c>
      <c r="M459" s="626"/>
      <c r="N459" s="217">
        <f t="shared" si="172"/>
        <v>53792</v>
      </c>
      <c r="O459" s="26"/>
      <c r="P459" s="26"/>
      <c r="Q459" s="26"/>
      <c r="R459" s="26"/>
      <c r="S459" s="26"/>
      <c r="T459" s="26"/>
      <c r="U459" s="26"/>
      <c r="V459" s="26">
        <f t="shared" si="156"/>
        <v>0</v>
      </c>
      <c r="W459" s="211">
        <v>53792</v>
      </c>
      <c r="X459" s="26"/>
    </row>
    <row r="460" spans="1:24" x14ac:dyDescent="0.2">
      <c r="A460" s="572"/>
      <c r="B460" s="22"/>
      <c r="C460" s="23" t="s">
        <v>376</v>
      </c>
      <c r="D460" s="24" t="s">
        <v>377</v>
      </c>
      <c r="E460" s="25" t="s">
        <v>832</v>
      </c>
      <c r="F460" s="211">
        <v>57083.83</v>
      </c>
      <c r="G460" s="212">
        <f t="shared" si="150"/>
        <v>0.80586846901052123</v>
      </c>
      <c r="H460" s="25" t="s">
        <v>832</v>
      </c>
      <c r="I460" s="214">
        <v>119808</v>
      </c>
      <c r="J460" s="213"/>
      <c r="K460" s="215">
        <f t="shared" si="171"/>
        <v>119808</v>
      </c>
      <c r="L460" s="216">
        <f t="shared" si="149"/>
        <v>1.6913632027706011</v>
      </c>
      <c r="M460" s="626"/>
      <c r="N460" s="217">
        <f t="shared" si="172"/>
        <v>119808</v>
      </c>
      <c r="O460" s="26"/>
      <c r="P460" s="26"/>
      <c r="Q460" s="26"/>
      <c r="R460" s="26"/>
      <c r="S460" s="26"/>
      <c r="T460" s="26"/>
      <c r="U460" s="26"/>
      <c r="V460" s="26">
        <f t="shared" si="156"/>
        <v>0</v>
      </c>
      <c r="W460" s="211">
        <v>119808</v>
      </c>
      <c r="X460" s="26"/>
    </row>
    <row r="461" spans="1:24" x14ac:dyDescent="0.2">
      <c r="A461" s="572"/>
      <c r="B461" s="22"/>
      <c r="C461" s="23" t="s">
        <v>379</v>
      </c>
      <c r="D461" s="24" t="s">
        <v>380</v>
      </c>
      <c r="E461" s="25" t="s">
        <v>833</v>
      </c>
      <c r="F461" s="211">
        <v>7247.1</v>
      </c>
      <c r="G461" s="212">
        <f t="shared" si="150"/>
        <v>0.76671039546348996</v>
      </c>
      <c r="H461" s="25" t="s">
        <v>833</v>
      </c>
      <c r="I461" s="214">
        <v>17105</v>
      </c>
      <c r="J461" s="213"/>
      <c r="K461" s="215">
        <f t="shared" si="171"/>
        <v>17105</v>
      </c>
      <c r="L461" s="216">
        <f t="shared" si="149"/>
        <v>1.8096316201519222</v>
      </c>
      <c r="M461" s="626"/>
      <c r="N461" s="217">
        <f t="shared" si="172"/>
        <v>17105</v>
      </c>
      <c r="O461" s="26"/>
      <c r="P461" s="26"/>
      <c r="Q461" s="26"/>
      <c r="R461" s="26"/>
      <c r="S461" s="26"/>
      <c r="T461" s="26"/>
      <c r="U461" s="26"/>
      <c r="V461" s="26">
        <f t="shared" si="156"/>
        <v>0</v>
      </c>
      <c r="W461" s="211">
        <v>17105</v>
      </c>
      <c r="X461" s="26"/>
    </row>
    <row r="462" spans="1:24" x14ac:dyDescent="0.2">
      <c r="A462" s="572"/>
      <c r="B462" s="22"/>
      <c r="C462" s="23" t="s">
        <v>382</v>
      </c>
      <c r="D462" s="24" t="s">
        <v>383</v>
      </c>
      <c r="E462" s="25" t="s">
        <v>834</v>
      </c>
      <c r="F462" s="211">
        <v>5372.95</v>
      </c>
      <c r="G462" s="212">
        <f t="shared" si="150"/>
        <v>0.52675980392156863</v>
      </c>
      <c r="H462" s="25" t="s">
        <v>834</v>
      </c>
      <c r="I462" s="214">
        <v>15400</v>
      </c>
      <c r="J462" s="213"/>
      <c r="K462" s="215">
        <f t="shared" si="171"/>
        <v>15400</v>
      </c>
      <c r="L462" s="216">
        <f t="shared" si="149"/>
        <v>1.5098039215686274</v>
      </c>
      <c r="M462" s="626"/>
      <c r="N462" s="217">
        <f t="shared" si="172"/>
        <v>15400</v>
      </c>
      <c r="O462" s="26"/>
      <c r="P462" s="26"/>
      <c r="Q462" s="26"/>
      <c r="R462" s="26"/>
      <c r="S462" s="26"/>
      <c r="T462" s="26"/>
      <c r="U462" s="26"/>
      <c r="V462" s="26">
        <f t="shared" si="156"/>
        <v>0</v>
      </c>
      <c r="W462" s="211">
        <v>15400</v>
      </c>
      <c r="X462" s="26"/>
    </row>
    <row r="463" spans="1:24" x14ac:dyDescent="0.2">
      <c r="A463" s="572"/>
      <c r="B463" s="22"/>
      <c r="C463" s="23" t="s">
        <v>498</v>
      </c>
      <c r="D463" s="24" t="s">
        <v>499</v>
      </c>
      <c r="E463" s="25" t="s">
        <v>777</v>
      </c>
      <c r="F463" s="211">
        <v>2443.0500000000002</v>
      </c>
      <c r="G463" s="212">
        <f t="shared" si="150"/>
        <v>0.3490071428571429</v>
      </c>
      <c r="H463" s="25" t="s">
        <v>777</v>
      </c>
      <c r="I463" s="214">
        <v>7000</v>
      </c>
      <c r="J463" s="213"/>
      <c r="K463" s="215">
        <f t="shared" si="171"/>
        <v>7000</v>
      </c>
      <c r="L463" s="216">
        <f t="shared" si="149"/>
        <v>1</v>
      </c>
      <c r="M463" s="626"/>
      <c r="N463" s="217">
        <f t="shared" si="172"/>
        <v>7000</v>
      </c>
      <c r="O463" s="26"/>
      <c r="P463" s="26"/>
      <c r="Q463" s="26"/>
      <c r="R463" s="26"/>
      <c r="S463" s="26"/>
      <c r="T463" s="26"/>
      <c r="U463" s="26"/>
      <c r="V463" s="26">
        <f t="shared" si="156"/>
        <v>0</v>
      </c>
      <c r="W463" s="211">
        <v>7000</v>
      </c>
      <c r="X463" s="26"/>
    </row>
    <row r="464" spans="1:24" x14ac:dyDescent="0.2">
      <c r="A464" s="572"/>
      <c r="B464" s="22"/>
      <c r="C464" s="23" t="s">
        <v>401</v>
      </c>
      <c r="D464" s="24" t="s">
        <v>402</v>
      </c>
      <c r="E464" s="25" t="s">
        <v>490</v>
      </c>
      <c r="F464" s="211">
        <v>3851.94</v>
      </c>
      <c r="G464" s="212">
        <f t="shared" si="150"/>
        <v>0.59260615384615389</v>
      </c>
      <c r="H464" s="25" t="s">
        <v>490</v>
      </c>
      <c r="I464" s="214">
        <v>6500</v>
      </c>
      <c r="J464" s="213"/>
      <c r="K464" s="215">
        <f t="shared" si="171"/>
        <v>6500</v>
      </c>
      <c r="L464" s="216">
        <f t="shared" si="149"/>
        <v>1</v>
      </c>
      <c r="M464" s="626"/>
      <c r="N464" s="217">
        <f t="shared" si="172"/>
        <v>6500</v>
      </c>
      <c r="O464" s="26"/>
      <c r="P464" s="26"/>
      <c r="Q464" s="26"/>
      <c r="R464" s="26"/>
      <c r="S464" s="26"/>
      <c r="T464" s="26"/>
      <c r="U464" s="26"/>
      <c r="V464" s="26">
        <f t="shared" si="156"/>
        <v>0</v>
      </c>
      <c r="W464" s="211">
        <v>6500</v>
      </c>
      <c r="X464" s="26"/>
    </row>
    <row r="465" spans="1:24" x14ac:dyDescent="0.2">
      <c r="A465" s="572"/>
      <c r="B465" s="22"/>
      <c r="C465" s="23" t="s">
        <v>416</v>
      </c>
      <c r="D465" s="24" t="s">
        <v>417</v>
      </c>
      <c r="E465" s="25" t="s">
        <v>504</v>
      </c>
      <c r="F465" s="211">
        <v>935.73</v>
      </c>
      <c r="G465" s="212">
        <f t="shared" si="150"/>
        <v>0.37429200000000001</v>
      </c>
      <c r="H465" s="25" t="s">
        <v>504</v>
      </c>
      <c r="I465" s="214">
        <v>2500</v>
      </c>
      <c r="J465" s="213"/>
      <c r="K465" s="215">
        <f t="shared" si="171"/>
        <v>2500</v>
      </c>
      <c r="L465" s="216">
        <f t="shared" si="149"/>
        <v>1</v>
      </c>
      <c r="M465" s="626"/>
      <c r="N465" s="217">
        <f t="shared" si="172"/>
        <v>2500</v>
      </c>
      <c r="O465" s="26"/>
      <c r="P465" s="26"/>
      <c r="Q465" s="26"/>
      <c r="R465" s="26"/>
      <c r="S465" s="26"/>
      <c r="T465" s="26"/>
      <c r="U465" s="26"/>
      <c r="V465" s="26">
        <f t="shared" si="156"/>
        <v>0</v>
      </c>
      <c r="W465" s="211">
        <v>2500</v>
      </c>
      <c r="X465" s="26"/>
    </row>
    <row r="466" spans="1:24" x14ac:dyDescent="0.2">
      <c r="A466" s="572"/>
      <c r="B466" s="22"/>
      <c r="C466" s="23" t="s">
        <v>386</v>
      </c>
      <c r="D466" s="24" t="s">
        <v>387</v>
      </c>
      <c r="E466" s="25" t="s">
        <v>835</v>
      </c>
      <c r="F466" s="211">
        <v>1782.54</v>
      </c>
      <c r="G466" s="212">
        <f t="shared" si="150"/>
        <v>0.57501290322580645</v>
      </c>
      <c r="H466" s="25" t="s">
        <v>835</v>
      </c>
      <c r="I466" s="214">
        <v>3200</v>
      </c>
      <c r="J466" s="213"/>
      <c r="K466" s="215">
        <f t="shared" si="171"/>
        <v>3200</v>
      </c>
      <c r="L466" s="216">
        <f t="shared" si="149"/>
        <v>1.032258064516129</v>
      </c>
      <c r="M466" s="626"/>
      <c r="N466" s="217">
        <f t="shared" si="172"/>
        <v>3200</v>
      </c>
      <c r="O466" s="26"/>
      <c r="P466" s="26"/>
      <c r="Q466" s="26"/>
      <c r="R466" s="26"/>
      <c r="S466" s="26"/>
      <c r="T466" s="26"/>
      <c r="U466" s="26"/>
      <c r="V466" s="26">
        <f t="shared" si="156"/>
        <v>0</v>
      </c>
      <c r="W466" s="211">
        <v>3200</v>
      </c>
      <c r="X466" s="26"/>
    </row>
    <row r="467" spans="1:24" ht="22.5" x14ac:dyDescent="0.2">
      <c r="A467" s="572"/>
      <c r="B467" s="22"/>
      <c r="C467" s="23" t="s">
        <v>515</v>
      </c>
      <c r="D467" s="24" t="s">
        <v>516</v>
      </c>
      <c r="E467" s="25" t="s">
        <v>836</v>
      </c>
      <c r="F467" s="211">
        <v>24882</v>
      </c>
      <c r="G467" s="212">
        <f t="shared" si="150"/>
        <v>1</v>
      </c>
      <c r="H467" s="25" t="s">
        <v>836</v>
      </c>
      <c r="I467" s="214">
        <v>37055</v>
      </c>
      <c r="J467" s="213"/>
      <c r="K467" s="215">
        <f t="shared" si="171"/>
        <v>37055</v>
      </c>
      <c r="L467" s="216">
        <f t="shared" si="149"/>
        <v>1.4892291616429547</v>
      </c>
      <c r="M467" s="626"/>
      <c r="N467" s="217">
        <f t="shared" si="172"/>
        <v>37055</v>
      </c>
      <c r="O467" s="26"/>
      <c r="P467" s="26"/>
      <c r="Q467" s="26"/>
      <c r="R467" s="26"/>
      <c r="S467" s="26"/>
      <c r="T467" s="26"/>
      <c r="U467" s="26"/>
      <c r="V467" s="26">
        <f t="shared" si="156"/>
        <v>0</v>
      </c>
      <c r="W467" s="211">
        <v>37055</v>
      </c>
      <c r="X467" s="26"/>
    </row>
    <row r="468" spans="1:24" ht="22.5" x14ac:dyDescent="0.2">
      <c r="A468" s="571"/>
      <c r="B468" s="15" t="s">
        <v>275</v>
      </c>
      <c r="C468" s="16"/>
      <c r="D468" s="17" t="s">
        <v>990</v>
      </c>
      <c r="E468" s="18" t="s">
        <v>837</v>
      </c>
      <c r="F468" s="250">
        <f>F469+F470</f>
        <v>191284</v>
      </c>
      <c r="G468" s="218">
        <f t="shared" si="150"/>
        <v>0.75316964074779902</v>
      </c>
      <c r="H468" s="246">
        <f>H469+H470</f>
        <v>217229</v>
      </c>
      <c r="I468" s="247">
        <f t="shared" ref="I468:X468" si="173">I469+I470</f>
        <v>100000</v>
      </c>
      <c r="J468" s="246">
        <f t="shared" si="173"/>
        <v>0</v>
      </c>
      <c r="K468" s="248">
        <f t="shared" si="173"/>
        <v>100000</v>
      </c>
      <c r="L468" s="219">
        <f t="shared" ref="L468:L470" si="174">K468/E468</f>
        <v>0.39374419227316398</v>
      </c>
      <c r="M468" s="249"/>
      <c r="N468" s="249">
        <f t="shared" si="173"/>
        <v>100000</v>
      </c>
      <c r="O468" s="250">
        <f t="shared" si="173"/>
        <v>0</v>
      </c>
      <c r="P468" s="250">
        <f t="shared" si="173"/>
        <v>0</v>
      </c>
      <c r="Q468" s="250">
        <f t="shared" si="173"/>
        <v>0</v>
      </c>
      <c r="R468" s="250">
        <f t="shared" si="173"/>
        <v>0</v>
      </c>
      <c r="S468" s="250">
        <f t="shared" si="173"/>
        <v>0</v>
      </c>
      <c r="T468" s="250">
        <f t="shared" si="173"/>
        <v>0</v>
      </c>
      <c r="U468" s="250">
        <f t="shared" si="173"/>
        <v>0</v>
      </c>
      <c r="V468" s="26">
        <f t="shared" si="156"/>
        <v>0</v>
      </c>
      <c r="W468" s="250">
        <f t="shared" si="173"/>
        <v>100000</v>
      </c>
      <c r="X468" s="250">
        <f t="shared" si="173"/>
        <v>0</v>
      </c>
    </row>
    <row r="469" spans="1:24" x14ac:dyDescent="0.2">
      <c r="A469" s="572"/>
      <c r="B469" s="22"/>
      <c r="C469" s="23" t="s">
        <v>588</v>
      </c>
      <c r="D469" s="24" t="s">
        <v>589</v>
      </c>
      <c r="E469" s="25" t="s">
        <v>838</v>
      </c>
      <c r="F469" s="211">
        <v>191284</v>
      </c>
      <c r="G469" s="212">
        <f t="shared" si="150"/>
        <v>0.75598256312567436</v>
      </c>
      <c r="H469" s="213">
        <v>216284</v>
      </c>
      <c r="I469" s="214">
        <v>100000</v>
      </c>
      <c r="J469" s="213"/>
      <c r="K469" s="215">
        <f>I469+J469</f>
        <v>100000</v>
      </c>
      <c r="L469" s="216">
        <f t="shared" si="174"/>
        <v>0.39521473992894041</v>
      </c>
      <c r="M469" s="626"/>
      <c r="N469" s="217">
        <f>V469+W469+X469</f>
        <v>100000</v>
      </c>
      <c r="O469" s="26"/>
      <c r="P469" s="26"/>
      <c r="Q469" s="26"/>
      <c r="R469" s="26"/>
      <c r="S469" s="26"/>
      <c r="T469" s="26"/>
      <c r="U469" s="26"/>
      <c r="V469" s="26">
        <f t="shared" si="156"/>
        <v>0</v>
      </c>
      <c r="W469" s="211">
        <v>100000</v>
      </c>
      <c r="X469" s="26"/>
    </row>
    <row r="470" spans="1:24" x14ac:dyDescent="0.2">
      <c r="A470" s="572"/>
      <c r="B470" s="22"/>
      <c r="C470" s="23" t="s">
        <v>839</v>
      </c>
      <c r="D470" s="24" t="s">
        <v>840</v>
      </c>
      <c r="E470" s="44" t="s">
        <v>280</v>
      </c>
      <c r="F470" s="223">
        <v>0</v>
      </c>
      <c r="G470" s="224">
        <f t="shared" si="150"/>
        <v>0</v>
      </c>
      <c r="H470" s="225">
        <v>945</v>
      </c>
      <c r="I470" s="226">
        <v>0</v>
      </c>
      <c r="J470" s="225"/>
      <c r="K470" s="592">
        <f>I470+J470</f>
        <v>0</v>
      </c>
      <c r="L470" s="303">
        <f t="shared" si="174"/>
        <v>0</v>
      </c>
      <c r="M470" s="627"/>
      <c r="N470" s="593">
        <f>V470+W470+X470</f>
        <v>0</v>
      </c>
      <c r="O470" s="45"/>
      <c r="P470" s="45"/>
      <c r="Q470" s="45"/>
      <c r="R470" s="45"/>
      <c r="S470" s="45"/>
      <c r="T470" s="45"/>
      <c r="U470" s="45"/>
      <c r="V470" s="45">
        <f t="shared" si="156"/>
        <v>0</v>
      </c>
      <c r="W470" s="223">
        <v>0</v>
      </c>
      <c r="X470" s="45"/>
    </row>
    <row r="471" spans="1:24" ht="22.5" x14ac:dyDescent="0.2">
      <c r="A471" s="623"/>
      <c r="B471" s="93" t="s">
        <v>989</v>
      </c>
      <c r="C471" s="602"/>
      <c r="D471" s="603" t="s">
        <v>991</v>
      </c>
      <c r="E471" s="95">
        <f>E472</f>
        <v>0</v>
      </c>
      <c r="F471" s="95">
        <f>F472</f>
        <v>0</v>
      </c>
      <c r="G471" s="218">
        <v>0</v>
      </c>
      <c r="H471" s="250">
        <f>H472</f>
        <v>0</v>
      </c>
      <c r="I471" s="250">
        <f>I472</f>
        <v>0</v>
      </c>
      <c r="J471" s="250">
        <f>J472</f>
        <v>9600</v>
      </c>
      <c r="K471" s="250">
        <f>K472</f>
        <v>9600</v>
      </c>
      <c r="L471" s="610">
        <v>0</v>
      </c>
      <c r="M471" s="628"/>
      <c r="N471" s="595">
        <f>N472</f>
        <v>9600</v>
      </c>
      <c r="O471" s="590"/>
      <c r="P471" s="590"/>
      <c r="Q471" s="590"/>
      <c r="R471" s="590"/>
      <c r="S471" s="590"/>
      <c r="T471" s="590"/>
      <c r="U471" s="590"/>
      <c r="V471" s="590"/>
      <c r="W471" s="250">
        <f>W472</f>
        <v>9600</v>
      </c>
      <c r="X471" s="590"/>
    </row>
    <row r="472" spans="1:24" x14ac:dyDescent="0.2">
      <c r="A472" s="572"/>
      <c r="B472" s="22"/>
      <c r="C472" s="23" t="s">
        <v>588</v>
      </c>
      <c r="D472" s="49" t="s">
        <v>589</v>
      </c>
      <c r="E472" s="50">
        <v>0</v>
      </c>
      <c r="F472" s="211">
        <v>0</v>
      </c>
      <c r="G472" s="212">
        <v>0</v>
      </c>
      <c r="H472" s="211">
        <v>0</v>
      </c>
      <c r="I472" s="211">
        <v>0</v>
      </c>
      <c r="J472" s="211">
        <v>9600</v>
      </c>
      <c r="K472" s="211">
        <f>I472+J472</f>
        <v>9600</v>
      </c>
      <c r="L472" s="212">
        <v>0</v>
      </c>
      <c r="M472" s="626"/>
      <c r="N472" s="609">
        <f>SUM(O472:X472)</f>
        <v>9600</v>
      </c>
      <c r="O472" s="26"/>
      <c r="P472" s="26"/>
      <c r="Q472" s="26"/>
      <c r="R472" s="26"/>
      <c r="S472" s="26"/>
      <c r="T472" s="26"/>
      <c r="U472" s="26"/>
      <c r="V472" s="26"/>
      <c r="W472" s="211">
        <v>9600</v>
      </c>
      <c r="X472" s="26"/>
    </row>
    <row r="473" spans="1:24" ht="15" x14ac:dyDescent="0.2">
      <c r="A473" s="571"/>
      <c r="B473" s="15" t="s">
        <v>841</v>
      </c>
      <c r="C473" s="16"/>
      <c r="D473" s="17" t="s">
        <v>684</v>
      </c>
      <c r="E473" s="54" t="str">
        <f>E474</f>
        <v>3 619,00</v>
      </c>
      <c r="F473" s="54">
        <f>F474</f>
        <v>0</v>
      </c>
      <c r="G473" s="240">
        <f t="shared" si="150"/>
        <v>0</v>
      </c>
      <c r="H473" s="604">
        <f>H474</f>
        <v>0</v>
      </c>
      <c r="I473" s="605">
        <f>I474</f>
        <v>0</v>
      </c>
      <c r="J473" s="604">
        <f t="shared" ref="J473:X473" si="175">J474</f>
        <v>0</v>
      </c>
      <c r="K473" s="606">
        <f t="shared" si="175"/>
        <v>0</v>
      </c>
      <c r="L473" s="293">
        <f t="shared" si="175"/>
        <v>0</v>
      </c>
      <c r="M473" s="607"/>
      <c r="N473" s="607">
        <f t="shared" si="175"/>
        <v>0</v>
      </c>
      <c r="O473" s="608">
        <f t="shared" si="175"/>
        <v>0</v>
      </c>
      <c r="P473" s="608">
        <f t="shared" si="175"/>
        <v>0</v>
      </c>
      <c r="Q473" s="608">
        <f t="shared" si="175"/>
        <v>0</v>
      </c>
      <c r="R473" s="608">
        <f t="shared" si="175"/>
        <v>0</v>
      </c>
      <c r="S473" s="608">
        <f t="shared" si="175"/>
        <v>0</v>
      </c>
      <c r="T473" s="608">
        <f t="shared" si="175"/>
        <v>0</v>
      </c>
      <c r="U473" s="608">
        <f t="shared" si="175"/>
        <v>0</v>
      </c>
      <c r="V473" s="73">
        <f t="shared" si="156"/>
        <v>0</v>
      </c>
      <c r="W473" s="608">
        <f t="shared" si="175"/>
        <v>0</v>
      </c>
      <c r="X473" s="608">
        <f t="shared" si="175"/>
        <v>0</v>
      </c>
    </row>
    <row r="474" spans="1:24" ht="22.5" x14ac:dyDescent="0.2">
      <c r="A474" s="572"/>
      <c r="B474" s="22"/>
      <c r="C474" s="23" t="s">
        <v>475</v>
      </c>
      <c r="D474" s="24" t="s">
        <v>476</v>
      </c>
      <c r="E474" s="25" t="s">
        <v>842</v>
      </c>
      <c r="F474" s="211">
        <v>0</v>
      </c>
      <c r="G474" s="212">
        <f t="shared" ref="G474:G534" si="176">F474/E474</f>
        <v>0</v>
      </c>
      <c r="H474" s="213">
        <v>0</v>
      </c>
      <c r="I474" s="214"/>
      <c r="J474" s="213"/>
      <c r="K474" s="215">
        <f>I474+J474</f>
        <v>0</v>
      </c>
      <c r="L474" s="216">
        <f t="shared" ref="L474:L534" si="177">K474/E474</f>
        <v>0</v>
      </c>
      <c r="M474" s="626"/>
      <c r="N474" s="217">
        <f>V474+W474+X474</f>
        <v>0</v>
      </c>
      <c r="O474" s="26"/>
      <c r="P474" s="26"/>
      <c r="Q474" s="26"/>
      <c r="R474" s="26"/>
      <c r="S474" s="26"/>
      <c r="T474" s="26"/>
      <c r="U474" s="26"/>
      <c r="V474" s="26">
        <f t="shared" si="156"/>
        <v>0</v>
      </c>
      <c r="W474" s="26"/>
      <c r="X474" s="26"/>
    </row>
    <row r="475" spans="1:24" x14ac:dyDescent="0.2">
      <c r="A475" s="107" t="s">
        <v>281</v>
      </c>
      <c r="B475" s="107"/>
      <c r="C475" s="107"/>
      <c r="D475" s="108" t="s">
        <v>282</v>
      </c>
      <c r="E475" s="109">
        <f>E476+E489+E503+E512+E514</f>
        <v>0</v>
      </c>
      <c r="F475" s="109">
        <f>F476+F489+F503+F512+F514</f>
        <v>0</v>
      </c>
      <c r="G475" s="220">
        <v>0</v>
      </c>
      <c r="H475" s="111">
        <f>H476+H489+H503+H512+H514</f>
        <v>0</v>
      </c>
      <c r="I475" s="270">
        <f>I476+I489+I503+I512+I514</f>
        <v>17963895</v>
      </c>
      <c r="J475" s="111">
        <f>J476+J489+J503+J512+J514</f>
        <v>2105355</v>
      </c>
      <c r="K475" s="271">
        <f>K476+K489+K503+K512+K514</f>
        <v>20069250</v>
      </c>
      <c r="L475" s="208">
        <v>0</v>
      </c>
      <c r="M475" s="208"/>
      <c r="N475" s="208">
        <f>N476+N489+N503+N512+N514</f>
        <v>20069250</v>
      </c>
      <c r="O475" s="208">
        <f t="shared" ref="O475:R475" si="178">O476+O489+O503+O512+O514</f>
        <v>10500</v>
      </c>
      <c r="P475" s="208">
        <f t="shared" si="178"/>
        <v>0</v>
      </c>
      <c r="Q475" s="208">
        <f t="shared" si="178"/>
        <v>0</v>
      </c>
      <c r="R475" s="208">
        <f t="shared" si="178"/>
        <v>0</v>
      </c>
      <c r="S475" s="208">
        <f t="shared" ref="S475" si="179">S476+S489+S503+S512+S514</f>
        <v>0</v>
      </c>
      <c r="T475" s="208">
        <f t="shared" ref="T475" si="180">T476+T489+T503+T512+T514</f>
        <v>0</v>
      </c>
      <c r="U475" s="208">
        <f t="shared" ref="U475" si="181">U476+U489+U503+U512+U514</f>
        <v>0</v>
      </c>
      <c r="V475" s="208">
        <f t="shared" ref="V475" si="182">V476+V489+V503+V512+V514</f>
        <v>10500</v>
      </c>
      <c r="W475" s="208">
        <f t="shared" ref="W475" si="183">W476+W489+W503+W512+W514</f>
        <v>0</v>
      </c>
      <c r="X475" s="208">
        <f t="shared" ref="X475" si="184">X476+X489+X503+X512+X514</f>
        <v>20058750</v>
      </c>
    </row>
    <row r="476" spans="1:24" x14ac:dyDescent="0.2">
      <c r="A476" s="644"/>
      <c r="B476" s="93" t="s">
        <v>283</v>
      </c>
      <c r="C476" s="93"/>
      <c r="D476" s="94" t="s">
        <v>284</v>
      </c>
      <c r="E476" s="95">
        <f>E477+E478+E479+E480+E481+E483+E484+E485+E486+E487+E488+E482</f>
        <v>0</v>
      </c>
      <c r="F476" s="95">
        <f>F477+F478+F479+F480+F481+F483+F484+F485+F486+F487+F488+F482</f>
        <v>0</v>
      </c>
      <c r="G476" s="218">
        <v>0</v>
      </c>
      <c r="H476" s="114">
        <f>H477+H478+H479+H480+H481+H483+H484+H485+H486+H487+H488+H482</f>
        <v>0</v>
      </c>
      <c r="I476" s="32">
        <f>I477+I478+I479+I480+I481+I483+I484+I485+I486+I487+I488+I482</f>
        <v>10904661</v>
      </c>
      <c r="J476" s="114">
        <f t="shared" ref="J476:K476" si="185">J477+J478+J479+J480+J481+J483+J484+J485+J486+J487+J488+J482</f>
        <v>1139878</v>
      </c>
      <c r="K476" s="118">
        <f t="shared" si="185"/>
        <v>12044539</v>
      </c>
      <c r="L476" s="210">
        <v>0</v>
      </c>
      <c r="M476" s="210"/>
      <c r="N476" s="210">
        <f>SUM(N477:N488)</f>
        <v>12044539</v>
      </c>
      <c r="O476" s="210">
        <f t="shared" ref="O476:X476" si="186">SUM(O477:O488)</f>
        <v>0</v>
      </c>
      <c r="P476" s="210">
        <f t="shared" si="186"/>
        <v>0</v>
      </c>
      <c r="Q476" s="210">
        <f t="shared" si="186"/>
        <v>0</v>
      </c>
      <c r="R476" s="210">
        <f t="shared" si="186"/>
        <v>0</v>
      </c>
      <c r="S476" s="210">
        <f t="shared" si="186"/>
        <v>0</v>
      </c>
      <c r="T476" s="210">
        <f t="shared" si="186"/>
        <v>0</v>
      </c>
      <c r="U476" s="210">
        <f t="shared" si="186"/>
        <v>0</v>
      </c>
      <c r="V476" s="210">
        <f t="shared" si="186"/>
        <v>0</v>
      </c>
      <c r="W476" s="210">
        <f t="shared" si="186"/>
        <v>0</v>
      </c>
      <c r="X476" s="210">
        <f t="shared" si="186"/>
        <v>12044539</v>
      </c>
    </row>
    <row r="477" spans="1:24" s="71" customFormat="1" x14ac:dyDescent="0.2">
      <c r="A477" s="645"/>
      <c r="B477" s="659"/>
      <c r="C477" s="23" t="s">
        <v>763</v>
      </c>
      <c r="D477" s="24" t="s">
        <v>764</v>
      </c>
      <c r="E477" s="25">
        <v>0</v>
      </c>
      <c r="F477" s="272">
        <v>0</v>
      </c>
      <c r="G477" s="212">
        <v>0</v>
      </c>
      <c r="H477" s="273">
        <v>0</v>
      </c>
      <c r="I477" s="274">
        <v>10800000</v>
      </c>
      <c r="J477" s="273">
        <v>1062509</v>
      </c>
      <c r="K477" s="275">
        <f>I477+J477</f>
        <v>11862509</v>
      </c>
      <c r="L477" s="216">
        <v>0</v>
      </c>
      <c r="M477" s="629"/>
      <c r="N477" s="217">
        <f>V477+W477+X477</f>
        <v>11862509</v>
      </c>
      <c r="O477" s="124"/>
      <c r="P477" s="124"/>
      <c r="Q477" s="124"/>
      <c r="R477" s="124"/>
      <c r="S477" s="124"/>
      <c r="T477" s="124"/>
      <c r="U477" s="124"/>
      <c r="V477" s="26">
        <f t="shared" si="156"/>
        <v>0</v>
      </c>
      <c r="W477" s="124"/>
      <c r="X477" s="272">
        <v>11862509</v>
      </c>
    </row>
    <row r="478" spans="1:24" s="71" customFormat="1" x14ac:dyDescent="0.2">
      <c r="A478" s="645"/>
      <c r="B478" s="660"/>
      <c r="C478" s="23" t="s">
        <v>373</v>
      </c>
      <c r="D478" s="24" t="s">
        <v>374</v>
      </c>
      <c r="E478" s="25">
        <v>0</v>
      </c>
      <c r="F478" s="272">
        <v>0</v>
      </c>
      <c r="G478" s="212">
        <v>0</v>
      </c>
      <c r="H478" s="273">
        <v>0</v>
      </c>
      <c r="I478" s="274">
        <v>30560</v>
      </c>
      <c r="J478" s="273">
        <v>29440</v>
      </c>
      <c r="K478" s="275">
        <f t="shared" ref="K478:K488" si="187">I478+J478</f>
        <v>60000</v>
      </c>
      <c r="L478" s="216">
        <v>0</v>
      </c>
      <c r="M478" s="629"/>
      <c r="N478" s="217">
        <f t="shared" ref="N478:N488" si="188">V478+W478+X478</f>
        <v>60000</v>
      </c>
      <c r="O478" s="124"/>
      <c r="P478" s="124"/>
      <c r="Q478" s="124"/>
      <c r="R478" s="124"/>
      <c r="S478" s="124"/>
      <c r="T478" s="124"/>
      <c r="U478" s="124"/>
      <c r="V478" s="26">
        <f t="shared" si="156"/>
        <v>0</v>
      </c>
      <c r="W478" s="124"/>
      <c r="X478" s="272">
        <v>60000</v>
      </c>
    </row>
    <row r="479" spans="1:24" s="71" customFormat="1" ht="10.5" customHeight="1" x14ac:dyDescent="0.2">
      <c r="A479" s="645"/>
      <c r="B479" s="660"/>
      <c r="C479" s="23" t="s">
        <v>466</v>
      </c>
      <c r="D479" s="24" t="s">
        <v>467</v>
      </c>
      <c r="E479" s="25">
        <v>0</v>
      </c>
      <c r="F479" s="272">
        <v>0</v>
      </c>
      <c r="G479" s="212">
        <v>0</v>
      </c>
      <c r="H479" s="273">
        <v>0</v>
      </c>
      <c r="I479" s="274">
        <v>3272</v>
      </c>
      <c r="J479" s="273">
        <v>2728</v>
      </c>
      <c r="K479" s="275">
        <f t="shared" si="187"/>
        <v>6000</v>
      </c>
      <c r="L479" s="216">
        <v>0</v>
      </c>
      <c r="M479" s="629"/>
      <c r="N479" s="217">
        <f t="shared" si="188"/>
        <v>6000</v>
      </c>
      <c r="O479" s="124"/>
      <c r="P479" s="124"/>
      <c r="Q479" s="124"/>
      <c r="R479" s="124"/>
      <c r="S479" s="124"/>
      <c r="T479" s="124"/>
      <c r="U479" s="124"/>
      <c r="V479" s="26">
        <f t="shared" si="156"/>
        <v>0</v>
      </c>
      <c r="W479" s="124"/>
      <c r="X479" s="272">
        <v>6000</v>
      </c>
    </row>
    <row r="480" spans="1:24" s="71" customFormat="1" x14ac:dyDescent="0.2">
      <c r="A480" s="645"/>
      <c r="B480" s="660"/>
      <c r="C480" s="23" t="s">
        <v>376</v>
      </c>
      <c r="D480" s="24" t="s">
        <v>377</v>
      </c>
      <c r="E480" s="25">
        <v>0</v>
      </c>
      <c r="F480" s="272">
        <v>0</v>
      </c>
      <c r="G480" s="212">
        <v>0</v>
      </c>
      <c r="H480" s="273">
        <v>0</v>
      </c>
      <c r="I480" s="274">
        <v>5907</v>
      </c>
      <c r="J480" s="273">
        <v>6315</v>
      </c>
      <c r="K480" s="275">
        <f t="shared" si="187"/>
        <v>12222</v>
      </c>
      <c r="L480" s="216">
        <v>0</v>
      </c>
      <c r="M480" s="629"/>
      <c r="N480" s="217">
        <f t="shared" si="188"/>
        <v>12222</v>
      </c>
      <c r="O480" s="124"/>
      <c r="P480" s="124"/>
      <c r="Q480" s="124"/>
      <c r="R480" s="124"/>
      <c r="S480" s="124"/>
      <c r="T480" s="124"/>
      <c r="U480" s="124"/>
      <c r="V480" s="26">
        <f t="shared" ref="V480:V528" si="189">SUM(O480:U480)</f>
        <v>0</v>
      </c>
      <c r="W480" s="124"/>
      <c r="X480" s="272">
        <v>12222</v>
      </c>
    </row>
    <row r="481" spans="1:24" s="71" customFormat="1" x14ac:dyDescent="0.2">
      <c r="A481" s="645"/>
      <c r="B481" s="660"/>
      <c r="C481" s="23" t="s">
        <v>379</v>
      </c>
      <c r="D481" s="24" t="s">
        <v>380</v>
      </c>
      <c r="E481" s="25">
        <v>0</v>
      </c>
      <c r="F481" s="272">
        <v>0</v>
      </c>
      <c r="G481" s="212">
        <v>0</v>
      </c>
      <c r="H481" s="273">
        <v>0</v>
      </c>
      <c r="I481" s="274">
        <v>829</v>
      </c>
      <c r="J481" s="273">
        <v>886</v>
      </c>
      <c r="K481" s="275">
        <f t="shared" si="187"/>
        <v>1715</v>
      </c>
      <c r="L481" s="216">
        <v>0</v>
      </c>
      <c r="M481" s="629"/>
      <c r="N481" s="217">
        <f t="shared" si="188"/>
        <v>1715</v>
      </c>
      <c r="O481" s="124"/>
      <c r="P481" s="124"/>
      <c r="Q481" s="124"/>
      <c r="R481" s="124"/>
      <c r="S481" s="124"/>
      <c r="T481" s="124"/>
      <c r="U481" s="124"/>
      <c r="V481" s="26">
        <f t="shared" si="189"/>
        <v>0</v>
      </c>
      <c r="W481" s="124"/>
      <c r="X481" s="272">
        <v>1715</v>
      </c>
    </row>
    <row r="482" spans="1:24" s="71" customFormat="1" x14ac:dyDescent="0.2">
      <c r="A482" s="645"/>
      <c r="B482" s="660"/>
      <c r="C482" s="23" t="s">
        <v>398</v>
      </c>
      <c r="D482" s="24" t="s">
        <v>843</v>
      </c>
      <c r="E482" s="25">
        <v>0</v>
      </c>
      <c r="F482" s="272">
        <v>0</v>
      </c>
      <c r="G482" s="212">
        <v>0</v>
      </c>
      <c r="H482" s="273">
        <v>0</v>
      </c>
      <c r="I482" s="274">
        <v>0</v>
      </c>
      <c r="J482" s="273">
        <v>10000</v>
      </c>
      <c r="K482" s="275">
        <f t="shared" si="187"/>
        <v>10000</v>
      </c>
      <c r="L482" s="216">
        <v>0</v>
      </c>
      <c r="M482" s="629"/>
      <c r="N482" s="217">
        <f t="shared" si="188"/>
        <v>10000</v>
      </c>
      <c r="O482" s="124"/>
      <c r="P482" s="124"/>
      <c r="Q482" s="124"/>
      <c r="R482" s="124"/>
      <c r="S482" s="124"/>
      <c r="T482" s="124"/>
      <c r="U482" s="124"/>
      <c r="V482" s="26">
        <f t="shared" si="189"/>
        <v>0</v>
      </c>
      <c r="W482" s="124"/>
      <c r="X482" s="272">
        <v>10000</v>
      </c>
    </row>
    <row r="483" spans="1:24" s="71" customFormat="1" x14ac:dyDescent="0.2">
      <c r="A483" s="645"/>
      <c r="B483" s="660"/>
      <c r="C483" s="23" t="s">
        <v>382</v>
      </c>
      <c r="D483" s="24" t="s">
        <v>383</v>
      </c>
      <c r="E483" s="25">
        <v>0</v>
      </c>
      <c r="F483" s="272">
        <v>0</v>
      </c>
      <c r="G483" s="212">
        <v>0</v>
      </c>
      <c r="H483" s="273">
        <v>0</v>
      </c>
      <c r="I483" s="274">
        <v>10000</v>
      </c>
      <c r="J483" s="273">
        <v>20000</v>
      </c>
      <c r="K483" s="275">
        <f t="shared" si="187"/>
        <v>30000</v>
      </c>
      <c r="L483" s="216">
        <v>0</v>
      </c>
      <c r="M483" s="629"/>
      <c r="N483" s="217">
        <f t="shared" si="188"/>
        <v>30000</v>
      </c>
      <c r="O483" s="124"/>
      <c r="P483" s="124"/>
      <c r="Q483" s="124"/>
      <c r="R483" s="124"/>
      <c r="S483" s="124"/>
      <c r="T483" s="124"/>
      <c r="U483" s="124"/>
      <c r="V483" s="26">
        <f t="shared" si="189"/>
        <v>0</v>
      </c>
      <c r="W483" s="124"/>
      <c r="X483" s="272">
        <v>30000</v>
      </c>
    </row>
    <row r="484" spans="1:24" s="71" customFormat="1" ht="10.5" customHeight="1" x14ac:dyDescent="0.2">
      <c r="A484" s="645"/>
      <c r="B484" s="660"/>
      <c r="C484" s="23" t="s">
        <v>401</v>
      </c>
      <c r="D484" s="24" t="s">
        <v>402</v>
      </c>
      <c r="E484" s="25">
        <v>0</v>
      </c>
      <c r="F484" s="272">
        <v>0</v>
      </c>
      <c r="G484" s="212">
        <v>0</v>
      </c>
      <c r="H484" s="273">
        <v>0</v>
      </c>
      <c r="I484" s="274">
        <v>30000</v>
      </c>
      <c r="J484" s="273">
        <v>-10000</v>
      </c>
      <c r="K484" s="275">
        <f t="shared" si="187"/>
        <v>20000</v>
      </c>
      <c r="L484" s="216">
        <v>0</v>
      </c>
      <c r="M484" s="629"/>
      <c r="N484" s="217">
        <f t="shared" si="188"/>
        <v>20000</v>
      </c>
      <c r="O484" s="124"/>
      <c r="P484" s="124"/>
      <c r="Q484" s="124"/>
      <c r="R484" s="124"/>
      <c r="S484" s="124"/>
      <c r="T484" s="124"/>
      <c r="U484" s="124"/>
      <c r="V484" s="26">
        <f t="shared" si="189"/>
        <v>0</v>
      </c>
      <c r="W484" s="124"/>
      <c r="X484" s="272">
        <v>20000</v>
      </c>
    </row>
    <row r="485" spans="1:24" s="71" customFormat="1" x14ac:dyDescent="0.2">
      <c r="A485" s="645"/>
      <c r="B485" s="660"/>
      <c r="C485" s="23" t="s">
        <v>386</v>
      </c>
      <c r="D485" s="24" t="s">
        <v>387</v>
      </c>
      <c r="E485" s="25">
        <v>0</v>
      </c>
      <c r="F485" s="272">
        <v>0</v>
      </c>
      <c r="G485" s="212">
        <v>0</v>
      </c>
      <c r="H485" s="273">
        <v>0</v>
      </c>
      <c r="I485" s="274">
        <v>20000</v>
      </c>
      <c r="J485" s="273">
        <v>15000</v>
      </c>
      <c r="K485" s="275">
        <f t="shared" si="187"/>
        <v>35000</v>
      </c>
      <c r="L485" s="216">
        <v>0</v>
      </c>
      <c r="M485" s="629"/>
      <c r="N485" s="217">
        <f t="shared" si="188"/>
        <v>35000</v>
      </c>
      <c r="O485" s="124"/>
      <c r="P485" s="124"/>
      <c r="Q485" s="124"/>
      <c r="R485" s="124"/>
      <c r="S485" s="124"/>
      <c r="T485" s="124"/>
      <c r="U485" s="124"/>
      <c r="V485" s="26">
        <f t="shared" si="189"/>
        <v>0</v>
      </c>
      <c r="W485" s="124"/>
      <c r="X485" s="272">
        <v>35000</v>
      </c>
    </row>
    <row r="486" spans="1:24" s="71" customFormat="1" ht="22.5" x14ac:dyDescent="0.2">
      <c r="A486" s="645"/>
      <c r="B486" s="660"/>
      <c r="C486" s="23" t="s">
        <v>506</v>
      </c>
      <c r="D486" s="24" t="s">
        <v>507</v>
      </c>
      <c r="E486" s="25">
        <v>0</v>
      </c>
      <c r="F486" s="272">
        <v>0</v>
      </c>
      <c r="G486" s="212">
        <v>0</v>
      </c>
      <c r="H486" s="273">
        <v>0</v>
      </c>
      <c r="I486" s="274">
        <v>0</v>
      </c>
      <c r="J486" s="273">
        <v>2000</v>
      </c>
      <c r="K486" s="275">
        <f t="shared" si="187"/>
        <v>2000</v>
      </c>
      <c r="L486" s="216">
        <v>0</v>
      </c>
      <c r="M486" s="629"/>
      <c r="N486" s="217">
        <f t="shared" si="188"/>
        <v>2000</v>
      </c>
      <c r="O486" s="124"/>
      <c r="P486" s="124"/>
      <c r="Q486" s="124"/>
      <c r="R486" s="124"/>
      <c r="S486" s="124"/>
      <c r="T486" s="124"/>
      <c r="U486" s="124"/>
      <c r="V486" s="26">
        <f t="shared" si="189"/>
        <v>0</v>
      </c>
      <c r="W486" s="124"/>
      <c r="X486" s="272">
        <v>2000</v>
      </c>
    </row>
    <row r="487" spans="1:24" s="71" customFormat="1" ht="22.5" x14ac:dyDescent="0.2">
      <c r="A487" s="645"/>
      <c r="B487" s="660"/>
      <c r="C487" s="23" t="s">
        <v>515</v>
      </c>
      <c r="D487" s="24" t="s">
        <v>516</v>
      </c>
      <c r="E487" s="25">
        <v>0</v>
      </c>
      <c r="F487" s="272">
        <v>0</v>
      </c>
      <c r="G487" s="212">
        <v>0</v>
      </c>
      <c r="H487" s="273">
        <v>0</v>
      </c>
      <c r="I487" s="274">
        <v>1093</v>
      </c>
      <c r="J487" s="273">
        <v>0</v>
      </c>
      <c r="K487" s="275">
        <f t="shared" si="187"/>
        <v>1093</v>
      </c>
      <c r="L487" s="216">
        <v>0</v>
      </c>
      <c r="M487" s="629"/>
      <c r="N487" s="217">
        <f t="shared" si="188"/>
        <v>1093</v>
      </c>
      <c r="O487" s="124"/>
      <c r="P487" s="124"/>
      <c r="Q487" s="124"/>
      <c r="R487" s="124"/>
      <c r="S487" s="124"/>
      <c r="T487" s="124"/>
      <c r="U487" s="124"/>
      <c r="V487" s="26">
        <f t="shared" si="189"/>
        <v>0</v>
      </c>
      <c r="W487" s="124"/>
      <c r="X487" s="272">
        <v>1093</v>
      </c>
    </row>
    <row r="488" spans="1:24" s="71" customFormat="1" ht="22.5" x14ac:dyDescent="0.2">
      <c r="A488" s="645"/>
      <c r="B488" s="660"/>
      <c r="C488" s="23" t="s">
        <v>475</v>
      </c>
      <c r="D488" s="24" t="s">
        <v>476</v>
      </c>
      <c r="E488" s="66">
        <v>0</v>
      </c>
      <c r="F488" s="272">
        <v>0</v>
      </c>
      <c r="G488" s="212">
        <v>0</v>
      </c>
      <c r="H488" s="273">
        <v>0</v>
      </c>
      <c r="I488" s="274">
        <v>3000</v>
      </c>
      <c r="J488" s="273">
        <v>1000</v>
      </c>
      <c r="K488" s="275">
        <f t="shared" si="187"/>
        <v>4000</v>
      </c>
      <c r="L488" s="216">
        <v>0</v>
      </c>
      <c r="M488" s="629"/>
      <c r="N488" s="217">
        <f t="shared" si="188"/>
        <v>4000</v>
      </c>
      <c r="O488" s="124"/>
      <c r="P488" s="124"/>
      <c r="Q488" s="124"/>
      <c r="R488" s="124"/>
      <c r="S488" s="124"/>
      <c r="T488" s="124"/>
      <c r="U488" s="124"/>
      <c r="V488" s="26">
        <f t="shared" si="189"/>
        <v>0</v>
      </c>
      <c r="W488" s="124"/>
      <c r="X488" s="272">
        <v>4000</v>
      </c>
    </row>
    <row r="489" spans="1:24" ht="45" x14ac:dyDescent="0.2">
      <c r="A489" s="645"/>
      <c r="B489" s="93" t="s">
        <v>285</v>
      </c>
      <c r="C489" s="93"/>
      <c r="D489" s="94" t="s">
        <v>238</v>
      </c>
      <c r="E489" s="95">
        <f>E502+E500+E499+E498+E497+E496+E495+E494+E493+E492+E491+E490+E501</f>
        <v>0</v>
      </c>
      <c r="F489" s="95">
        <f>F502+F500+F499+F498+F497+F496+F495+F494+F493+F492+F491+F490+F501</f>
        <v>0</v>
      </c>
      <c r="G489" s="113">
        <v>0</v>
      </c>
      <c r="H489" s="114">
        <f>H502+H500+H499+H498+H497+H496+H495+H494+H493+H492+H491+H490+H501</f>
        <v>0</v>
      </c>
      <c r="I489" s="32">
        <f>I502+I500+I499+I498+I497+I496+I495+I494+I493+I492+I491+I490+I501</f>
        <v>6684473</v>
      </c>
      <c r="J489" s="32">
        <f t="shared" ref="J489:K489" si="190">J502+J500+J499+J498+J497+J496+J495+J494+J493+J492+J491+J490+J501</f>
        <v>965477</v>
      </c>
      <c r="K489" s="32">
        <f t="shared" si="190"/>
        <v>7649950</v>
      </c>
      <c r="L489" s="115">
        <v>0</v>
      </c>
      <c r="M489" s="210">
        <f t="shared" ref="M489" si="191">M502+M500+M499+M498+M497+M496+M495+M494+M493+M492+M491+M490+M501</f>
        <v>0</v>
      </c>
      <c r="N489" s="95">
        <f t="shared" ref="N489" si="192">N502+N500+N499+N498+N497+N496+N495+N494+N493+N492+N491+N490+N501</f>
        <v>7649950</v>
      </c>
      <c r="O489" s="95">
        <f t="shared" ref="O489" si="193">O502+O500+O499+O498+O497+O496+O495+O494+O493+O492+O491+O490+O501</f>
        <v>10500</v>
      </c>
      <c r="P489" s="95">
        <f t="shared" ref="P489" si="194">P502+P500+P499+P498+P497+P496+P495+P494+P493+P492+P491+P490+P501</f>
        <v>0</v>
      </c>
      <c r="Q489" s="95">
        <f t="shared" ref="Q489" si="195">Q502+Q500+Q499+Q498+Q497+Q496+Q495+Q494+Q493+Q492+Q491+Q490+Q501</f>
        <v>0</v>
      </c>
      <c r="R489" s="95">
        <f t="shared" ref="R489" si="196">R502+R500+R499+R498+R497+R496+R495+R494+R493+R492+R491+R490+R501</f>
        <v>0</v>
      </c>
      <c r="S489" s="95">
        <f t="shared" ref="S489" si="197">S502+S500+S499+S498+S497+S496+S495+S494+S493+S492+S491+S490+S501</f>
        <v>0</v>
      </c>
      <c r="T489" s="95">
        <f t="shared" ref="T489" si="198">T502+T500+T499+T498+T497+T496+T495+T494+T493+T492+T491+T490+T501</f>
        <v>0</v>
      </c>
      <c r="U489" s="95">
        <f t="shared" ref="U489" si="199">U502+U500+U499+U498+U497+U496+U495+U494+U493+U492+U491+U490+U501</f>
        <v>0</v>
      </c>
      <c r="V489" s="95">
        <f t="shared" ref="V489" si="200">V502+V500+V499+V498+V497+V496+V495+V494+V493+V492+V491+V490+V501</f>
        <v>10500</v>
      </c>
      <c r="W489" s="95">
        <f t="shared" ref="W489" si="201">W502+W500+W499+W498+W497+W496+W495+W494+W493+W492+W491+W490+W501</f>
        <v>0</v>
      </c>
      <c r="X489" s="95">
        <f t="shared" ref="X489" si="202">X502+X500+X499+X498+X497+X496+X495+X494+X493+X492+X491+X490+X501</f>
        <v>7639450</v>
      </c>
    </row>
    <row r="490" spans="1:24" ht="67.5" x14ac:dyDescent="0.2">
      <c r="A490" s="645"/>
      <c r="B490" s="661"/>
      <c r="C490" s="23" t="s">
        <v>55</v>
      </c>
      <c r="D490" s="24" t="s">
        <v>771</v>
      </c>
      <c r="E490" s="25">
        <v>0</v>
      </c>
      <c r="F490" s="211">
        <v>0</v>
      </c>
      <c r="G490" s="212">
        <v>0</v>
      </c>
      <c r="H490" s="213">
        <v>0</v>
      </c>
      <c r="I490" s="214">
        <v>9000</v>
      </c>
      <c r="J490" s="213"/>
      <c r="K490" s="215">
        <f>I490+J490</f>
        <v>9000</v>
      </c>
      <c r="L490" s="216">
        <v>0</v>
      </c>
      <c r="M490" s="626"/>
      <c r="N490" s="217">
        <f>V490+W490+X490</f>
        <v>9000</v>
      </c>
      <c r="O490" s="26">
        <v>9000</v>
      </c>
      <c r="P490" s="26"/>
      <c r="Q490" s="26"/>
      <c r="R490" s="26"/>
      <c r="S490" s="26"/>
      <c r="T490" s="26"/>
      <c r="U490" s="26"/>
      <c r="V490" s="26">
        <f t="shared" si="189"/>
        <v>9000</v>
      </c>
      <c r="W490" s="26"/>
      <c r="X490" s="26"/>
    </row>
    <row r="491" spans="1:24" s="71" customFormat="1" x14ac:dyDescent="0.2">
      <c r="A491" s="645"/>
      <c r="B491" s="662"/>
      <c r="C491" s="23" t="s">
        <v>763</v>
      </c>
      <c r="D491" s="24" t="s">
        <v>764</v>
      </c>
      <c r="E491" s="25">
        <v>0</v>
      </c>
      <c r="F491" s="272">
        <v>0</v>
      </c>
      <c r="G491" s="212">
        <v>0</v>
      </c>
      <c r="H491" s="273">
        <v>0</v>
      </c>
      <c r="I491" s="274">
        <v>6220000</v>
      </c>
      <c r="J491" s="273">
        <v>963897</v>
      </c>
      <c r="K491" s="215">
        <f t="shared" ref="K491:K502" si="203">I491+J491</f>
        <v>7183897</v>
      </c>
      <c r="L491" s="216">
        <v>0</v>
      </c>
      <c r="M491" s="629"/>
      <c r="N491" s="217">
        <f t="shared" ref="N491:N502" si="204">V491+W491+X491</f>
        <v>7183897</v>
      </c>
      <c r="O491" s="124"/>
      <c r="P491" s="124"/>
      <c r="Q491" s="124"/>
      <c r="R491" s="124"/>
      <c r="S491" s="124"/>
      <c r="T491" s="124"/>
      <c r="U491" s="124"/>
      <c r="V491" s="26">
        <f t="shared" si="189"/>
        <v>0</v>
      </c>
      <c r="W491" s="124"/>
      <c r="X491" s="272">
        <v>7183897</v>
      </c>
    </row>
    <row r="492" spans="1:24" s="71" customFormat="1" x14ac:dyDescent="0.2">
      <c r="A492" s="645"/>
      <c r="B492" s="662"/>
      <c r="C492" s="23" t="s">
        <v>373</v>
      </c>
      <c r="D492" s="24" t="s">
        <v>374</v>
      </c>
      <c r="E492" s="25">
        <v>0</v>
      </c>
      <c r="F492" s="272">
        <v>0</v>
      </c>
      <c r="G492" s="212">
        <v>0</v>
      </c>
      <c r="H492" s="273">
        <v>0</v>
      </c>
      <c r="I492" s="274">
        <v>142348</v>
      </c>
      <c r="J492" s="273"/>
      <c r="K492" s="215">
        <f t="shared" si="203"/>
        <v>142348</v>
      </c>
      <c r="L492" s="216">
        <v>0</v>
      </c>
      <c r="M492" s="629"/>
      <c r="N492" s="217">
        <f t="shared" si="204"/>
        <v>142348</v>
      </c>
      <c r="O492" s="124"/>
      <c r="P492" s="124"/>
      <c r="Q492" s="124"/>
      <c r="R492" s="124"/>
      <c r="S492" s="124"/>
      <c r="T492" s="124"/>
      <c r="U492" s="124"/>
      <c r="V492" s="26">
        <f t="shared" si="189"/>
        <v>0</v>
      </c>
      <c r="W492" s="124"/>
      <c r="X492" s="272">
        <v>142348</v>
      </c>
    </row>
    <row r="493" spans="1:24" s="71" customFormat="1" ht="10.5" customHeight="1" x14ac:dyDescent="0.2">
      <c r="A493" s="645"/>
      <c r="B493" s="662"/>
      <c r="C493" s="23" t="s">
        <v>466</v>
      </c>
      <c r="D493" s="24" t="s">
        <v>467</v>
      </c>
      <c r="E493" s="25">
        <v>0</v>
      </c>
      <c r="F493" s="272">
        <v>0</v>
      </c>
      <c r="G493" s="212">
        <v>0</v>
      </c>
      <c r="H493" s="273">
        <v>0</v>
      </c>
      <c r="I493" s="274">
        <v>8969</v>
      </c>
      <c r="J493" s="273"/>
      <c r="K493" s="215">
        <f t="shared" si="203"/>
        <v>8969</v>
      </c>
      <c r="L493" s="216">
        <v>0</v>
      </c>
      <c r="M493" s="629"/>
      <c r="N493" s="217">
        <f t="shared" si="204"/>
        <v>8969</v>
      </c>
      <c r="O493" s="124"/>
      <c r="P493" s="124"/>
      <c r="Q493" s="124"/>
      <c r="R493" s="124"/>
      <c r="S493" s="124"/>
      <c r="T493" s="124"/>
      <c r="U493" s="124"/>
      <c r="V493" s="26">
        <f t="shared" si="189"/>
        <v>0</v>
      </c>
      <c r="W493" s="124"/>
      <c r="X493" s="272">
        <v>8969</v>
      </c>
    </row>
    <row r="494" spans="1:24" s="71" customFormat="1" x14ac:dyDescent="0.2">
      <c r="A494" s="645"/>
      <c r="B494" s="662"/>
      <c r="C494" s="23" t="s">
        <v>376</v>
      </c>
      <c r="D494" s="24" t="s">
        <v>377</v>
      </c>
      <c r="E494" s="25">
        <v>0</v>
      </c>
      <c r="F494" s="272">
        <v>0</v>
      </c>
      <c r="G494" s="212">
        <v>0</v>
      </c>
      <c r="H494" s="273">
        <v>0</v>
      </c>
      <c r="I494" s="274">
        <v>266420</v>
      </c>
      <c r="J494" s="273">
        <v>-16420</v>
      </c>
      <c r="K494" s="215">
        <f t="shared" si="203"/>
        <v>250000</v>
      </c>
      <c r="L494" s="216">
        <v>0</v>
      </c>
      <c r="M494" s="629"/>
      <c r="N494" s="217">
        <f t="shared" si="204"/>
        <v>250000</v>
      </c>
      <c r="O494" s="124"/>
      <c r="P494" s="124"/>
      <c r="Q494" s="124"/>
      <c r="R494" s="124"/>
      <c r="S494" s="124"/>
      <c r="T494" s="124"/>
      <c r="U494" s="124"/>
      <c r="V494" s="26">
        <f t="shared" si="189"/>
        <v>0</v>
      </c>
      <c r="W494" s="124"/>
      <c r="X494" s="272">
        <v>250000</v>
      </c>
    </row>
    <row r="495" spans="1:24" s="71" customFormat="1" x14ac:dyDescent="0.2">
      <c r="A495" s="645"/>
      <c r="B495" s="662"/>
      <c r="C495" s="23" t="s">
        <v>379</v>
      </c>
      <c r="D495" s="24" t="s">
        <v>380</v>
      </c>
      <c r="E495" s="25">
        <v>0</v>
      </c>
      <c r="F495" s="272">
        <v>0</v>
      </c>
      <c r="G495" s="212">
        <v>0</v>
      </c>
      <c r="H495" s="273">
        <v>0</v>
      </c>
      <c r="I495" s="274">
        <v>3707</v>
      </c>
      <c r="J495" s="273"/>
      <c r="K495" s="215">
        <f t="shared" si="203"/>
        <v>3707</v>
      </c>
      <c r="L495" s="216">
        <v>0</v>
      </c>
      <c r="M495" s="629"/>
      <c r="N495" s="217">
        <f t="shared" si="204"/>
        <v>3707</v>
      </c>
      <c r="O495" s="124"/>
      <c r="P495" s="124"/>
      <c r="Q495" s="124"/>
      <c r="R495" s="124"/>
      <c r="S495" s="124"/>
      <c r="T495" s="124"/>
      <c r="U495" s="124"/>
      <c r="V495" s="26">
        <f t="shared" si="189"/>
        <v>0</v>
      </c>
      <c r="W495" s="124"/>
      <c r="X495" s="272">
        <v>3707</v>
      </c>
    </row>
    <row r="496" spans="1:24" s="71" customFormat="1" x14ac:dyDescent="0.2">
      <c r="A496" s="645"/>
      <c r="B496" s="662"/>
      <c r="C496" s="23" t="s">
        <v>382</v>
      </c>
      <c r="D496" s="24" t="s">
        <v>383</v>
      </c>
      <c r="E496" s="25">
        <v>0</v>
      </c>
      <c r="F496" s="272">
        <v>0</v>
      </c>
      <c r="G496" s="212">
        <v>0</v>
      </c>
      <c r="H496" s="273">
        <v>0</v>
      </c>
      <c r="I496" s="274">
        <v>12000</v>
      </c>
      <c r="J496" s="273"/>
      <c r="K496" s="215">
        <f t="shared" si="203"/>
        <v>12000</v>
      </c>
      <c r="L496" s="216">
        <v>0</v>
      </c>
      <c r="M496" s="629"/>
      <c r="N496" s="217">
        <f t="shared" si="204"/>
        <v>12000</v>
      </c>
      <c r="O496" s="124"/>
      <c r="P496" s="124"/>
      <c r="Q496" s="124"/>
      <c r="R496" s="124"/>
      <c r="S496" s="124"/>
      <c r="T496" s="124"/>
      <c r="U496" s="124"/>
      <c r="V496" s="26">
        <f t="shared" si="189"/>
        <v>0</v>
      </c>
      <c r="W496" s="124"/>
      <c r="X496" s="272">
        <v>12000</v>
      </c>
    </row>
    <row r="497" spans="1:24" s="71" customFormat="1" ht="10.5" customHeight="1" x14ac:dyDescent="0.2">
      <c r="A497" s="645"/>
      <c r="B497" s="662"/>
      <c r="C497" s="23" t="s">
        <v>401</v>
      </c>
      <c r="D497" s="24" t="s">
        <v>402</v>
      </c>
      <c r="E497" s="25">
        <v>0</v>
      </c>
      <c r="F497" s="272">
        <v>0</v>
      </c>
      <c r="G497" s="212">
        <v>0</v>
      </c>
      <c r="H497" s="273">
        <v>0</v>
      </c>
      <c r="I497" s="274">
        <v>4000</v>
      </c>
      <c r="J497" s="273">
        <v>6000</v>
      </c>
      <c r="K497" s="215">
        <f t="shared" si="203"/>
        <v>10000</v>
      </c>
      <c r="L497" s="216">
        <v>0</v>
      </c>
      <c r="M497" s="629"/>
      <c r="N497" s="217">
        <f t="shared" si="204"/>
        <v>10000</v>
      </c>
      <c r="O497" s="124"/>
      <c r="P497" s="124"/>
      <c r="Q497" s="124"/>
      <c r="R497" s="124"/>
      <c r="S497" s="124"/>
      <c r="T497" s="124"/>
      <c r="U497" s="124"/>
      <c r="V497" s="26">
        <f t="shared" si="189"/>
        <v>0</v>
      </c>
      <c r="W497" s="124"/>
      <c r="X497" s="272">
        <v>10000</v>
      </c>
    </row>
    <row r="498" spans="1:24" s="71" customFormat="1" x14ac:dyDescent="0.2">
      <c r="A498" s="645"/>
      <c r="B498" s="662"/>
      <c r="C498" s="23" t="s">
        <v>386</v>
      </c>
      <c r="D498" s="24" t="s">
        <v>387</v>
      </c>
      <c r="E498" s="25">
        <v>0</v>
      </c>
      <c r="F498" s="272">
        <v>0</v>
      </c>
      <c r="G498" s="212">
        <v>0</v>
      </c>
      <c r="H498" s="273">
        <v>0</v>
      </c>
      <c r="I498" s="274">
        <v>8000</v>
      </c>
      <c r="J498" s="273">
        <v>12000</v>
      </c>
      <c r="K498" s="215">
        <f t="shared" si="203"/>
        <v>20000</v>
      </c>
      <c r="L498" s="216">
        <v>0</v>
      </c>
      <c r="M498" s="629"/>
      <c r="N498" s="217">
        <f t="shared" si="204"/>
        <v>20000</v>
      </c>
      <c r="O498" s="124"/>
      <c r="P498" s="124"/>
      <c r="Q498" s="124"/>
      <c r="R498" s="124"/>
      <c r="S498" s="124"/>
      <c r="T498" s="124"/>
      <c r="U498" s="124"/>
      <c r="V498" s="26">
        <f t="shared" si="189"/>
        <v>0</v>
      </c>
      <c r="W498" s="124"/>
      <c r="X498" s="272">
        <v>20000</v>
      </c>
    </row>
    <row r="499" spans="1:24" s="71" customFormat="1" ht="22.5" x14ac:dyDescent="0.2">
      <c r="A499" s="645"/>
      <c r="B499" s="662"/>
      <c r="C499" s="23" t="s">
        <v>506</v>
      </c>
      <c r="D499" s="24" t="s">
        <v>507</v>
      </c>
      <c r="E499" s="25">
        <v>0</v>
      </c>
      <c r="F499" s="272">
        <v>0</v>
      </c>
      <c r="G499" s="212">
        <v>0</v>
      </c>
      <c r="H499" s="273">
        <v>0</v>
      </c>
      <c r="I499" s="274">
        <v>1500</v>
      </c>
      <c r="J499" s="273"/>
      <c r="K499" s="215">
        <f t="shared" si="203"/>
        <v>1500</v>
      </c>
      <c r="L499" s="216">
        <v>0</v>
      </c>
      <c r="M499" s="629"/>
      <c r="N499" s="217">
        <f t="shared" si="204"/>
        <v>1500</v>
      </c>
      <c r="O499" s="124"/>
      <c r="P499" s="124"/>
      <c r="Q499" s="124"/>
      <c r="R499" s="124"/>
      <c r="S499" s="124"/>
      <c r="T499" s="124"/>
      <c r="U499" s="124"/>
      <c r="V499" s="26">
        <f t="shared" si="189"/>
        <v>0</v>
      </c>
      <c r="W499" s="124"/>
      <c r="X499" s="272">
        <v>1500</v>
      </c>
    </row>
    <row r="500" spans="1:24" s="71" customFormat="1" ht="22.5" x14ac:dyDescent="0.2">
      <c r="A500" s="645"/>
      <c r="B500" s="662"/>
      <c r="C500" s="23" t="s">
        <v>515</v>
      </c>
      <c r="D500" s="24" t="s">
        <v>516</v>
      </c>
      <c r="E500" s="25">
        <v>0</v>
      </c>
      <c r="F500" s="272">
        <v>0</v>
      </c>
      <c r="G500" s="212">
        <v>0</v>
      </c>
      <c r="H500" s="273">
        <v>0</v>
      </c>
      <c r="I500" s="274">
        <v>4029</v>
      </c>
      <c r="J500" s="273"/>
      <c r="K500" s="215">
        <f t="shared" si="203"/>
        <v>4029</v>
      </c>
      <c r="L500" s="216">
        <v>0</v>
      </c>
      <c r="M500" s="629"/>
      <c r="N500" s="217">
        <f t="shared" si="204"/>
        <v>4029</v>
      </c>
      <c r="O500" s="124"/>
      <c r="P500" s="124"/>
      <c r="Q500" s="124"/>
      <c r="R500" s="124"/>
      <c r="S500" s="124"/>
      <c r="T500" s="124"/>
      <c r="U500" s="124"/>
      <c r="V500" s="26">
        <f t="shared" si="189"/>
        <v>0</v>
      </c>
      <c r="W500" s="124"/>
      <c r="X500" s="272">
        <v>4029</v>
      </c>
    </row>
    <row r="501" spans="1:24" ht="67.5" x14ac:dyDescent="0.2">
      <c r="A501" s="645"/>
      <c r="B501" s="662"/>
      <c r="C501" s="23" t="s">
        <v>782</v>
      </c>
      <c r="D501" s="24" t="s">
        <v>783</v>
      </c>
      <c r="E501" s="25">
        <v>0</v>
      </c>
      <c r="F501" s="211">
        <v>0</v>
      </c>
      <c r="G501" s="212">
        <v>0</v>
      </c>
      <c r="H501" s="213">
        <v>0</v>
      </c>
      <c r="I501" s="214">
        <v>1500</v>
      </c>
      <c r="J501" s="213"/>
      <c r="K501" s="215">
        <f t="shared" si="203"/>
        <v>1500</v>
      </c>
      <c r="L501" s="216">
        <v>0</v>
      </c>
      <c r="M501" s="626"/>
      <c r="N501" s="217">
        <f t="shared" si="204"/>
        <v>1500</v>
      </c>
      <c r="O501" s="26">
        <v>1500</v>
      </c>
      <c r="P501" s="26"/>
      <c r="Q501" s="26"/>
      <c r="R501" s="26"/>
      <c r="S501" s="26"/>
      <c r="T501" s="26"/>
      <c r="U501" s="26"/>
      <c r="V501" s="26">
        <f t="shared" si="189"/>
        <v>1500</v>
      </c>
      <c r="W501" s="26"/>
      <c r="X501" s="211"/>
    </row>
    <row r="502" spans="1:24" s="71" customFormat="1" ht="22.5" x14ac:dyDescent="0.2">
      <c r="A502" s="645"/>
      <c r="B502" s="662"/>
      <c r="C502" s="23" t="s">
        <v>475</v>
      </c>
      <c r="D502" s="24" t="s">
        <v>476</v>
      </c>
      <c r="E502" s="66">
        <v>0</v>
      </c>
      <c r="F502" s="272">
        <v>0</v>
      </c>
      <c r="G502" s="212">
        <v>0</v>
      </c>
      <c r="H502" s="273">
        <v>0</v>
      </c>
      <c r="I502" s="274">
        <v>3000</v>
      </c>
      <c r="J502" s="273"/>
      <c r="K502" s="215">
        <f t="shared" si="203"/>
        <v>3000</v>
      </c>
      <c r="L502" s="216">
        <v>0</v>
      </c>
      <c r="M502" s="629"/>
      <c r="N502" s="217">
        <f t="shared" si="204"/>
        <v>3000</v>
      </c>
      <c r="O502" s="124"/>
      <c r="P502" s="124"/>
      <c r="Q502" s="124"/>
      <c r="R502" s="124"/>
      <c r="S502" s="124"/>
      <c r="T502" s="124"/>
      <c r="U502" s="124"/>
      <c r="V502" s="26">
        <f t="shared" si="189"/>
        <v>0</v>
      </c>
      <c r="W502" s="124"/>
      <c r="X502" s="272">
        <v>3000</v>
      </c>
    </row>
    <row r="503" spans="1:24" x14ac:dyDescent="0.2">
      <c r="A503" s="645"/>
      <c r="B503" s="93" t="s">
        <v>288</v>
      </c>
      <c r="C503" s="93"/>
      <c r="D503" s="94" t="s">
        <v>230</v>
      </c>
      <c r="E503" s="95">
        <f>E504+E505+E506+E507+E508+E510+E511</f>
        <v>0</v>
      </c>
      <c r="F503" s="95">
        <f t="shared" ref="F503:H503" si="205">F504+F505+F506+F507+F508+F510+F511</f>
        <v>0</v>
      </c>
      <c r="G503" s="218">
        <v>0</v>
      </c>
      <c r="H503" s="114">
        <f t="shared" si="205"/>
        <v>0</v>
      </c>
      <c r="I503" s="32">
        <f>I504+I505+I506+I507+I508+I510+I511+I509</f>
        <v>125631</v>
      </c>
      <c r="J503" s="114">
        <f t="shared" ref="J503:X503" si="206">J504+J505+J506+J507+J508+J510+J511+J509</f>
        <v>0</v>
      </c>
      <c r="K503" s="118">
        <f t="shared" si="206"/>
        <v>125631</v>
      </c>
      <c r="L503" s="210">
        <v>0</v>
      </c>
      <c r="M503" s="210"/>
      <c r="N503" s="210">
        <f t="shared" si="206"/>
        <v>125631</v>
      </c>
      <c r="O503" s="95">
        <f t="shared" si="206"/>
        <v>0</v>
      </c>
      <c r="P503" s="95">
        <f t="shared" si="206"/>
        <v>0</v>
      </c>
      <c r="Q503" s="95">
        <f t="shared" si="206"/>
        <v>0</v>
      </c>
      <c r="R503" s="95">
        <f t="shared" si="206"/>
        <v>0</v>
      </c>
      <c r="S503" s="95">
        <f t="shared" si="206"/>
        <v>0</v>
      </c>
      <c r="T503" s="95">
        <f t="shared" si="206"/>
        <v>0</v>
      </c>
      <c r="U503" s="95">
        <f t="shared" si="206"/>
        <v>0</v>
      </c>
      <c r="V503" s="26">
        <f t="shared" si="189"/>
        <v>0</v>
      </c>
      <c r="W503" s="95">
        <f t="shared" si="206"/>
        <v>0</v>
      </c>
      <c r="X503" s="95">
        <f t="shared" si="206"/>
        <v>125631</v>
      </c>
    </row>
    <row r="504" spans="1:24" s="71" customFormat="1" ht="22.5" x14ac:dyDescent="0.2">
      <c r="A504" s="645"/>
      <c r="B504" s="659"/>
      <c r="C504" s="122" t="s">
        <v>488</v>
      </c>
      <c r="D504" s="24" t="s">
        <v>489</v>
      </c>
      <c r="E504" s="66">
        <v>0</v>
      </c>
      <c r="F504" s="272">
        <v>0</v>
      </c>
      <c r="G504" s="212">
        <v>0</v>
      </c>
      <c r="H504" s="273">
        <v>0</v>
      </c>
      <c r="I504" s="274">
        <v>1600</v>
      </c>
      <c r="J504" s="273"/>
      <c r="K504" s="275">
        <f>I504+J504</f>
        <v>1600</v>
      </c>
      <c r="L504" s="216">
        <v>0</v>
      </c>
      <c r="M504" s="629"/>
      <c r="N504" s="217">
        <f t="shared" ref="N504:N511" si="207">SUM(O504:X504)</f>
        <v>1600</v>
      </c>
      <c r="O504" s="124"/>
      <c r="P504" s="124"/>
      <c r="Q504" s="124"/>
      <c r="R504" s="124"/>
      <c r="S504" s="124"/>
      <c r="T504" s="124"/>
      <c r="U504" s="124"/>
      <c r="V504" s="26">
        <f t="shared" si="189"/>
        <v>0</v>
      </c>
      <c r="W504" s="124"/>
      <c r="X504" s="272">
        <v>1600</v>
      </c>
    </row>
    <row r="505" spans="1:24" s="71" customFormat="1" x14ac:dyDescent="0.2">
      <c r="A505" s="645"/>
      <c r="B505" s="660"/>
      <c r="C505" s="122" t="s">
        <v>373</v>
      </c>
      <c r="D505" s="24" t="s">
        <v>374</v>
      </c>
      <c r="E505" s="66">
        <v>0</v>
      </c>
      <c r="F505" s="272">
        <v>0</v>
      </c>
      <c r="G505" s="212">
        <v>0</v>
      </c>
      <c r="H505" s="273">
        <v>0</v>
      </c>
      <c r="I505" s="274">
        <v>90320</v>
      </c>
      <c r="J505" s="273"/>
      <c r="K505" s="275">
        <f t="shared" ref="K505:K511" si="208">I505+J505</f>
        <v>90320</v>
      </c>
      <c r="L505" s="216">
        <v>0</v>
      </c>
      <c r="M505" s="629"/>
      <c r="N505" s="217">
        <f t="shared" si="207"/>
        <v>90320</v>
      </c>
      <c r="O505" s="124"/>
      <c r="P505" s="124"/>
      <c r="Q505" s="124"/>
      <c r="R505" s="124"/>
      <c r="S505" s="124"/>
      <c r="T505" s="124"/>
      <c r="U505" s="124"/>
      <c r="V505" s="26">
        <f t="shared" si="189"/>
        <v>0</v>
      </c>
      <c r="W505" s="124"/>
      <c r="X505" s="272">
        <v>90320</v>
      </c>
    </row>
    <row r="506" spans="1:24" s="71" customFormat="1" x14ac:dyDescent="0.2">
      <c r="A506" s="645"/>
      <c r="B506" s="660"/>
      <c r="C506" s="122" t="s">
        <v>466</v>
      </c>
      <c r="D506" s="24" t="s">
        <v>467</v>
      </c>
      <c r="E506" s="66">
        <v>0</v>
      </c>
      <c r="F506" s="272">
        <v>0</v>
      </c>
      <c r="G506" s="212">
        <v>0</v>
      </c>
      <c r="H506" s="273">
        <v>0</v>
      </c>
      <c r="I506" s="274">
        <v>5378</v>
      </c>
      <c r="J506" s="273"/>
      <c r="K506" s="275">
        <f t="shared" si="208"/>
        <v>5378</v>
      </c>
      <c r="L506" s="216">
        <v>0</v>
      </c>
      <c r="M506" s="629"/>
      <c r="N506" s="217">
        <f t="shared" si="207"/>
        <v>5378</v>
      </c>
      <c r="O506" s="124"/>
      <c r="P506" s="124"/>
      <c r="Q506" s="124"/>
      <c r="R506" s="124"/>
      <c r="S506" s="124"/>
      <c r="T506" s="124"/>
      <c r="U506" s="124"/>
      <c r="V506" s="26">
        <f t="shared" si="189"/>
        <v>0</v>
      </c>
      <c r="W506" s="124"/>
      <c r="X506" s="272">
        <v>5378</v>
      </c>
    </row>
    <row r="507" spans="1:24" x14ac:dyDescent="0.2">
      <c r="A507" s="645"/>
      <c r="B507" s="660"/>
      <c r="C507" s="116" t="s">
        <v>376</v>
      </c>
      <c r="D507" s="24" t="s">
        <v>377</v>
      </c>
      <c r="E507" s="50">
        <v>0</v>
      </c>
      <c r="F507" s="211">
        <v>0</v>
      </c>
      <c r="G507" s="212">
        <v>0</v>
      </c>
      <c r="H507" s="213">
        <v>0</v>
      </c>
      <c r="I507" s="214">
        <v>16709</v>
      </c>
      <c r="J507" s="213"/>
      <c r="K507" s="275">
        <f t="shared" si="208"/>
        <v>16709</v>
      </c>
      <c r="L507" s="216">
        <v>0</v>
      </c>
      <c r="M507" s="626"/>
      <c r="N507" s="217">
        <f t="shared" si="207"/>
        <v>16709</v>
      </c>
      <c r="O507" s="26"/>
      <c r="P507" s="26"/>
      <c r="Q507" s="26"/>
      <c r="R507" s="26"/>
      <c r="S507" s="26"/>
      <c r="T507" s="26"/>
      <c r="U507" s="26"/>
      <c r="V507" s="26">
        <f t="shared" si="189"/>
        <v>0</v>
      </c>
      <c r="W507" s="26"/>
      <c r="X507" s="211">
        <v>16709</v>
      </c>
    </row>
    <row r="508" spans="1:24" s="71" customFormat="1" x14ac:dyDescent="0.2">
      <c r="A508" s="645"/>
      <c r="B508" s="660"/>
      <c r="C508" s="122" t="s">
        <v>379</v>
      </c>
      <c r="D508" s="24" t="s">
        <v>380</v>
      </c>
      <c r="E508" s="66">
        <v>0</v>
      </c>
      <c r="F508" s="272">
        <v>0</v>
      </c>
      <c r="G508" s="212">
        <v>0</v>
      </c>
      <c r="H508" s="273">
        <v>0</v>
      </c>
      <c r="I508" s="274">
        <v>2345</v>
      </c>
      <c r="J508" s="273"/>
      <c r="K508" s="275">
        <f t="shared" si="208"/>
        <v>2345</v>
      </c>
      <c r="L508" s="216">
        <v>0</v>
      </c>
      <c r="M508" s="629"/>
      <c r="N508" s="217">
        <f t="shared" si="207"/>
        <v>2345</v>
      </c>
      <c r="O508" s="124"/>
      <c r="P508" s="124"/>
      <c r="Q508" s="124"/>
      <c r="R508" s="124"/>
      <c r="S508" s="124"/>
      <c r="T508" s="124"/>
      <c r="U508" s="124"/>
      <c r="V508" s="26">
        <f t="shared" si="189"/>
        <v>0</v>
      </c>
      <c r="W508" s="124"/>
      <c r="X508" s="272">
        <v>2345</v>
      </c>
    </row>
    <row r="509" spans="1:24" s="71" customFormat="1" x14ac:dyDescent="0.2">
      <c r="A509" s="645"/>
      <c r="B509" s="660"/>
      <c r="C509" s="122" t="s">
        <v>382</v>
      </c>
      <c r="D509" s="24" t="s">
        <v>383</v>
      </c>
      <c r="E509" s="66">
        <v>0</v>
      </c>
      <c r="F509" s="272">
        <v>0</v>
      </c>
      <c r="G509" s="212">
        <v>0</v>
      </c>
      <c r="H509" s="273">
        <v>0</v>
      </c>
      <c r="I509" s="274">
        <v>3000</v>
      </c>
      <c r="J509" s="273"/>
      <c r="K509" s="275">
        <f t="shared" si="208"/>
        <v>3000</v>
      </c>
      <c r="L509" s="216">
        <v>0</v>
      </c>
      <c r="M509" s="629"/>
      <c r="N509" s="217">
        <f t="shared" si="207"/>
        <v>3000</v>
      </c>
      <c r="O509" s="124"/>
      <c r="P509" s="124"/>
      <c r="Q509" s="124"/>
      <c r="R509" s="124"/>
      <c r="S509" s="124"/>
      <c r="T509" s="124"/>
      <c r="U509" s="124"/>
      <c r="V509" s="26">
        <f t="shared" si="189"/>
        <v>0</v>
      </c>
      <c r="W509" s="124"/>
      <c r="X509" s="272">
        <v>3000</v>
      </c>
    </row>
    <row r="510" spans="1:24" x14ac:dyDescent="0.2">
      <c r="A510" s="645"/>
      <c r="B510" s="660"/>
      <c r="C510" s="116" t="s">
        <v>473</v>
      </c>
      <c r="D510" s="24" t="s">
        <v>474</v>
      </c>
      <c r="E510" s="50">
        <v>0</v>
      </c>
      <c r="F510" s="211">
        <v>0</v>
      </c>
      <c r="G510" s="212">
        <v>0</v>
      </c>
      <c r="H510" s="213">
        <v>0</v>
      </c>
      <c r="I510" s="214">
        <v>3000</v>
      </c>
      <c r="J510" s="213"/>
      <c r="K510" s="275">
        <f t="shared" si="208"/>
        <v>3000</v>
      </c>
      <c r="L510" s="216">
        <v>0</v>
      </c>
      <c r="M510" s="626"/>
      <c r="N510" s="217">
        <f t="shared" si="207"/>
        <v>3000</v>
      </c>
      <c r="O510" s="26"/>
      <c r="P510" s="26"/>
      <c r="Q510" s="26"/>
      <c r="R510" s="26"/>
      <c r="S510" s="26"/>
      <c r="T510" s="26"/>
      <c r="U510" s="26"/>
      <c r="V510" s="26">
        <f t="shared" si="189"/>
        <v>0</v>
      </c>
      <c r="W510" s="26"/>
      <c r="X510" s="211">
        <v>3000</v>
      </c>
    </row>
    <row r="511" spans="1:24" ht="22.5" x14ac:dyDescent="0.2">
      <c r="A511" s="645"/>
      <c r="B511" s="663"/>
      <c r="C511" s="116" t="s">
        <v>515</v>
      </c>
      <c r="D511" s="24" t="s">
        <v>516</v>
      </c>
      <c r="E511" s="50">
        <v>0</v>
      </c>
      <c r="F511" s="211">
        <v>0</v>
      </c>
      <c r="G511" s="212">
        <v>0</v>
      </c>
      <c r="H511" s="213">
        <v>0</v>
      </c>
      <c r="I511" s="214">
        <v>3279</v>
      </c>
      <c r="J511" s="213"/>
      <c r="K511" s="275">
        <f t="shared" si="208"/>
        <v>3279</v>
      </c>
      <c r="L511" s="216">
        <v>0</v>
      </c>
      <c r="M511" s="626"/>
      <c r="N511" s="217">
        <f t="shared" si="207"/>
        <v>3279</v>
      </c>
      <c r="O511" s="26"/>
      <c r="P511" s="26"/>
      <c r="Q511" s="26"/>
      <c r="R511" s="26"/>
      <c r="S511" s="26"/>
      <c r="T511" s="26"/>
      <c r="U511" s="26"/>
      <c r="V511" s="26">
        <f t="shared" si="189"/>
        <v>0</v>
      </c>
      <c r="W511" s="26"/>
      <c r="X511" s="211">
        <v>3279</v>
      </c>
    </row>
    <row r="512" spans="1:24" x14ac:dyDescent="0.2">
      <c r="A512" s="645"/>
      <c r="B512" s="93" t="s">
        <v>289</v>
      </c>
      <c r="C512" s="93"/>
      <c r="D512" s="94" t="s">
        <v>290</v>
      </c>
      <c r="E512" s="95">
        <f>E513</f>
        <v>0</v>
      </c>
      <c r="F512" s="276">
        <f t="shared" ref="F512:X512" si="209">F513</f>
        <v>0</v>
      </c>
      <c r="G512" s="218">
        <v>0</v>
      </c>
      <c r="H512" s="277">
        <f t="shared" si="209"/>
        <v>0</v>
      </c>
      <c r="I512" s="278">
        <f t="shared" si="209"/>
        <v>105600</v>
      </c>
      <c r="J512" s="277">
        <f t="shared" si="209"/>
        <v>0</v>
      </c>
      <c r="K512" s="279">
        <f t="shared" si="209"/>
        <v>105600</v>
      </c>
      <c r="L512" s="280">
        <v>0</v>
      </c>
      <c r="M512" s="280"/>
      <c r="N512" s="280">
        <f t="shared" si="209"/>
        <v>105600</v>
      </c>
      <c r="O512" s="276">
        <f t="shared" si="209"/>
        <v>0</v>
      </c>
      <c r="P512" s="276">
        <f t="shared" si="209"/>
        <v>0</v>
      </c>
      <c r="Q512" s="276">
        <f t="shared" si="209"/>
        <v>0</v>
      </c>
      <c r="R512" s="276">
        <f t="shared" si="209"/>
        <v>0</v>
      </c>
      <c r="S512" s="276">
        <f t="shared" si="209"/>
        <v>0</v>
      </c>
      <c r="T512" s="276">
        <f t="shared" si="209"/>
        <v>0</v>
      </c>
      <c r="U512" s="276">
        <f t="shared" si="209"/>
        <v>0</v>
      </c>
      <c r="V512" s="26">
        <f t="shared" si="189"/>
        <v>0</v>
      </c>
      <c r="W512" s="276">
        <f t="shared" si="209"/>
        <v>0</v>
      </c>
      <c r="X512" s="276">
        <f t="shared" si="209"/>
        <v>105600</v>
      </c>
    </row>
    <row r="513" spans="1:24" ht="33.75" x14ac:dyDescent="0.2">
      <c r="A513" s="645"/>
      <c r="B513" s="116"/>
      <c r="C513" s="23" t="s">
        <v>747</v>
      </c>
      <c r="D513" s="24" t="s">
        <v>748</v>
      </c>
      <c r="E513" s="50">
        <v>0</v>
      </c>
      <c r="F513" s="211">
        <v>0</v>
      </c>
      <c r="G513" s="212">
        <v>0</v>
      </c>
      <c r="H513" s="213">
        <v>0</v>
      </c>
      <c r="I513" s="214">
        <v>105600</v>
      </c>
      <c r="J513" s="213"/>
      <c r="K513" s="215">
        <f>I513+J513</f>
        <v>105600</v>
      </c>
      <c r="L513" s="216">
        <v>0</v>
      </c>
      <c r="M513" s="626"/>
      <c r="N513" s="217">
        <f>SUM(O513:X513)</f>
        <v>105600</v>
      </c>
      <c r="O513" s="26"/>
      <c r="P513" s="26"/>
      <c r="Q513" s="26"/>
      <c r="R513" s="26"/>
      <c r="S513" s="26"/>
      <c r="T513" s="26"/>
      <c r="U513" s="26"/>
      <c r="V513" s="26">
        <f t="shared" si="189"/>
        <v>0</v>
      </c>
      <c r="W513" s="26"/>
      <c r="X513" s="26">
        <f>I513</f>
        <v>105600</v>
      </c>
    </row>
    <row r="514" spans="1:24" ht="22.5" x14ac:dyDescent="0.2">
      <c r="A514" s="645"/>
      <c r="B514" s="93" t="s">
        <v>844</v>
      </c>
      <c r="C514" s="93"/>
      <c r="D514" s="281" t="s">
        <v>845</v>
      </c>
      <c r="E514" s="95">
        <f>E515</f>
        <v>0</v>
      </c>
      <c r="F514" s="276">
        <f t="shared" ref="F514:X514" si="210">F515</f>
        <v>0</v>
      </c>
      <c r="G514" s="218">
        <v>0</v>
      </c>
      <c r="H514" s="277">
        <f t="shared" si="210"/>
        <v>0</v>
      </c>
      <c r="I514" s="278">
        <f t="shared" si="210"/>
        <v>143530</v>
      </c>
      <c r="J514" s="277">
        <f t="shared" si="210"/>
        <v>0</v>
      </c>
      <c r="K514" s="279">
        <f t="shared" si="210"/>
        <v>143530</v>
      </c>
      <c r="L514" s="280">
        <v>0</v>
      </c>
      <c r="M514" s="280"/>
      <c r="N514" s="280">
        <f t="shared" si="210"/>
        <v>143530</v>
      </c>
      <c r="O514" s="276">
        <f t="shared" si="210"/>
        <v>0</v>
      </c>
      <c r="P514" s="276">
        <f t="shared" si="210"/>
        <v>0</v>
      </c>
      <c r="Q514" s="276">
        <f t="shared" si="210"/>
        <v>0</v>
      </c>
      <c r="R514" s="276">
        <f t="shared" si="210"/>
        <v>0</v>
      </c>
      <c r="S514" s="276">
        <f t="shared" si="210"/>
        <v>0</v>
      </c>
      <c r="T514" s="276">
        <f t="shared" si="210"/>
        <v>0</v>
      </c>
      <c r="U514" s="276">
        <f t="shared" si="210"/>
        <v>0</v>
      </c>
      <c r="V514" s="26">
        <f t="shared" si="189"/>
        <v>0</v>
      </c>
      <c r="W514" s="276">
        <f t="shared" si="210"/>
        <v>0</v>
      </c>
      <c r="X514" s="276">
        <f t="shared" si="210"/>
        <v>143530</v>
      </c>
    </row>
    <row r="515" spans="1:24" ht="33.75" x14ac:dyDescent="0.2">
      <c r="A515" s="645"/>
      <c r="B515" s="624"/>
      <c r="C515" s="624" t="s">
        <v>747</v>
      </c>
      <c r="D515" s="282" t="s">
        <v>748</v>
      </c>
      <c r="E515" s="283">
        <v>0</v>
      </c>
      <c r="F515" s="284">
        <v>0</v>
      </c>
      <c r="G515" s="237">
        <v>0</v>
      </c>
      <c r="H515" s="285">
        <v>0</v>
      </c>
      <c r="I515" s="286">
        <v>143530</v>
      </c>
      <c r="J515" s="287"/>
      <c r="K515" s="288">
        <f>I515+J515</f>
        <v>143530</v>
      </c>
      <c r="L515" s="289">
        <v>0</v>
      </c>
      <c r="M515" s="630"/>
      <c r="N515" s="217">
        <f t="shared" ref="N515" si="211">SUM(O515:X515)</f>
        <v>143530</v>
      </c>
      <c r="O515" s="26"/>
      <c r="P515" s="26"/>
      <c r="Q515" s="26"/>
      <c r="R515" s="26"/>
      <c r="S515" s="26"/>
      <c r="T515" s="26"/>
      <c r="U515" s="26"/>
      <c r="V515" s="26">
        <f t="shared" si="189"/>
        <v>0</v>
      </c>
      <c r="W515" s="26"/>
      <c r="X515" s="26">
        <f>I515</f>
        <v>143530</v>
      </c>
    </row>
    <row r="516" spans="1:24" ht="22.5" x14ac:dyDescent="0.2">
      <c r="A516" s="574" t="s">
        <v>297</v>
      </c>
      <c r="B516" s="39"/>
      <c r="C516" s="39"/>
      <c r="D516" s="40" t="s">
        <v>298</v>
      </c>
      <c r="E516" s="41">
        <f>E517+E522+E534+E536+E541+E546+E550+E552</f>
        <v>3703670.99</v>
      </c>
      <c r="F516" s="41">
        <f>F517+F522+F534+F536+F541+F546+F550+F552</f>
        <v>2387146.56</v>
      </c>
      <c r="G516" s="220">
        <f t="shared" si="176"/>
        <v>0.64453526418662799</v>
      </c>
      <c r="H516" s="41">
        <f>H517+H522+H534+H536+H541+H546+H550+H552</f>
        <v>3284307.05</v>
      </c>
      <c r="I516" s="43">
        <f>I517+I522+I534+I536+I541+I546+I550+I552</f>
        <v>4510512.1899999995</v>
      </c>
      <c r="J516" s="111">
        <f>J517+J522+J534+J536+J541+J546+J550+J552</f>
        <v>-320000</v>
      </c>
      <c r="K516" s="206">
        <f>K517+K522+K534+K536+K541+K546+K550+K552</f>
        <v>4190512.19</v>
      </c>
      <c r="L516" s="290">
        <f t="shared" si="177"/>
        <v>1.1314482850432672</v>
      </c>
      <c r="M516" s="207"/>
      <c r="N516" s="208">
        <f t="shared" ref="N516:X516" si="212">N517+N522+N534+N536+N541+N546+N550+N552</f>
        <v>4190512.19</v>
      </c>
      <c r="O516" s="109">
        <f t="shared" si="212"/>
        <v>434409.95999999996</v>
      </c>
      <c r="P516" s="109">
        <f t="shared" si="212"/>
        <v>15500</v>
      </c>
      <c r="Q516" s="109">
        <f t="shared" si="212"/>
        <v>1981602.23</v>
      </c>
      <c r="R516" s="109">
        <f t="shared" si="212"/>
        <v>1759000</v>
      </c>
      <c r="S516" s="109">
        <f t="shared" si="212"/>
        <v>0</v>
      </c>
      <c r="T516" s="109">
        <f t="shared" si="212"/>
        <v>0</v>
      </c>
      <c r="U516" s="109">
        <f t="shared" si="212"/>
        <v>0</v>
      </c>
      <c r="V516" s="230">
        <f t="shared" si="189"/>
        <v>4190512.19</v>
      </c>
      <c r="W516" s="109">
        <f t="shared" si="212"/>
        <v>0</v>
      </c>
      <c r="X516" s="109">
        <f t="shared" si="212"/>
        <v>0</v>
      </c>
    </row>
    <row r="517" spans="1:24" ht="15" x14ac:dyDescent="0.2">
      <c r="A517" s="571"/>
      <c r="B517" s="15" t="s">
        <v>846</v>
      </c>
      <c r="C517" s="16"/>
      <c r="D517" s="17" t="s">
        <v>847</v>
      </c>
      <c r="E517" s="60">
        <f>E519+E520+E521+E518</f>
        <v>92700</v>
      </c>
      <c r="F517" s="60">
        <f>F519+F520+F521+F518</f>
        <v>65790.05</v>
      </c>
      <c r="G517" s="291">
        <f t="shared" si="176"/>
        <v>0.70970927723840349</v>
      </c>
      <c r="H517" s="60">
        <f>H519+H520+H521+H518</f>
        <v>82675.33</v>
      </c>
      <c r="I517" s="81">
        <f t="shared" ref="I517:X517" si="213">I519+I520+I521+I518</f>
        <v>155000</v>
      </c>
      <c r="J517" s="114">
        <f t="shared" si="213"/>
        <v>0</v>
      </c>
      <c r="K517" s="292">
        <f t="shared" si="213"/>
        <v>155000</v>
      </c>
      <c r="L517" s="293">
        <f t="shared" si="177"/>
        <v>1.6720604099244876</v>
      </c>
      <c r="M517" s="294"/>
      <c r="N517" s="210">
        <f t="shared" si="213"/>
        <v>155000</v>
      </c>
      <c r="O517" s="95">
        <f t="shared" si="213"/>
        <v>0</v>
      </c>
      <c r="P517" s="95">
        <f t="shared" si="213"/>
        <v>0</v>
      </c>
      <c r="Q517" s="95">
        <f t="shared" si="213"/>
        <v>115000</v>
      </c>
      <c r="R517" s="95">
        <f t="shared" si="213"/>
        <v>40000</v>
      </c>
      <c r="S517" s="95">
        <f t="shared" si="213"/>
        <v>0</v>
      </c>
      <c r="T517" s="95">
        <f t="shared" si="213"/>
        <v>0</v>
      </c>
      <c r="U517" s="95">
        <f t="shared" si="213"/>
        <v>0</v>
      </c>
      <c r="V517" s="26">
        <f t="shared" si="189"/>
        <v>155000</v>
      </c>
      <c r="W517" s="95">
        <f t="shared" si="213"/>
        <v>0</v>
      </c>
      <c r="X517" s="95">
        <f t="shared" si="213"/>
        <v>0</v>
      </c>
    </row>
    <row r="518" spans="1:24" s="71" customFormat="1" ht="45" x14ac:dyDescent="0.2">
      <c r="A518" s="575"/>
      <c r="B518" s="64"/>
      <c r="C518" s="295" t="s">
        <v>308</v>
      </c>
      <c r="D518" s="24" t="s">
        <v>735</v>
      </c>
      <c r="E518" s="66">
        <v>0</v>
      </c>
      <c r="F518" s="66">
        <v>0</v>
      </c>
      <c r="G518" s="296">
        <v>0</v>
      </c>
      <c r="H518" s="83">
        <v>0</v>
      </c>
      <c r="I518" s="297">
        <v>100000</v>
      </c>
      <c r="J518" s="83"/>
      <c r="K518" s="298">
        <f>I518+J518</f>
        <v>100000</v>
      </c>
      <c r="L518" s="289">
        <v>0</v>
      </c>
      <c r="M518" s="629" t="s">
        <v>848</v>
      </c>
      <c r="N518" s="217">
        <f>V518+W518+X518</f>
        <v>100000</v>
      </c>
      <c r="O518" s="124"/>
      <c r="P518" s="124"/>
      <c r="Q518" s="124">
        <v>100000</v>
      </c>
      <c r="R518" s="124"/>
      <c r="S518" s="124"/>
      <c r="T518" s="124"/>
      <c r="U518" s="124"/>
      <c r="V518" s="26">
        <f t="shared" si="189"/>
        <v>100000</v>
      </c>
      <c r="W518" s="124"/>
      <c r="X518" s="124"/>
    </row>
    <row r="519" spans="1:24" x14ac:dyDescent="0.2">
      <c r="A519" s="572"/>
      <c r="B519" s="22"/>
      <c r="C519" s="23" t="s">
        <v>382</v>
      </c>
      <c r="D519" s="24" t="s">
        <v>383</v>
      </c>
      <c r="E519" s="72" t="s">
        <v>464</v>
      </c>
      <c r="F519" s="86">
        <v>0</v>
      </c>
      <c r="G519" s="237">
        <f t="shared" si="176"/>
        <v>0</v>
      </c>
      <c r="H519" s="299">
        <v>0</v>
      </c>
      <c r="I519" s="300">
        <f>5000</f>
        <v>5000</v>
      </c>
      <c r="J519" s="213"/>
      <c r="K519" s="298">
        <f t="shared" ref="K519:K521" si="214">I519+J519</f>
        <v>5000</v>
      </c>
      <c r="L519" s="216">
        <f t="shared" si="177"/>
        <v>0.5</v>
      </c>
      <c r="M519" s="626" t="s">
        <v>849</v>
      </c>
      <c r="N519" s="217">
        <f t="shared" ref="N519:N521" si="215">V519+W519+X519</f>
        <v>5000</v>
      </c>
      <c r="O519" s="26"/>
      <c r="P519" s="26"/>
      <c r="Q519" s="26">
        <v>5000</v>
      </c>
      <c r="R519" s="26"/>
      <c r="S519" s="26"/>
      <c r="T519" s="26"/>
      <c r="U519" s="26"/>
      <c r="V519" s="26">
        <f t="shared" si="189"/>
        <v>5000</v>
      </c>
      <c r="W519" s="26"/>
      <c r="X519" s="26"/>
    </row>
    <row r="520" spans="1:24" ht="22.5" x14ac:dyDescent="0.2">
      <c r="A520" s="572"/>
      <c r="B520" s="22"/>
      <c r="C520" s="23" t="s">
        <v>386</v>
      </c>
      <c r="D520" s="24" t="s">
        <v>387</v>
      </c>
      <c r="E520" s="25" t="s">
        <v>850</v>
      </c>
      <c r="F520" s="211">
        <v>48114.720000000001</v>
      </c>
      <c r="G520" s="212">
        <f t="shared" si="176"/>
        <v>0.74022646153846161</v>
      </c>
      <c r="H520" s="213">
        <v>65000</v>
      </c>
      <c r="I520" s="301">
        <f>10000+40000</f>
        <v>50000</v>
      </c>
      <c r="J520" s="213"/>
      <c r="K520" s="298">
        <f t="shared" si="214"/>
        <v>50000</v>
      </c>
      <c r="L520" s="216">
        <f t="shared" si="177"/>
        <v>0.76923076923076927</v>
      </c>
      <c r="M520" s="626" t="s">
        <v>851</v>
      </c>
      <c r="N520" s="217">
        <f t="shared" si="215"/>
        <v>50000</v>
      </c>
      <c r="O520" s="26"/>
      <c r="P520" s="26"/>
      <c r="Q520" s="26">
        <v>10000</v>
      </c>
      <c r="R520" s="26">
        <v>40000</v>
      </c>
      <c r="S520" s="26"/>
      <c r="T520" s="26"/>
      <c r="U520" s="26"/>
      <c r="V520" s="26">
        <f t="shared" si="189"/>
        <v>50000</v>
      </c>
      <c r="W520" s="26"/>
      <c r="X520" s="26"/>
    </row>
    <row r="521" spans="1:24" ht="22.5" x14ac:dyDescent="0.2">
      <c r="A521" s="572"/>
      <c r="B521" s="22"/>
      <c r="C521" s="23" t="s">
        <v>393</v>
      </c>
      <c r="D521" s="24" t="s">
        <v>394</v>
      </c>
      <c r="E521" s="25" t="s">
        <v>852</v>
      </c>
      <c r="F521" s="211">
        <v>17675.330000000002</v>
      </c>
      <c r="G521" s="212">
        <f t="shared" si="176"/>
        <v>0.99860621468926558</v>
      </c>
      <c r="H521" s="213">
        <v>17675.330000000002</v>
      </c>
      <c r="I521" s="214"/>
      <c r="J521" s="213"/>
      <c r="K521" s="298">
        <f t="shared" si="214"/>
        <v>0</v>
      </c>
      <c r="L521" s="216">
        <f t="shared" si="177"/>
        <v>0</v>
      </c>
      <c r="M521" s="626"/>
      <c r="N521" s="217">
        <f t="shared" si="215"/>
        <v>0</v>
      </c>
      <c r="O521" s="26"/>
      <c r="P521" s="26"/>
      <c r="Q521" s="26"/>
      <c r="R521" s="26"/>
      <c r="S521" s="26"/>
      <c r="T521" s="26"/>
      <c r="U521" s="26"/>
      <c r="V521" s="26">
        <f t="shared" si="189"/>
        <v>0</v>
      </c>
      <c r="W521" s="26"/>
      <c r="X521" s="26"/>
    </row>
    <row r="522" spans="1:24" ht="15" x14ac:dyDescent="0.2">
      <c r="A522" s="571"/>
      <c r="B522" s="15" t="s">
        <v>299</v>
      </c>
      <c r="C522" s="16"/>
      <c r="D522" s="17" t="s">
        <v>300</v>
      </c>
      <c r="E522" s="18">
        <f>E523+E524+E525+E526+E527+E528+E529+E531+E532+E533+E530</f>
        <v>1894700</v>
      </c>
      <c r="F522" s="18">
        <f>F523+F524+F525+F526+F527+F528+F529+F531+F532+F533+F530</f>
        <v>1310869.98</v>
      </c>
      <c r="G522" s="218">
        <f t="shared" si="176"/>
        <v>0.69186149786245843</v>
      </c>
      <c r="H522" s="18">
        <f>H523+H524+H525+H526+H527+H528+H529+H531+H532+H533+H530</f>
        <v>1753645.75</v>
      </c>
      <c r="I522" s="20">
        <f t="shared" ref="I522:X522" si="216">I523+I524+I525+I526+I527+I528+I529+I531+I532+I533+I530</f>
        <v>1895276</v>
      </c>
      <c r="J522" s="114">
        <f t="shared" si="216"/>
        <v>0</v>
      </c>
      <c r="K522" s="209">
        <f t="shared" si="216"/>
        <v>1895276</v>
      </c>
      <c r="L522" s="219">
        <f t="shared" si="177"/>
        <v>1.000304005911226</v>
      </c>
      <c r="M522" s="21"/>
      <c r="N522" s="210">
        <f t="shared" si="216"/>
        <v>1895276</v>
      </c>
      <c r="O522" s="95">
        <f t="shared" si="216"/>
        <v>143673.76999999999</v>
      </c>
      <c r="P522" s="95">
        <f t="shared" si="216"/>
        <v>0</v>
      </c>
      <c r="Q522" s="95">
        <f t="shared" si="216"/>
        <v>1751602.23</v>
      </c>
      <c r="R522" s="95">
        <f t="shared" si="216"/>
        <v>0</v>
      </c>
      <c r="S522" s="95">
        <f t="shared" si="216"/>
        <v>0</v>
      </c>
      <c r="T522" s="95">
        <f t="shared" si="216"/>
        <v>0</v>
      </c>
      <c r="U522" s="95">
        <f t="shared" si="216"/>
        <v>0</v>
      </c>
      <c r="V522" s="26">
        <f t="shared" si="189"/>
        <v>1895276</v>
      </c>
      <c r="W522" s="95">
        <f t="shared" si="216"/>
        <v>0</v>
      </c>
      <c r="X522" s="95">
        <f t="shared" si="216"/>
        <v>0</v>
      </c>
    </row>
    <row r="523" spans="1:24" ht="45" x14ac:dyDescent="0.2">
      <c r="A523" s="572"/>
      <c r="B523" s="22"/>
      <c r="C523" s="23" t="s">
        <v>641</v>
      </c>
      <c r="D523" s="24" t="s">
        <v>642</v>
      </c>
      <c r="E523" s="25" t="s">
        <v>112</v>
      </c>
      <c r="F523" s="211">
        <v>30000</v>
      </c>
      <c r="G523" s="212">
        <f t="shared" si="176"/>
        <v>1</v>
      </c>
      <c r="H523" s="213">
        <v>30000</v>
      </c>
      <c r="I523" s="214">
        <v>30000</v>
      </c>
      <c r="J523" s="213"/>
      <c r="K523" s="215">
        <f>I523+J523</f>
        <v>30000</v>
      </c>
      <c r="L523" s="216">
        <f t="shared" si="177"/>
        <v>1</v>
      </c>
      <c r="M523" s="626" t="s">
        <v>853</v>
      </c>
      <c r="N523" s="217">
        <f>V523+W523+X523</f>
        <v>30000</v>
      </c>
      <c r="O523" s="26"/>
      <c r="P523" s="26"/>
      <c r="Q523" s="26">
        <v>30000</v>
      </c>
      <c r="R523" s="26"/>
      <c r="S523" s="26"/>
      <c r="T523" s="26"/>
      <c r="U523" s="26"/>
      <c r="V523" s="26">
        <f t="shared" si="189"/>
        <v>30000</v>
      </c>
      <c r="W523" s="26"/>
      <c r="X523" s="26"/>
    </row>
    <row r="524" spans="1:24" x14ac:dyDescent="0.2">
      <c r="A524" s="572"/>
      <c r="B524" s="22"/>
      <c r="C524" s="23" t="s">
        <v>373</v>
      </c>
      <c r="D524" s="24" t="s">
        <v>374</v>
      </c>
      <c r="E524" s="25" t="s">
        <v>854</v>
      </c>
      <c r="F524" s="211">
        <v>78707.199999999997</v>
      </c>
      <c r="G524" s="212">
        <f t="shared" si="176"/>
        <v>0.74784619569715172</v>
      </c>
      <c r="H524" s="25" t="s">
        <v>854</v>
      </c>
      <c r="I524" s="214">
        <v>108851.35</v>
      </c>
      <c r="J524" s="213"/>
      <c r="K524" s="215">
        <f t="shared" ref="K524:K533" si="217">I524+J524</f>
        <v>108851.35</v>
      </c>
      <c r="L524" s="216">
        <f t="shared" si="177"/>
        <v>1.0342645653002414</v>
      </c>
      <c r="M524" s="626"/>
      <c r="N524" s="217">
        <f t="shared" ref="N524:N533" si="218">V524+W524+X524</f>
        <v>108851.35</v>
      </c>
      <c r="O524" s="211">
        <v>108851.35</v>
      </c>
      <c r="P524" s="26"/>
      <c r="Q524" s="26"/>
      <c r="R524" s="26"/>
      <c r="S524" s="26"/>
      <c r="T524" s="26"/>
      <c r="U524" s="26"/>
      <c r="V524" s="26">
        <f t="shared" si="189"/>
        <v>108851.35</v>
      </c>
      <c r="W524" s="26"/>
      <c r="X524" s="26"/>
    </row>
    <row r="525" spans="1:24" x14ac:dyDescent="0.2">
      <c r="A525" s="572"/>
      <c r="B525" s="22"/>
      <c r="C525" s="23" t="s">
        <v>466</v>
      </c>
      <c r="D525" s="24" t="s">
        <v>467</v>
      </c>
      <c r="E525" s="25" t="s">
        <v>855</v>
      </c>
      <c r="F525" s="211">
        <v>8434.2199999999993</v>
      </c>
      <c r="G525" s="212">
        <f t="shared" si="176"/>
        <v>0.94933450393106966</v>
      </c>
      <c r="H525" s="25" t="s">
        <v>855</v>
      </c>
      <c r="I525" s="214">
        <v>8945.84</v>
      </c>
      <c r="J525" s="213"/>
      <c r="K525" s="215">
        <f t="shared" si="217"/>
        <v>8945.84</v>
      </c>
      <c r="L525" s="216">
        <f t="shared" si="177"/>
        <v>1.0069211591168741</v>
      </c>
      <c r="M525" s="626"/>
      <c r="N525" s="217">
        <f t="shared" si="218"/>
        <v>8945.84</v>
      </c>
      <c r="O525" s="211">
        <v>8945.84</v>
      </c>
      <c r="P525" s="26"/>
      <c r="Q525" s="26"/>
      <c r="R525" s="26"/>
      <c r="S525" s="26"/>
      <c r="T525" s="26"/>
      <c r="U525" s="26"/>
      <c r="V525" s="26">
        <f t="shared" si="189"/>
        <v>8945.84</v>
      </c>
      <c r="W525" s="26"/>
      <c r="X525" s="26"/>
    </row>
    <row r="526" spans="1:24" x14ac:dyDescent="0.2">
      <c r="A526" s="572"/>
      <c r="B526" s="22"/>
      <c r="C526" s="23" t="s">
        <v>376</v>
      </c>
      <c r="D526" s="24" t="s">
        <v>377</v>
      </c>
      <c r="E526" s="25" t="s">
        <v>856</v>
      </c>
      <c r="F526" s="211">
        <v>14989.15</v>
      </c>
      <c r="G526" s="212">
        <f t="shared" si="176"/>
        <v>0.76401737919532531</v>
      </c>
      <c r="H526" s="25" t="s">
        <v>856</v>
      </c>
      <c r="I526" s="214">
        <v>20249.34</v>
      </c>
      <c r="J526" s="213"/>
      <c r="K526" s="215">
        <f t="shared" si="217"/>
        <v>20249.34</v>
      </c>
      <c r="L526" s="216">
        <f t="shared" si="177"/>
        <v>1.0321364238289075</v>
      </c>
      <c r="M526" s="626"/>
      <c r="N526" s="217">
        <f t="shared" si="218"/>
        <v>20249.34</v>
      </c>
      <c r="O526" s="211">
        <v>20249.34</v>
      </c>
      <c r="P526" s="26"/>
      <c r="Q526" s="26"/>
      <c r="R526" s="26"/>
      <c r="S526" s="26"/>
      <c r="T526" s="26"/>
      <c r="U526" s="26"/>
      <c r="V526" s="26">
        <f t="shared" si="189"/>
        <v>20249.34</v>
      </c>
      <c r="W526" s="26"/>
      <c r="X526" s="26"/>
    </row>
    <row r="527" spans="1:24" x14ac:dyDescent="0.2">
      <c r="A527" s="572"/>
      <c r="B527" s="22"/>
      <c r="C527" s="23" t="s">
        <v>379</v>
      </c>
      <c r="D527" s="24" t="s">
        <v>380</v>
      </c>
      <c r="E527" s="25" t="s">
        <v>857</v>
      </c>
      <c r="F527" s="211">
        <v>1527.13</v>
      </c>
      <c r="G527" s="212">
        <f t="shared" si="176"/>
        <v>0.54615062746542598</v>
      </c>
      <c r="H527" s="25" t="s">
        <v>857</v>
      </c>
      <c r="I527" s="214">
        <v>2072.2399999999998</v>
      </c>
      <c r="J527" s="213"/>
      <c r="K527" s="215">
        <f t="shared" si="217"/>
        <v>2072.2399999999998</v>
      </c>
      <c r="L527" s="216">
        <f t="shared" si="177"/>
        <v>0.74109943243794185</v>
      </c>
      <c r="M527" s="626"/>
      <c r="N527" s="217">
        <f t="shared" si="218"/>
        <v>2072.2399999999998</v>
      </c>
      <c r="O527" s="211">
        <v>2072.2399999999998</v>
      </c>
      <c r="P527" s="26"/>
      <c r="Q527" s="26"/>
      <c r="R527" s="26"/>
      <c r="S527" s="26"/>
      <c r="T527" s="26"/>
      <c r="U527" s="26"/>
      <c r="V527" s="26">
        <f t="shared" si="189"/>
        <v>2072.2399999999998</v>
      </c>
      <c r="W527" s="26"/>
      <c r="X527" s="26"/>
    </row>
    <row r="528" spans="1:24" ht="22.5" x14ac:dyDescent="0.2">
      <c r="A528" s="572"/>
      <c r="B528" s="22"/>
      <c r="C528" s="23" t="s">
        <v>382</v>
      </c>
      <c r="D528" s="24" t="s">
        <v>383</v>
      </c>
      <c r="E528" s="25" t="s">
        <v>31</v>
      </c>
      <c r="F528" s="211">
        <v>5980.17</v>
      </c>
      <c r="G528" s="212">
        <f t="shared" si="176"/>
        <v>0.29900850000000001</v>
      </c>
      <c r="H528" s="213">
        <v>20000</v>
      </c>
      <c r="I528" s="214">
        <f>20000+11000</f>
        <v>31000</v>
      </c>
      <c r="J528" s="213"/>
      <c r="K528" s="215">
        <f t="shared" si="217"/>
        <v>31000</v>
      </c>
      <c r="L528" s="216">
        <f t="shared" si="177"/>
        <v>1.55</v>
      </c>
      <c r="M528" s="626" t="s">
        <v>858</v>
      </c>
      <c r="N528" s="217">
        <f t="shared" si="218"/>
        <v>31000</v>
      </c>
      <c r="O528" s="26"/>
      <c r="P528" s="26"/>
      <c r="Q528" s="26">
        <v>31000</v>
      </c>
      <c r="R528" s="26"/>
      <c r="S528" s="26"/>
      <c r="T528" s="26"/>
      <c r="U528" s="26"/>
      <c r="V528" s="26">
        <f t="shared" si="189"/>
        <v>31000</v>
      </c>
      <c r="W528" s="26"/>
      <c r="X528" s="26"/>
    </row>
    <row r="529" spans="1:24" ht="22.5" x14ac:dyDescent="0.2">
      <c r="A529" s="572"/>
      <c r="B529" s="22"/>
      <c r="C529" s="23" t="s">
        <v>386</v>
      </c>
      <c r="D529" s="24" t="s">
        <v>387</v>
      </c>
      <c r="E529" s="25" t="s">
        <v>859</v>
      </c>
      <c r="F529" s="211">
        <v>1167120.71</v>
      </c>
      <c r="G529" s="212">
        <f t="shared" si="176"/>
        <v>0.69011394867549669</v>
      </c>
      <c r="H529" s="213">
        <v>1562989.8</v>
      </c>
      <c r="I529" s="214">
        <f>20000+1662722.19</f>
        <v>1682722.19</v>
      </c>
      <c r="J529" s="213"/>
      <c r="K529" s="215">
        <f t="shared" si="217"/>
        <v>1682722.19</v>
      </c>
      <c r="L529" s="216">
        <f t="shared" si="177"/>
        <v>0.99498710383159883</v>
      </c>
      <c r="M529" s="626" t="s">
        <v>860</v>
      </c>
      <c r="N529" s="217">
        <f t="shared" si="218"/>
        <v>1682722.19</v>
      </c>
      <c r="O529" s="26"/>
      <c r="P529" s="26"/>
      <c r="Q529" s="26">
        <f>20000+1662722.19</f>
        <v>1682722.19</v>
      </c>
      <c r="R529" s="26"/>
      <c r="S529" s="26"/>
      <c r="T529" s="26"/>
      <c r="U529" s="26"/>
      <c r="V529" s="26">
        <f t="shared" ref="V529:V594" si="219">SUM(O529:U529)</f>
        <v>1682722.19</v>
      </c>
      <c r="W529" s="26"/>
      <c r="X529" s="26"/>
    </row>
    <row r="530" spans="1:24" x14ac:dyDescent="0.2">
      <c r="A530" s="572"/>
      <c r="B530" s="22"/>
      <c r="C530" s="23" t="s">
        <v>473</v>
      </c>
      <c r="D530" s="24" t="s">
        <v>474</v>
      </c>
      <c r="E530" s="25">
        <v>0</v>
      </c>
      <c r="F530" s="211">
        <v>0</v>
      </c>
      <c r="G530" s="212">
        <v>0</v>
      </c>
      <c r="H530" s="213">
        <v>0</v>
      </c>
      <c r="I530" s="214">
        <v>1000</v>
      </c>
      <c r="J530" s="213"/>
      <c r="K530" s="215">
        <f t="shared" si="217"/>
        <v>1000</v>
      </c>
      <c r="L530" s="216">
        <v>0</v>
      </c>
      <c r="M530" s="626" t="s">
        <v>861</v>
      </c>
      <c r="N530" s="217">
        <f t="shared" si="218"/>
        <v>1000</v>
      </c>
      <c r="O530" s="26"/>
      <c r="P530" s="26"/>
      <c r="Q530" s="26">
        <v>1000</v>
      </c>
      <c r="R530" s="26"/>
      <c r="S530" s="26"/>
      <c r="T530" s="26"/>
      <c r="U530" s="26"/>
      <c r="V530" s="26">
        <f t="shared" si="219"/>
        <v>1000</v>
      </c>
      <c r="W530" s="26"/>
      <c r="X530" s="26"/>
    </row>
    <row r="531" spans="1:24" x14ac:dyDescent="0.2">
      <c r="A531" s="572"/>
      <c r="B531" s="22"/>
      <c r="C531" s="23" t="s">
        <v>390</v>
      </c>
      <c r="D531" s="24" t="s">
        <v>391</v>
      </c>
      <c r="E531" s="25" t="s">
        <v>464</v>
      </c>
      <c r="F531" s="211">
        <v>0</v>
      </c>
      <c r="G531" s="212">
        <f t="shared" si="176"/>
        <v>0</v>
      </c>
      <c r="H531" s="213">
        <v>0</v>
      </c>
      <c r="I531" s="214">
        <v>3500</v>
      </c>
      <c r="J531" s="213"/>
      <c r="K531" s="215">
        <f t="shared" si="217"/>
        <v>3500</v>
      </c>
      <c r="L531" s="216">
        <f t="shared" si="177"/>
        <v>0.35</v>
      </c>
      <c r="M531" s="626" t="s">
        <v>862</v>
      </c>
      <c r="N531" s="217">
        <f t="shared" si="218"/>
        <v>3500</v>
      </c>
      <c r="O531" s="26"/>
      <c r="P531" s="26"/>
      <c r="Q531" s="26">
        <v>3500</v>
      </c>
      <c r="R531" s="26"/>
      <c r="S531" s="26"/>
      <c r="T531" s="26"/>
      <c r="U531" s="26"/>
      <c r="V531" s="26">
        <f t="shared" si="219"/>
        <v>3500</v>
      </c>
      <c r="W531" s="26"/>
      <c r="X531" s="26"/>
    </row>
    <row r="532" spans="1:24" ht="22.5" x14ac:dyDescent="0.2">
      <c r="A532" s="572"/>
      <c r="B532" s="22"/>
      <c r="C532" s="23" t="s">
        <v>515</v>
      </c>
      <c r="D532" s="24" t="s">
        <v>516</v>
      </c>
      <c r="E532" s="25" t="s">
        <v>863</v>
      </c>
      <c r="F532" s="211">
        <v>3555</v>
      </c>
      <c r="G532" s="212">
        <f t="shared" si="176"/>
        <v>1</v>
      </c>
      <c r="H532" s="213">
        <v>3555</v>
      </c>
      <c r="I532" s="214">
        <v>3555</v>
      </c>
      <c r="J532" s="213"/>
      <c r="K532" s="215">
        <f t="shared" si="217"/>
        <v>3555</v>
      </c>
      <c r="L532" s="216">
        <f t="shared" si="177"/>
        <v>1</v>
      </c>
      <c r="M532" s="626" t="s">
        <v>864</v>
      </c>
      <c r="N532" s="217">
        <f t="shared" si="218"/>
        <v>3555</v>
      </c>
      <c r="O532" s="26">
        <v>3555</v>
      </c>
      <c r="P532" s="26"/>
      <c r="Q532" s="26"/>
      <c r="R532" s="26"/>
      <c r="S532" s="26"/>
      <c r="T532" s="26"/>
      <c r="U532" s="26"/>
      <c r="V532" s="26">
        <f t="shared" si="219"/>
        <v>3555</v>
      </c>
      <c r="W532" s="26"/>
      <c r="X532" s="26"/>
    </row>
    <row r="533" spans="1:24" ht="22.5" x14ac:dyDescent="0.2">
      <c r="A533" s="572"/>
      <c r="B533" s="22"/>
      <c r="C533" s="23" t="s">
        <v>475</v>
      </c>
      <c r="D533" s="24" t="s">
        <v>476</v>
      </c>
      <c r="E533" s="25" t="s">
        <v>865</v>
      </c>
      <c r="F533" s="211">
        <v>556.4</v>
      </c>
      <c r="G533" s="212">
        <f t="shared" si="176"/>
        <v>0.16362540252025468</v>
      </c>
      <c r="H533" s="213">
        <v>556.4</v>
      </c>
      <c r="I533" s="214">
        <v>3380.04</v>
      </c>
      <c r="J533" s="213"/>
      <c r="K533" s="215">
        <f t="shared" si="217"/>
        <v>3380.04</v>
      </c>
      <c r="L533" s="216">
        <f t="shared" si="177"/>
        <v>0.99399785322530843</v>
      </c>
      <c r="M533" s="626" t="s">
        <v>866</v>
      </c>
      <c r="N533" s="217">
        <f t="shared" si="218"/>
        <v>3380.04</v>
      </c>
      <c r="O533" s="26"/>
      <c r="P533" s="26"/>
      <c r="Q533" s="26">
        <v>3380.04</v>
      </c>
      <c r="R533" s="26"/>
      <c r="S533" s="26"/>
      <c r="T533" s="26"/>
      <c r="U533" s="26"/>
      <c r="V533" s="26">
        <f t="shared" si="219"/>
        <v>3380.04</v>
      </c>
      <c r="W533" s="26"/>
      <c r="X533" s="26"/>
    </row>
    <row r="534" spans="1:24" ht="15" x14ac:dyDescent="0.2">
      <c r="A534" s="571"/>
      <c r="B534" s="15" t="s">
        <v>867</v>
      </c>
      <c r="C534" s="16"/>
      <c r="D534" s="17" t="s">
        <v>868</v>
      </c>
      <c r="E534" s="18" t="str">
        <f>E535</f>
        <v>325 000,00</v>
      </c>
      <c r="F534" s="18">
        <f t="shared" ref="F534:X534" si="220">F535</f>
        <v>186859.51</v>
      </c>
      <c r="G534" s="218">
        <f t="shared" si="176"/>
        <v>0.57495233846153848</v>
      </c>
      <c r="H534" s="18">
        <f t="shared" si="220"/>
        <v>304964.65000000002</v>
      </c>
      <c r="I534" s="20">
        <f t="shared" si="220"/>
        <v>410000</v>
      </c>
      <c r="J534" s="114">
        <f t="shared" si="220"/>
        <v>-50000</v>
      </c>
      <c r="K534" s="209">
        <f t="shared" si="220"/>
        <v>360000</v>
      </c>
      <c r="L534" s="219">
        <f t="shared" si="177"/>
        <v>1.1076923076923078</v>
      </c>
      <c r="M534" s="21"/>
      <c r="N534" s="210">
        <f t="shared" si="220"/>
        <v>360000</v>
      </c>
      <c r="O534" s="95">
        <f t="shared" si="220"/>
        <v>0</v>
      </c>
      <c r="P534" s="95">
        <f t="shared" si="220"/>
        <v>0</v>
      </c>
      <c r="Q534" s="95">
        <f t="shared" si="220"/>
        <v>0</v>
      </c>
      <c r="R534" s="95">
        <f t="shared" si="220"/>
        <v>360000</v>
      </c>
      <c r="S534" s="95">
        <f t="shared" si="220"/>
        <v>0</v>
      </c>
      <c r="T534" s="95">
        <f t="shared" si="220"/>
        <v>0</v>
      </c>
      <c r="U534" s="95">
        <f t="shared" si="220"/>
        <v>0</v>
      </c>
      <c r="V534" s="26">
        <f t="shared" si="219"/>
        <v>360000</v>
      </c>
      <c r="W534" s="95">
        <f t="shared" si="220"/>
        <v>0</v>
      </c>
      <c r="X534" s="95">
        <f t="shared" si="220"/>
        <v>0</v>
      </c>
    </row>
    <row r="535" spans="1:24" x14ac:dyDescent="0.2">
      <c r="A535" s="572"/>
      <c r="B535" s="22"/>
      <c r="C535" s="23" t="s">
        <v>386</v>
      </c>
      <c r="D535" s="24" t="s">
        <v>387</v>
      </c>
      <c r="E535" s="25" t="s">
        <v>869</v>
      </c>
      <c r="F535" s="211">
        <v>186859.51</v>
      </c>
      <c r="G535" s="212">
        <f t="shared" ref="G535:G603" si="221">F535/E535</f>
        <v>0.57495233846153848</v>
      </c>
      <c r="H535" s="213">
        <v>304964.65000000002</v>
      </c>
      <c r="I535" s="214">
        <v>410000</v>
      </c>
      <c r="J535" s="213">
        <v>-50000</v>
      </c>
      <c r="K535" s="215">
        <f>I535+J535</f>
        <v>360000</v>
      </c>
      <c r="L535" s="216">
        <f t="shared" ref="L535:L603" si="222">K535/E535</f>
        <v>1.1076923076923078</v>
      </c>
      <c r="M535" s="626" t="s">
        <v>870</v>
      </c>
      <c r="N535" s="217">
        <f>V535+W535+X535</f>
        <v>360000</v>
      </c>
      <c r="O535" s="26"/>
      <c r="P535" s="26"/>
      <c r="Q535" s="26"/>
      <c r="R535" s="26">
        <v>360000</v>
      </c>
      <c r="S535" s="26"/>
      <c r="T535" s="26"/>
      <c r="U535" s="26"/>
      <c r="V535" s="26">
        <f t="shared" si="219"/>
        <v>360000</v>
      </c>
      <c r="W535" s="26"/>
      <c r="X535" s="26"/>
    </row>
    <row r="536" spans="1:24" ht="15" x14ac:dyDescent="0.2">
      <c r="A536" s="571"/>
      <c r="B536" s="15" t="s">
        <v>871</v>
      </c>
      <c r="C536" s="16"/>
      <c r="D536" s="17" t="s">
        <v>872</v>
      </c>
      <c r="E536" s="60">
        <f>E538+E539+E540+E537</f>
        <v>134698.18</v>
      </c>
      <c r="F536" s="60">
        <f>F538+F539+F540+F537</f>
        <v>95430.62999999999</v>
      </c>
      <c r="G536" s="291">
        <f t="shared" si="221"/>
        <v>0.70847750132926812</v>
      </c>
      <c r="H536" s="60">
        <f>H538+H539+H540+H537</f>
        <v>132139.29999999999</v>
      </c>
      <c r="I536" s="81">
        <f t="shared" ref="I536:X536" si="223">I538+I539+I540+I537</f>
        <v>365500</v>
      </c>
      <c r="J536" s="114">
        <f t="shared" si="223"/>
        <v>-140000</v>
      </c>
      <c r="K536" s="292">
        <f t="shared" si="223"/>
        <v>225500</v>
      </c>
      <c r="L536" s="219">
        <f t="shared" si="222"/>
        <v>1.6741131914328762</v>
      </c>
      <c r="M536" s="294"/>
      <c r="N536" s="210">
        <f t="shared" si="223"/>
        <v>225500</v>
      </c>
      <c r="O536" s="95">
        <f t="shared" si="223"/>
        <v>0</v>
      </c>
      <c r="P536" s="95">
        <f t="shared" si="223"/>
        <v>13500</v>
      </c>
      <c r="Q536" s="95">
        <f t="shared" si="223"/>
        <v>100000</v>
      </c>
      <c r="R536" s="95">
        <f t="shared" si="223"/>
        <v>112000</v>
      </c>
      <c r="S536" s="95">
        <f t="shared" si="223"/>
        <v>0</v>
      </c>
      <c r="T536" s="95">
        <f t="shared" si="223"/>
        <v>0</v>
      </c>
      <c r="U536" s="95">
        <f t="shared" si="223"/>
        <v>0</v>
      </c>
      <c r="V536" s="26">
        <f t="shared" si="219"/>
        <v>225500</v>
      </c>
      <c r="W536" s="95">
        <f t="shared" si="223"/>
        <v>0</v>
      </c>
      <c r="X536" s="95">
        <f t="shared" si="223"/>
        <v>0</v>
      </c>
    </row>
    <row r="537" spans="1:24" ht="15" x14ac:dyDescent="0.2">
      <c r="A537" s="571"/>
      <c r="B537" s="64"/>
      <c r="C537" s="295" t="s">
        <v>398</v>
      </c>
      <c r="D537" s="302" t="s">
        <v>399</v>
      </c>
      <c r="E537" s="66">
        <v>0</v>
      </c>
      <c r="F537" s="66">
        <v>0</v>
      </c>
      <c r="G537" s="296">
        <v>0</v>
      </c>
      <c r="H537" s="83">
        <v>0</v>
      </c>
      <c r="I537" s="297">
        <v>1500</v>
      </c>
      <c r="J537" s="83"/>
      <c r="K537" s="298">
        <f>I537+J537</f>
        <v>1500</v>
      </c>
      <c r="L537" s="232"/>
      <c r="M537" s="626" t="s">
        <v>873</v>
      </c>
      <c r="N537" s="217">
        <f>V537+W537+X537</f>
        <v>1500</v>
      </c>
      <c r="O537" s="26"/>
      <c r="P537" s="26">
        <v>1500</v>
      </c>
      <c r="Q537" s="26"/>
      <c r="R537" s="26"/>
      <c r="S537" s="26"/>
      <c r="T537" s="26"/>
      <c r="U537" s="26"/>
      <c r="V537" s="26">
        <f t="shared" si="219"/>
        <v>1500</v>
      </c>
      <c r="W537" s="26"/>
      <c r="X537" s="26"/>
    </row>
    <row r="538" spans="1:24" ht="22.5" x14ac:dyDescent="0.2">
      <c r="A538" s="572"/>
      <c r="B538" s="22"/>
      <c r="C538" s="23" t="s">
        <v>382</v>
      </c>
      <c r="D538" s="24" t="s">
        <v>383</v>
      </c>
      <c r="E538" s="72" t="s">
        <v>874</v>
      </c>
      <c r="F538" s="86">
        <v>13372.45</v>
      </c>
      <c r="G538" s="237">
        <f t="shared" si="221"/>
        <v>0.43417045454545455</v>
      </c>
      <c r="H538" s="299">
        <v>28272.45</v>
      </c>
      <c r="I538" s="300">
        <f>60000+8000+10500</f>
        <v>78500</v>
      </c>
      <c r="J538" s="213"/>
      <c r="K538" s="298">
        <f t="shared" ref="K538:K540" si="224">I538+J538</f>
        <v>78500</v>
      </c>
      <c r="L538" s="216">
        <f t="shared" si="222"/>
        <v>2.5487012987012987</v>
      </c>
      <c r="M538" s="626" t="s">
        <v>875</v>
      </c>
      <c r="N538" s="217">
        <f t="shared" ref="N538:N540" si="225">V538+W538+X538</f>
        <v>78500</v>
      </c>
      <c r="O538" s="26"/>
      <c r="P538" s="26">
        <v>10500</v>
      </c>
      <c r="Q538" s="26">
        <v>60000</v>
      </c>
      <c r="R538" s="26">
        <v>8000</v>
      </c>
      <c r="S538" s="26"/>
      <c r="T538" s="26"/>
      <c r="U538" s="26"/>
      <c r="V538" s="26">
        <f t="shared" si="219"/>
        <v>78500</v>
      </c>
      <c r="W538" s="26"/>
      <c r="X538" s="26"/>
    </row>
    <row r="539" spans="1:24" x14ac:dyDescent="0.2">
      <c r="A539" s="572"/>
      <c r="B539" s="22"/>
      <c r="C539" s="23" t="s">
        <v>401</v>
      </c>
      <c r="D539" s="24" t="s">
        <v>402</v>
      </c>
      <c r="E539" s="25" t="s">
        <v>535</v>
      </c>
      <c r="F539" s="211">
        <v>1476.5</v>
      </c>
      <c r="G539" s="212">
        <f t="shared" si="221"/>
        <v>0.73824999999999996</v>
      </c>
      <c r="H539" s="213">
        <v>1968.67</v>
      </c>
      <c r="I539" s="214">
        <v>4000</v>
      </c>
      <c r="J539" s="213"/>
      <c r="K539" s="298">
        <f t="shared" si="224"/>
        <v>4000</v>
      </c>
      <c r="L539" s="216">
        <f t="shared" si="222"/>
        <v>2</v>
      </c>
      <c r="M539" s="626"/>
      <c r="N539" s="217">
        <f t="shared" si="225"/>
        <v>4000</v>
      </c>
      <c r="O539" s="26"/>
      <c r="P539" s="26"/>
      <c r="Q539" s="26"/>
      <c r="R539" s="26">
        <v>4000</v>
      </c>
      <c r="S539" s="26"/>
      <c r="T539" s="26"/>
      <c r="U539" s="26"/>
      <c r="V539" s="26">
        <f t="shared" si="219"/>
        <v>4000</v>
      </c>
      <c r="W539" s="26"/>
      <c r="X539" s="26"/>
    </row>
    <row r="540" spans="1:24" ht="22.5" x14ac:dyDescent="0.2">
      <c r="A540" s="572"/>
      <c r="B540" s="22"/>
      <c r="C540" s="23" t="s">
        <v>386</v>
      </c>
      <c r="D540" s="24" t="s">
        <v>387</v>
      </c>
      <c r="E540" s="25" t="s">
        <v>876</v>
      </c>
      <c r="F540" s="211">
        <v>80581.679999999993</v>
      </c>
      <c r="G540" s="212">
        <f t="shared" si="221"/>
        <v>0.79080588092937476</v>
      </c>
      <c r="H540" s="213">
        <v>101898.18</v>
      </c>
      <c r="I540" s="214">
        <f>40000+240000+1500</f>
        <v>281500</v>
      </c>
      <c r="J540" s="213">
        <v>-140000</v>
      </c>
      <c r="K540" s="298">
        <f t="shared" si="224"/>
        <v>141500</v>
      </c>
      <c r="L540" s="216">
        <f t="shared" si="222"/>
        <v>1.3886410925101902</v>
      </c>
      <c r="M540" s="626" t="s">
        <v>877</v>
      </c>
      <c r="N540" s="217">
        <f t="shared" si="225"/>
        <v>141500</v>
      </c>
      <c r="O540" s="26"/>
      <c r="P540" s="26">
        <v>1500</v>
      </c>
      <c r="Q540" s="26">
        <v>40000</v>
      </c>
      <c r="R540" s="26">
        <v>100000</v>
      </c>
      <c r="S540" s="26"/>
      <c r="T540" s="26"/>
      <c r="U540" s="26"/>
      <c r="V540" s="26">
        <f t="shared" si="219"/>
        <v>141500</v>
      </c>
      <c r="W540" s="26"/>
      <c r="X540" s="26"/>
    </row>
    <row r="541" spans="1:24" ht="15" x14ac:dyDescent="0.2">
      <c r="A541" s="571"/>
      <c r="B541" s="15" t="s">
        <v>878</v>
      </c>
      <c r="C541" s="16"/>
      <c r="D541" s="17" t="s">
        <v>879</v>
      </c>
      <c r="E541" s="18">
        <f>E542+E543+E544+E545</f>
        <v>224415.81</v>
      </c>
      <c r="F541" s="18">
        <f t="shared" ref="F541:X541" si="226">F542+F543+F544+F545</f>
        <v>104322.02</v>
      </c>
      <c r="G541" s="218">
        <f t="shared" si="221"/>
        <v>0.4648603857277257</v>
      </c>
      <c r="H541" s="18">
        <f t="shared" si="226"/>
        <v>105144</v>
      </c>
      <c r="I541" s="20">
        <f t="shared" si="226"/>
        <v>262022.59</v>
      </c>
      <c r="J541" s="114">
        <f t="shared" si="226"/>
        <v>0</v>
      </c>
      <c r="K541" s="209">
        <f t="shared" si="226"/>
        <v>262022.59</v>
      </c>
      <c r="L541" s="219">
        <f t="shared" si="222"/>
        <v>1.1675763396527188</v>
      </c>
      <c r="M541" s="21"/>
      <c r="N541" s="210">
        <f t="shared" si="226"/>
        <v>262022.59</v>
      </c>
      <c r="O541" s="95">
        <f t="shared" si="226"/>
        <v>262022.59</v>
      </c>
      <c r="P541" s="95">
        <f t="shared" si="226"/>
        <v>0</v>
      </c>
      <c r="Q541" s="95">
        <f t="shared" si="226"/>
        <v>0</v>
      </c>
      <c r="R541" s="95">
        <f t="shared" si="226"/>
        <v>0</v>
      </c>
      <c r="S541" s="95">
        <f t="shared" si="226"/>
        <v>0</v>
      </c>
      <c r="T541" s="95">
        <f t="shared" si="226"/>
        <v>0</v>
      </c>
      <c r="U541" s="95">
        <f t="shared" si="226"/>
        <v>0</v>
      </c>
      <c r="V541" s="26">
        <f t="shared" si="219"/>
        <v>262022.59</v>
      </c>
      <c r="W541" s="95">
        <f t="shared" si="226"/>
        <v>0</v>
      </c>
      <c r="X541" s="95">
        <f t="shared" si="226"/>
        <v>0</v>
      </c>
    </row>
    <row r="542" spans="1:24" ht="45" x14ac:dyDescent="0.2">
      <c r="A542" s="572"/>
      <c r="B542" s="22"/>
      <c r="C542" s="23" t="s">
        <v>211</v>
      </c>
      <c r="D542" s="24" t="s">
        <v>407</v>
      </c>
      <c r="E542" s="25" t="s">
        <v>880</v>
      </c>
      <c r="F542" s="211">
        <v>103500</v>
      </c>
      <c r="G542" s="212">
        <f t="shared" si="221"/>
        <v>0.86250000000000004</v>
      </c>
      <c r="H542" s="213">
        <v>103500</v>
      </c>
      <c r="I542" s="214">
        <v>115000</v>
      </c>
      <c r="J542" s="213"/>
      <c r="K542" s="215">
        <f>I542+J542</f>
        <v>115000</v>
      </c>
      <c r="L542" s="216">
        <f t="shared" si="222"/>
        <v>0.95833333333333337</v>
      </c>
      <c r="M542" s="626"/>
      <c r="N542" s="217">
        <f>V542+W542+X542</f>
        <v>115000</v>
      </c>
      <c r="O542" s="26">
        <v>115000</v>
      </c>
      <c r="P542" s="26"/>
      <c r="Q542" s="26"/>
      <c r="R542" s="26"/>
      <c r="S542" s="26"/>
      <c r="T542" s="26"/>
      <c r="U542" s="26"/>
      <c r="V542" s="26">
        <f t="shared" si="219"/>
        <v>115000</v>
      </c>
      <c r="W542" s="26"/>
      <c r="X542" s="26"/>
    </row>
    <row r="543" spans="1:24" x14ac:dyDescent="0.2">
      <c r="A543" s="572"/>
      <c r="B543" s="22"/>
      <c r="C543" s="23" t="s">
        <v>382</v>
      </c>
      <c r="D543" s="24" t="s">
        <v>383</v>
      </c>
      <c r="E543" s="25" t="s">
        <v>104</v>
      </c>
      <c r="F543" s="211">
        <v>0</v>
      </c>
      <c r="G543" s="212">
        <f t="shared" si="221"/>
        <v>0</v>
      </c>
      <c r="H543" s="213">
        <v>0</v>
      </c>
      <c r="I543" s="214">
        <v>1000</v>
      </c>
      <c r="J543" s="213"/>
      <c r="K543" s="215">
        <f t="shared" ref="K543:K545" si="227">I543+J543</f>
        <v>1000</v>
      </c>
      <c r="L543" s="216">
        <f t="shared" si="222"/>
        <v>1</v>
      </c>
      <c r="M543" s="626"/>
      <c r="N543" s="217">
        <f t="shared" ref="N543:N545" si="228">V543+W543+X543</f>
        <v>1000</v>
      </c>
      <c r="O543" s="26">
        <v>1000</v>
      </c>
      <c r="P543" s="26"/>
      <c r="Q543" s="26"/>
      <c r="R543" s="26"/>
      <c r="S543" s="26"/>
      <c r="T543" s="26"/>
      <c r="U543" s="26"/>
      <c r="V543" s="26">
        <f t="shared" si="219"/>
        <v>1000</v>
      </c>
      <c r="W543" s="26"/>
      <c r="X543" s="26"/>
    </row>
    <row r="544" spans="1:24" x14ac:dyDescent="0.2">
      <c r="A544" s="572"/>
      <c r="B544" s="22"/>
      <c r="C544" s="23" t="s">
        <v>386</v>
      </c>
      <c r="D544" s="24" t="s">
        <v>387</v>
      </c>
      <c r="E544" s="25" t="s">
        <v>79</v>
      </c>
      <c r="F544" s="211">
        <v>822.02</v>
      </c>
      <c r="G544" s="212">
        <f t="shared" si="221"/>
        <v>0.20550499999999999</v>
      </c>
      <c r="H544" s="213">
        <v>1644</v>
      </c>
      <c r="I544" s="214">
        <v>4000</v>
      </c>
      <c r="J544" s="213"/>
      <c r="K544" s="215">
        <f t="shared" si="227"/>
        <v>4000</v>
      </c>
      <c r="L544" s="216">
        <f t="shared" si="222"/>
        <v>1</v>
      </c>
      <c r="M544" s="626"/>
      <c r="N544" s="217">
        <f t="shared" si="228"/>
        <v>4000</v>
      </c>
      <c r="O544" s="26">
        <v>4000</v>
      </c>
      <c r="P544" s="26"/>
      <c r="Q544" s="26"/>
      <c r="R544" s="26"/>
      <c r="S544" s="26"/>
      <c r="T544" s="26"/>
      <c r="U544" s="26"/>
      <c r="V544" s="26">
        <f t="shared" si="219"/>
        <v>4000</v>
      </c>
      <c r="W544" s="26"/>
      <c r="X544" s="26"/>
    </row>
    <row r="545" spans="1:24" ht="56.25" x14ac:dyDescent="0.2">
      <c r="A545" s="572"/>
      <c r="B545" s="22"/>
      <c r="C545" s="23" t="s">
        <v>18</v>
      </c>
      <c r="D545" s="24" t="s">
        <v>412</v>
      </c>
      <c r="E545" s="25" t="s">
        <v>881</v>
      </c>
      <c r="F545" s="211">
        <v>0</v>
      </c>
      <c r="G545" s="212">
        <f t="shared" si="221"/>
        <v>0</v>
      </c>
      <c r="H545" s="213">
        <v>0</v>
      </c>
      <c r="I545" s="214">
        <v>142022.59</v>
      </c>
      <c r="J545" s="213"/>
      <c r="K545" s="215">
        <f t="shared" si="227"/>
        <v>142022.59</v>
      </c>
      <c r="L545" s="216">
        <f t="shared" si="222"/>
        <v>1.4285714716804099</v>
      </c>
      <c r="M545" s="626"/>
      <c r="N545" s="217">
        <f t="shared" si="228"/>
        <v>142022.59</v>
      </c>
      <c r="O545" s="26">
        <v>142022.59</v>
      </c>
      <c r="P545" s="26"/>
      <c r="Q545" s="26"/>
      <c r="R545" s="26"/>
      <c r="S545" s="26"/>
      <c r="T545" s="26"/>
      <c r="U545" s="26"/>
      <c r="V545" s="26">
        <f t="shared" si="219"/>
        <v>142022.59</v>
      </c>
      <c r="W545" s="26"/>
      <c r="X545" s="26"/>
    </row>
    <row r="546" spans="1:24" ht="15" x14ac:dyDescent="0.2">
      <c r="A546" s="571"/>
      <c r="B546" s="15" t="s">
        <v>882</v>
      </c>
      <c r="C546" s="16"/>
      <c r="D546" s="17" t="s">
        <v>883</v>
      </c>
      <c r="E546" s="18">
        <f>E547+E548+E549</f>
        <v>886004</v>
      </c>
      <c r="F546" s="18">
        <f t="shared" ref="F546:X546" si="229">F547+F548+F549</f>
        <v>564660.12</v>
      </c>
      <c r="G546" s="218">
        <f t="shared" si="221"/>
        <v>0.63731102794118311</v>
      </c>
      <c r="H546" s="18">
        <f t="shared" si="229"/>
        <v>792097.22000000009</v>
      </c>
      <c r="I546" s="20">
        <f t="shared" si="229"/>
        <v>1111000</v>
      </c>
      <c r="J546" s="114">
        <f t="shared" si="229"/>
        <v>-130000</v>
      </c>
      <c r="K546" s="209">
        <f t="shared" si="229"/>
        <v>981000</v>
      </c>
      <c r="L546" s="219">
        <f t="shared" si="222"/>
        <v>1.10721847756895</v>
      </c>
      <c r="M546" s="21"/>
      <c r="N546" s="210">
        <f t="shared" si="229"/>
        <v>981000</v>
      </c>
      <c r="O546" s="95">
        <f t="shared" si="229"/>
        <v>0</v>
      </c>
      <c r="P546" s="95">
        <f t="shared" si="229"/>
        <v>2000</v>
      </c>
      <c r="Q546" s="95">
        <f t="shared" si="229"/>
        <v>0</v>
      </c>
      <c r="R546" s="95">
        <f t="shared" si="229"/>
        <v>979000</v>
      </c>
      <c r="S546" s="95">
        <f t="shared" si="229"/>
        <v>0</v>
      </c>
      <c r="T546" s="95">
        <f t="shared" si="229"/>
        <v>0</v>
      </c>
      <c r="U546" s="95">
        <f t="shared" si="229"/>
        <v>0</v>
      </c>
      <c r="V546" s="26">
        <f t="shared" si="219"/>
        <v>981000</v>
      </c>
      <c r="W546" s="95">
        <f t="shared" si="229"/>
        <v>0</v>
      </c>
      <c r="X546" s="95">
        <f t="shared" si="229"/>
        <v>0</v>
      </c>
    </row>
    <row r="547" spans="1:24" x14ac:dyDescent="0.2">
      <c r="A547" s="572"/>
      <c r="B547" s="22"/>
      <c r="C547" s="23" t="s">
        <v>401</v>
      </c>
      <c r="D547" s="24" t="s">
        <v>402</v>
      </c>
      <c r="E547" s="25" t="s">
        <v>884</v>
      </c>
      <c r="F547" s="211">
        <v>334570</v>
      </c>
      <c r="G547" s="212">
        <f t="shared" si="221"/>
        <v>0.61957407407407405</v>
      </c>
      <c r="H547" s="213">
        <v>446093.33</v>
      </c>
      <c r="I547" s="214">
        <v>650000</v>
      </c>
      <c r="J547" s="213">
        <v>-100000</v>
      </c>
      <c r="K547" s="215">
        <f>I547+J547</f>
        <v>550000</v>
      </c>
      <c r="L547" s="216">
        <f t="shared" si="222"/>
        <v>1.0185185185185186</v>
      </c>
      <c r="M547" s="626"/>
      <c r="N547" s="217">
        <f>V547+W547+X547</f>
        <v>550000</v>
      </c>
      <c r="O547" s="26"/>
      <c r="P547" s="26"/>
      <c r="Q547" s="26"/>
      <c r="R547" s="26">
        <v>550000</v>
      </c>
      <c r="S547" s="26"/>
      <c r="T547" s="26"/>
      <c r="U547" s="26"/>
      <c r="V547" s="26">
        <f t="shared" si="219"/>
        <v>550000</v>
      </c>
      <c r="W547" s="26"/>
      <c r="X547" s="26"/>
    </row>
    <row r="548" spans="1:24" ht="22.5" x14ac:dyDescent="0.2">
      <c r="A548" s="572"/>
      <c r="B548" s="22"/>
      <c r="C548" s="23" t="s">
        <v>386</v>
      </c>
      <c r="D548" s="24" t="s">
        <v>387</v>
      </c>
      <c r="E548" s="25" t="s">
        <v>885</v>
      </c>
      <c r="F548" s="211">
        <v>166086.23000000001</v>
      </c>
      <c r="G548" s="212">
        <f t="shared" si="221"/>
        <v>0.58895826241134752</v>
      </c>
      <c r="H548" s="213">
        <v>282000</v>
      </c>
      <c r="I548" s="214">
        <f>339000+2000</f>
        <v>341000</v>
      </c>
      <c r="J548" s="213"/>
      <c r="K548" s="215">
        <f t="shared" ref="K548:K549" si="230">I548+J548</f>
        <v>341000</v>
      </c>
      <c r="L548" s="216">
        <f t="shared" si="222"/>
        <v>1.2092198581560283</v>
      </c>
      <c r="M548" s="626" t="s">
        <v>886</v>
      </c>
      <c r="N548" s="217">
        <f t="shared" ref="N548:N549" si="231">V548+W548+X548</f>
        <v>341000</v>
      </c>
      <c r="O548" s="26"/>
      <c r="P548" s="26">
        <v>2000</v>
      </c>
      <c r="Q548" s="26"/>
      <c r="R548" s="26">
        <v>339000</v>
      </c>
      <c r="S548" s="26"/>
      <c r="T548" s="26"/>
      <c r="U548" s="26"/>
      <c r="V548" s="26">
        <f t="shared" si="219"/>
        <v>341000</v>
      </c>
      <c r="W548" s="26"/>
      <c r="X548" s="26"/>
    </row>
    <row r="549" spans="1:24" ht="22.5" x14ac:dyDescent="0.2">
      <c r="A549" s="572"/>
      <c r="B549" s="22"/>
      <c r="C549" s="23" t="s">
        <v>393</v>
      </c>
      <c r="D549" s="24" t="s">
        <v>394</v>
      </c>
      <c r="E549" s="25" t="s">
        <v>887</v>
      </c>
      <c r="F549" s="211">
        <v>64003.89</v>
      </c>
      <c r="G549" s="212">
        <f t="shared" si="221"/>
        <v>0.9999982813574152</v>
      </c>
      <c r="H549" s="213">
        <v>64003.89</v>
      </c>
      <c r="I549" s="214">
        <v>120000</v>
      </c>
      <c r="J549" s="213">
        <v>-30000</v>
      </c>
      <c r="K549" s="215">
        <f t="shared" si="230"/>
        <v>90000</v>
      </c>
      <c r="L549" s="216">
        <f t="shared" si="222"/>
        <v>1.4061621148678207</v>
      </c>
      <c r="M549" s="626"/>
      <c r="N549" s="217">
        <f t="shared" si="231"/>
        <v>90000</v>
      </c>
      <c r="O549" s="26"/>
      <c r="P549" s="26"/>
      <c r="Q549" s="26"/>
      <c r="R549" s="26">
        <v>90000</v>
      </c>
      <c r="S549" s="26"/>
      <c r="T549" s="26"/>
      <c r="U549" s="26"/>
      <c r="V549" s="26">
        <f t="shared" si="219"/>
        <v>90000</v>
      </c>
      <c r="W549" s="26"/>
      <c r="X549" s="26"/>
    </row>
    <row r="550" spans="1:24" ht="33.75" x14ac:dyDescent="0.2">
      <c r="A550" s="571"/>
      <c r="B550" s="15" t="s">
        <v>304</v>
      </c>
      <c r="C550" s="16"/>
      <c r="D550" s="17" t="s">
        <v>305</v>
      </c>
      <c r="E550" s="18" t="str">
        <f>E551</f>
        <v>10 000,00</v>
      </c>
      <c r="F550" s="18">
        <f t="shared" ref="F550:X550" si="232">F551</f>
        <v>6211</v>
      </c>
      <c r="G550" s="218">
        <f t="shared" si="221"/>
        <v>0.62109999999999999</v>
      </c>
      <c r="H550" s="18">
        <f t="shared" si="232"/>
        <v>6211</v>
      </c>
      <c r="I550" s="20">
        <f t="shared" si="232"/>
        <v>10000</v>
      </c>
      <c r="J550" s="114">
        <f t="shared" si="232"/>
        <v>0</v>
      </c>
      <c r="K550" s="209">
        <f t="shared" si="232"/>
        <v>10000</v>
      </c>
      <c r="L550" s="219">
        <f t="shared" si="222"/>
        <v>1</v>
      </c>
      <c r="M550" s="21"/>
      <c r="N550" s="210">
        <f t="shared" si="232"/>
        <v>10000</v>
      </c>
      <c r="O550" s="95">
        <f t="shared" si="232"/>
        <v>0</v>
      </c>
      <c r="P550" s="95">
        <f t="shared" si="232"/>
        <v>0</v>
      </c>
      <c r="Q550" s="95">
        <f t="shared" si="232"/>
        <v>10000</v>
      </c>
      <c r="R550" s="95">
        <f t="shared" si="232"/>
        <v>0</v>
      </c>
      <c r="S550" s="95">
        <f t="shared" si="232"/>
        <v>0</v>
      </c>
      <c r="T550" s="95">
        <f t="shared" si="232"/>
        <v>0</v>
      </c>
      <c r="U550" s="95">
        <f t="shared" si="232"/>
        <v>0</v>
      </c>
      <c r="V550" s="26">
        <f t="shared" si="219"/>
        <v>10000</v>
      </c>
      <c r="W550" s="95">
        <f t="shared" si="232"/>
        <v>0</v>
      </c>
      <c r="X550" s="95">
        <f t="shared" si="232"/>
        <v>0</v>
      </c>
    </row>
    <row r="551" spans="1:24" x14ac:dyDescent="0.2">
      <c r="A551" s="572"/>
      <c r="B551" s="22"/>
      <c r="C551" s="23" t="s">
        <v>390</v>
      </c>
      <c r="D551" s="24" t="s">
        <v>391</v>
      </c>
      <c r="E551" s="25" t="s">
        <v>464</v>
      </c>
      <c r="F551" s="211">
        <v>6211</v>
      </c>
      <c r="G551" s="212">
        <f t="shared" si="221"/>
        <v>0.62109999999999999</v>
      </c>
      <c r="H551" s="213">
        <v>6211</v>
      </c>
      <c r="I551" s="214">
        <v>10000</v>
      </c>
      <c r="J551" s="213"/>
      <c r="K551" s="215">
        <f>I551+J551</f>
        <v>10000</v>
      </c>
      <c r="L551" s="216">
        <f t="shared" si="222"/>
        <v>1</v>
      </c>
      <c r="M551" s="626" t="s">
        <v>888</v>
      </c>
      <c r="N551" s="217">
        <f>V551+W551+X551</f>
        <v>10000</v>
      </c>
      <c r="O551" s="26"/>
      <c r="P551" s="26"/>
      <c r="Q551" s="26">
        <v>10000</v>
      </c>
      <c r="R551" s="26"/>
      <c r="S551" s="26"/>
      <c r="T551" s="26"/>
      <c r="U551" s="26"/>
      <c r="V551" s="26">
        <f t="shared" si="219"/>
        <v>10000</v>
      </c>
      <c r="W551" s="26"/>
      <c r="X551" s="26"/>
    </row>
    <row r="552" spans="1:24" ht="15" x14ac:dyDescent="0.2">
      <c r="A552" s="571"/>
      <c r="B552" s="15" t="s">
        <v>307</v>
      </c>
      <c r="C552" s="16"/>
      <c r="D552" s="17" t="s">
        <v>22</v>
      </c>
      <c r="E552" s="18">
        <f>E553+E554+E555+E556+E557+E559+E558+E560</f>
        <v>136153</v>
      </c>
      <c r="F552" s="18">
        <f>F553+F554+F555+F556+F557+F559+F558+F560</f>
        <v>53003.25</v>
      </c>
      <c r="G552" s="218">
        <f t="shared" si="221"/>
        <v>0.38929182610739388</v>
      </c>
      <c r="H552" s="18">
        <f>H553+H554+H555+H556+H557+H559+H558+H560</f>
        <v>107429.8</v>
      </c>
      <c r="I552" s="20">
        <f>I553+I554+I555+I556+I557+I559+I558+I560</f>
        <v>301713.59999999998</v>
      </c>
      <c r="J552" s="114">
        <f t="shared" ref="J552:X552" si="233">J553+J554+J555+J556+J557+J559+J558+J560</f>
        <v>0</v>
      </c>
      <c r="K552" s="209">
        <f t="shared" si="233"/>
        <v>301713.59999999998</v>
      </c>
      <c r="L552" s="219">
        <f t="shared" si="222"/>
        <v>2.2159893649056572</v>
      </c>
      <c r="M552" s="21"/>
      <c r="N552" s="210">
        <f t="shared" si="233"/>
        <v>301713.59999999998</v>
      </c>
      <c r="O552" s="95">
        <f t="shared" si="233"/>
        <v>28713.599999999999</v>
      </c>
      <c r="P552" s="95">
        <f t="shared" si="233"/>
        <v>0</v>
      </c>
      <c r="Q552" s="95">
        <f t="shared" si="233"/>
        <v>5000</v>
      </c>
      <c r="R552" s="95">
        <f t="shared" si="233"/>
        <v>268000</v>
      </c>
      <c r="S552" s="95">
        <f t="shared" si="233"/>
        <v>0</v>
      </c>
      <c r="T552" s="95">
        <f t="shared" si="233"/>
        <v>0</v>
      </c>
      <c r="U552" s="95">
        <f t="shared" si="233"/>
        <v>0</v>
      </c>
      <c r="V552" s="26">
        <f t="shared" si="219"/>
        <v>301713.59999999998</v>
      </c>
      <c r="W552" s="95">
        <f t="shared" si="233"/>
        <v>0</v>
      </c>
      <c r="X552" s="95">
        <f t="shared" si="233"/>
        <v>0</v>
      </c>
    </row>
    <row r="553" spans="1:24" x14ac:dyDescent="0.2">
      <c r="A553" s="572"/>
      <c r="B553" s="22"/>
      <c r="C553" s="23" t="s">
        <v>376</v>
      </c>
      <c r="D553" s="24" t="s">
        <v>377</v>
      </c>
      <c r="E553" s="25" t="s">
        <v>889</v>
      </c>
      <c r="F553" s="211">
        <v>2200.3200000000002</v>
      </c>
      <c r="G553" s="212">
        <f t="shared" si="221"/>
        <v>0.66434782608695653</v>
      </c>
      <c r="H553" s="213">
        <v>3300.48</v>
      </c>
      <c r="I553" s="214">
        <v>4125.6000000000004</v>
      </c>
      <c r="J553" s="213"/>
      <c r="K553" s="215">
        <f>I553+J553</f>
        <v>4125.6000000000004</v>
      </c>
      <c r="L553" s="216">
        <f t="shared" si="222"/>
        <v>1.2456521739130435</v>
      </c>
      <c r="M553" s="626"/>
      <c r="N553" s="217">
        <f>V553+W553+X553</f>
        <v>4125.6000000000004</v>
      </c>
      <c r="O553" s="211">
        <v>4125.6000000000004</v>
      </c>
      <c r="P553" s="26"/>
      <c r="Q553" s="26"/>
      <c r="R553" s="26"/>
      <c r="S553" s="26"/>
      <c r="T553" s="26"/>
      <c r="U553" s="26"/>
      <c r="V553" s="26">
        <f t="shared" si="219"/>
        <v>4125.6000000000004</v>
      </c>
      <c r="W553" s="26"/>
      <c r="X553" s="26"/>
    </row>
    <row r="554" spans="1:24" x14ac:dyDescent="0.2">
      <c r="A554" s="572"/>
      <c r="B554" s="22"/>
      <c r="C554" s="23" t="s">
        <v>379</v>
      </c>
      <c r="D554" s="24" t="s">
        <v>380</v>
      </c>
      <c r="E554" s="25" t="s">
        <v>890</v>
      </c>
      <c r="F554" s="211">
        <v>313.60000000000002</v>
      </c>
      <c r="G554" s="212">
        <f t="shared" si="221"/>
        <v>0.66440677966101702</v>
      </c>
      <c r="H554" s="213">
        <v>470.4</v>
      </c>
      <c r="I554" s="214">
        <v>588</v>
      </c>
      <c r="J554" s="213"/>
      <c r="K554" s="215">
        <f t="shared" ref="K554:K560" si="234">I554+J554</f>
        <v>588</v>
      </c>
      <c r="L554" s="216">
        <f t="shared" si="222"/>
        <v>1.2457627118644068</v>
      </c>
      <c r="M554" s="626"/>
      <c r="N554" s="217">
        <f t="shared" ref="N554:N560" si="235">V554+W554+X554</f>
        <v>588</v>
      </c>
      <c r="O554" s="211">
        <v>588</v>
      </c>
      <c r="P554" s="26"/>
      <c r="Q554" s="26"/>
      <c r="R554" s="26"/>
      <c r="S554" s="26"/>
      <c r="T554" s="26"/>
      <c r="U554" s="26"/>
      <c r="V554" s="26">
        <f t="shared" si="219"/>
        <v>588</v>
      </c>
      <c r="W554" s="26"/>
      <c r="X554" s="26"/>
    </row>
    <row r="555" spans="1:24" x14ac:dyDescent="0.2">
      <c r="A555" s="572"/>
      <c r="B555" s="22"/>
      <c r="C555" s="23" t="s">
        <v>398</v>
      </c>
      <c r="D555" s="24" t="s">
        <v>399</v>
      </c>
      <c r="E555" s="25" t="s">
        <v>891</v>
      </c>
      <c r="F555" s="211">
        <v>15477.76</v>
      </c>
      <c r="G555" s="212">
        <f t="shared" si="221"/>
        <v>0.74523376185661327</v>
      </c>
      <c r="H555" s="213">
        <v>20700</v>
      </c>
      <c r="I555" s="214">
        <v>24000</v>
      </c>
      <c r="J555" s="213"/>
      <c r="K555" s="215">
        <f t="shared" si="234"/>
        <v>24000</v>
      </c>
      <c r="L555" s="216">
        <f t="shared" si="222"/>
        <v>1.1555683952043911</v>
      </c>
      <c r="M555" s="626"/>
      <c r="N555" s="217">
        <f t="shared" si="235"/>
        <v>24000</v>
      </c>
      <c r="O555" s="211">
        <v>24000</v>
      </c>
      <c r="P555" s="26"/>
      <c r="Q555" s="26"/>
      <c r="R555" s="26"/>
      <c r="S555" s="26"/>
      <c r="T555" s="26"/>
      <c r="U555" s="26"/>
      <c r="V555" s="26">
        <f t="shared" si="219"/>
        <v>24000</v>
      </c>
      <c r="W555" s="26"/>
      <c r="X555" s="26"/>
    </row>
    <row r="556" spans="1:24" ht="22.5" x14ac:dyDescent="0.2">
      <c r="A556" s="572"/>
      <c r="B556" s="22"/>
      <c r="C556" s="23" t="s">
        <v>382</v>
      </c>
      <c r="D556" s="24" t="s">
        <v>383</v>
      </c>
      <c r="E556" s="25" t="s">
        <v>573</v>
      </c>
      <c r="F556" s="211">
        <v>2661.08</v>
      </c>
      <c r="G556" s="212">
        <f t="shared" si="221"/>
        <v>0.76030857142857144</v>
      </c>
      <c r="H556" s="213">
        <v>3500</v>
      </c>
      <c r="I556" s="214">
        <f>5000+15000</f>
        <v>20000</v>
      </c>
      <c r="J556" s="213"/>
      <c r="K556" s="215">
        <f t="shared" si="234"/>
        <v>20000</v>
      </c>
      <c r="L556" s="216">
        <f t="shared" si="222"/>
        <v>5.7142857142857144</v>
      </c>
      <c r="M556" s="626" t="s">
        <v>892</v>
      </c>
      <c r="N556" s="217">
        <f t="shared" si="235"/>
        <v>20000</v>
      </c>
      <c r="O556" s="26"/>
      <c r="P556" s="26"/>
      <c r="Q556" s="26">
        <v>5000</v>
      </c>
      <c r="R556" s="26">
        <v>15000</v>
      </c>
      <c r="S556" s="26"/>
      <c r="T556" s="26"/>
      <c r="U556" s="26"/>
      <c r="V556" s="26">
        <f t="shared" si="219"/>
        <v>20000</v>
      </c>
      <c r="W556" s="26"/>
      <c r="X556" s="26"/>
    </row>
    <row r="557" spans="1:24" ht="22.5" x14ac:dyDescent="0.2">
      <c r="A557" s="572"/>
      <c r="B557" s="22"/>
      <c r="C557" s="23" t="s">
        <v>401</v>
      </c>
      <c r="D557" s="24" t="s">
        <v>402</v>
      </c>
      <c r="E557" s="25" t="s">
        <v>893</v>
      </c>
      <c r="F557" s="211">
        <v>20982.77</v>
      </c>
      <c r="G557" s="212">
        <f t="shared" si="221"/>
        <v>0.41965540000000001</v>
      </c>
      <c r="H557" s="213">
        <v>30518.63</v>
      </c>
      <c r="I557" s="214">
        <v>185000</v>
      </c>
      <c r="J557" s="213"/>
      <c r="K557" s="215">
        <f>I557+J557</f>
        <v>185000</v>
      </c>
      <c r="L557" s="216">
        <f t="shared" si="222"/>
        <v>3.7</v>
      </c>
      <c r="M557" s="626" t="s">
        <v>894</v>
      </c>
      <c r="N557" s="217">
        <f t="shared" si="235"/>
        <v>185000</v>
      </c>
      <c r="O557" s="26"/>
      <c r="P557" s="26"/>
      <c r="Q557" s="26"/>
      <c r="R557" s="26">
        <v>185000</v>
      </c>
      <c r="S557" s="26"/>
      <c r="T557" s="26"/>
      <c r="U557" s="26"/>
      <c r="V557" s="26">
        <f t="shared" si="219"/>
        <v>185000</v>
      </c>
      <c r="W557" s="26"/>
      <c r="X557" s="26"/>
    </row>
    <row r="558" spans="1:24" x14ac:dyDescent="0.2">
      <c r="A558" s="572"/>
      <c r="B558" s="22"/>
      <c r="C558" s="23" t="s">
        <v>416</v>
      </c>
      <c r="D558" s="24" t="s">
        <v>417</v>
      </c>
      <c r="E558" s="25">
        <v>0</v>
      </c>
      <c r="F558" s="211">
        <v>0</v>
      </c>
      <c r="G558" s="212">
        <v>0</v>
      </c>
      <c r="H558" s="213">
        <v>0</v>
      </c>
      <c r="I558" s="214">
        <v>10000</v>
      </c>
      <c r="J558" s="213"/>
      <c r="K558" s="215">
        <f t="shared" si="234"/>
        <v>10000</v>
      </c>
      <c r="L558" s="216"/>
      <c r="M558" s="626" t="s">
        <v>895</v>
      </c>
      <c r="N558" s="217">
        <f t="shared" si="235"/>
        <v>10000</v>
      </c>
      <c r="O558" s="26"/>
      <c r="P558" s="26"/>
      <c r="Q558" s="26"/>
      <c r="R558" s="26">
        <v>10000</v>
      </c>
      <c r="S558" s="26"/>
      <c r="T558" s="26"/>
      <c r="U558" s="26"/>
      <c r="V558" s="26">
        <f t="shared" si="219"/>
        <v>10000</v>
      </c>
      <c r="W558" s="26"/>
      <c r="X558" s="26"/>
    </row>
    <row r="559" spans="1:24" x14ac:dyDescent="0.2">
      <c r="A559" s="572"/>
      <c r="B559" s="22"/>
      <c r="C559" s="23" t="s">
        <v>386</v>
      </c>
      <c r="D559" s="24" t="s">
        <v>387</v>
      </c>
      <c r="E559" s="25" t="s">
        <v>896</v>
      </c>
      <c r="F559" s="211">
        <v>11367.72</v>
      </c>
      <c r="G559" s="212">
        <f t="shared" si="221"/>
        <v>0.19565783132530121</v>
      </c>
      <c r="H559" s="213">
        <v>48940.29</v>
      </c>
      <c r="I559" s="214">
        <v>28000</v>
      </c>
      <c r="J559" s="213"/>
      <c r="K559" s="215">
        <f t="shared" si="234"/>
        <v>28000</v>
      </c>
      <c r="L559" s="216">
        <f t="shared" si="222"/>
        <v>0.48192771084337349</v>
      </c>
      <c r="M559" s="626" t="s">
        <v>897</v>
      </c>
      <c r="N559" s="217">
        <f t="shared" si="235"/>
        <v>28000</v>
      </c>
      <c r="O559" s="26"/>
      <c r="P559" s="26"/>
      <c r="Q559" s="26"/>
      <c r="R559" s="26">
        <v>28000</v>
      </c>
      <c r="S559" s="26"/>
      <c r="T559" s="26"/>
      <c r="U559" s="26"/>
      <c r="V559" s="26">
        <f t="shared" si="219"/>
        <v>28000</v>
      </c>
      <c r="W559" s="26"/>
      <c r="X559" s="26"/>
    </row>
    <row r="560" spans="1:24" ht="22.5" x14ac:dyDescent="0.2">
      <c r="A560" s="572"/>
      <c r="B560" s="22"/>
      <c r="C560" s="23" t="s">
        <v>393</v>
      </c>
      <c r="D560" s="24" t="s">
        <v>394</v>
      </c>
      <c r="E560" s="25">
        <v>0</v>
      </c>
      <c r="F560" s="211">
        <v>0</v>
      </c>
      <c r="G560" s="212">
        <v>0</v>
      </c>
      <c r="H560" s="213">
        <v>0</v>
      </c>
      <c r="I560" s="214">
        <v>30000</v>
      </c>
      <c r="J560" s="213"/>
      <c r="K560" s="215">
        <f t="shared" si="234"/>
        <v>30000</v>
      </c>
      <c r="L560" s="216">
        <v>0</v>
      </c>
      <c r="M560" s="626" t="s">
        <v>898</v>
      </c>
      <c r="N560" s="217">
        <f t="shared" si="235"/>
        <v>30000</v>
      </c>
      <c r="O560" s="26"/>
      <c r="P560" s="26"/>
      <c r="Q560" s="26"/>
      <c r="R560" s="26">
        <v>30000</v>
      </c>
      <c r="S560" s="26"/>
      <c r="T560" s="26"/>
      <c r="U560" s="26"/>
      <c r="V560" s="26">
        <f t="shared" si="219"/>
        <v>30000</v>
      </c>
      <c r="W560" s="26"/>
      <c r="X560" s="26"/>
    </row>
    <row r="561" spans="1:24" ht="22.5" x14ac:dyDescent="0.2">
      <c r="A561" s="574" t="s">
        <v>311</v>
      </c>
      <c r="B561" s="39"/>
      <c r="C561" s="39"/>
      <c r="D561" s="40" t="s">
        <v>312</v>
      </c>
      <c r="E561" s="41">
        <f>E562+E568+E579+E582+E584+E588+E586</f>
        <v>2072520.16</v>
      </c>
      <c r="F561" s="41">
        <f>F562+F568+F579+F582+F584+F588+F586</f>
        <v>1509304.14</v>
      </c>
      <c r="G561" s="220">
        <f t="shared" si="221"/>
        <v>0.72824581836636992</v>
      </c>
      <c r="H561" s="241">
        <f>H562+H568+H579+H582+H584+H588+H586</f>
        <v>2055986.29</v>
      </c>
      <c r="I561" s="242">
        <f>I562+I568+I579+I582+I584+I588+I586</f>
        <v>2244665.52</v>
      </c>
      <c r="J561" s="242">
        <f t="shared" ref="J561:X561" si="236">J562+J568+J579+J582+J584+J588+J586</f>
        <v>-89000</v>
      </c>
      <c r="K561" s="601">
        <f t="shared" si="236"/>
        <v>2155665.52</v>
      </c>
      <c r="L561" s="222">
        <f t="shared" si="222"/>
        <v>1.0401179981766739</v>
      </c>
      <c r="M561" s="631">
        <f t="shared" si="236"/>
        <v>0</v>
      </c>
      <c r="N561" s="242">
        <f t="shared" si="236"/>
        <v>2155665.52</v>
      </c>
      <c r="O561" s="242">
        <f t="shared" si="236"/>
        <v>1941000</v>
      </c>
      <c r="P561" s="242">
        <f t="shared" si="236"/>
        <v>125665.52</v>
      </c>
      <c r="Q561" s="242">
        <f t="shared" si="236"/>
        <v>0</v>
      </c>
      <c r="R561" s="242">
        <f t="shared" si="236"/>
        <v>89000</v>
      </c>
      <c r="S561" s="242">
        <f t="shared" si="236"/>
        <v>0</v>
      </c>
      <c r="T561" s="242">
        <f t="shared" si="236"/>
        <v>0</v>
      </c>
      <c r="U561" s="242">
        <f t="shared" si="236"/>
        <v>0</v>
      </c>
      <c r="V561" s="242">
        <f t="shared" si="236"/>
        <v>2145665.52</v>
      </c>
      <c r="W561" s="242">
        <f t="shared" si="236"/>
        <v>0</v>
      </c>
      <c r="X561" s="242">
        <f t="shared" si="236"/>
        <v>0</v>
      </c>
    </row>
    <row r="562" spans="1:24" ht="15" x14ac:dyDescent="0.2">
      <c r="A562" s="571"/>
      <c r="B562" s="15" t="s">
        <v>313</v>
      </c>
      <c r="C562" s="16"/>
      <c r="D562" s="17" t="s">
        <v>314</v>
      </c>
      <c r="E562" s="18">
        <f>E563+E564+E565+E567+E566</f>
        <v>32119</v>
      </c>
      <c r="F562" s="18">
        <f>F563+F564+F565+F567+F566</f>
        <v>26905.7</v>
      </c>
      <c r="G562" s="19">
        <f>F562/E562</f>
        <v>0.83768797285096053</v>
      </c>
      <c r="H562" s="18">
        <f t="shared" ref="H562:K562" si="237">H563+H564+H565+H567+H566</f>
        <v>30303.699999999997</v>
      </c>
      <c r="I562" s="611">
        <f t="shared" si="237"/>
        <v>30000</v>
      </c>
      <c r="J562" s="612">
        <f t="shared" si="237"/>
        <v>1000</v>
      </c>
      <c r="K562" s="613">
        <f t="shared" si="237"/>
        <v>31000</v>
      </c>
      <c r="L562" s="219">
        <f t="shared" si="222"/>
        <v>0.96516080824434136</v>
      </c>
      <c r="M562" s="21"/>
      <c r="N562" s="210">
        <f t="shared" ref="N562:X562" si="238">N563+N564+N565+N567+N566</f>
        <v>31000</v>
      </c>
      <c r="O562" s="95">
        <f t="shared" si="238"/>
        <v>22000</v>
      </c>
      <c r="P562" s="95">
        <f t="shared" si="238"/>
        <v>0</v>
      </c>
      <c r="Q562" s="95">
        <f t="shared" si="238"/>
        <v>0</v>
      </c>
      <c r="R562" s="95">
        <f t="shared" si="238"/>
        <v>9000</v>
      </c>
      <c r="S562" s="95">
        <f t="shared" si="238"/>
        <v>0</v>
      </c>
      <c r="T562" s="95">
        <f t="shared" si="238"/>
        <v>0</v>
      </c>
      <c r="U562" s="95">
        <f t="shared" si="238"/>
        <v>0</v>
      </c>
      <c r="V562" s="26">
        <f t="shared" si="219"/>
        <v>31000</v>
      </c>
      <c r="W562" s="95">
        <f t="shared" si="238"/>
        <v>0</v>
      </c>
      <c r="X562" s="95">
        <f t="shared" si="238"/>
        <v>0</v>
      </c>
    </row>
    <row r="563" spans="1:24" ht="67.5" x14ac:dyDescent="0.2">
      <c r="A563" s="572"/>
      <c r="B563" s="22"/>
      <c r="C563" s="23" t="s">
        <v>85</v>
      </c>
      <c r="D563" s="24" t="s">
        <v>522</v>
      </c>
      <c r="E563" s="25" t="s">
        <v>540</v>
      </c>
      <c r="F563" s="211">
        <v>6000</v>
      </c>
      <c r="G563" s="212">
        <f t="shared" si="221"/>
        <v>1</v>
      </c>
      <c r="H563" s="213">
        <v>6000</v>
      </c>
      <c r="I563" s="214"/>
      <c r="J563" s="213">
        <v>9000</v>
      </c>
      <c r="K563" s="215">
        <f>I563+J563</f>
        <v>9000</v>
      </c>
      <c r="L563" s="216">
        <f t="shared" si="222"/>
        <v>1.5</v>
      </c>
      <c r="M563" s="626"/>
      <c r="N563" s="217">
        <f>V563+W563+X563</f>
        <v>9000</v>
      </c>
      <c r="O563" s="26"/>
      <c r="P563" s="26"/>
      <c r="Q563" s="26"/>
      <c r="R563" s="26">
        <v>9000</v>
      </c>
      <c r="S563" s="26"/>
      <c r="T563" s="26"/>
      <c r="U563" s="26"/>
      <c r="V563" s="26">
        <f t="shared" si="219"/>
        <v>9000</v>
      </c>
      <c r="W563" s="26"/>
      <c r="X563" s="26"/>
    </row>
    <row r="564" spans="1:24" x14ac:dyDescent="0.2">
      <c r="A564" s="572"/>
      <c r="B564" s="22"/>
      <c r="C564" s="23" t="s">
        <v>398</v>
      </c>
      <c r="D564" s="24" t="s">
        <v>399</v>
      </c>
      <c r="E564" s="25" t="s">
        <v>535</v>
      </c>
      <c r="F564" s="211">
        <v>2000</v>
      </c>
      <c r="G564" s="212">
        <f t="shared" si="221"/>
        <v>1</v>
      </c>
      <c r="H564" s="213">
        <v>2000</v>
      </c>
      <c r="I564" s="214"/>
      <c r="J564" s="213"/>
      <c r="K564" s="215">
        <f t="shared" ref="K564:K567" si="239">I564+J564</f>
        <v>0</v>
      </c>
      <c r="L564" s="216">
        <f t="shared" si="222"/>
        <v>0</v>
      </c>
      <c r="M564" s="626"/>
      <c r="N564" s="217">
        <f t="shared" ref="N564:N567" si="240">V564+W564+X564</f>
        <v>0</v>
      </c>
      <c r="O564" s="26"/>
      <c r="P564" s="26"/>
      <c r="Q564" s="26"/>
      <c r="R564" s="26"/>
      <c r="S564" s="26"/>
      <c r="T564" s="26"/>
      <c r="U564" s="26"/>
      <c r="V564" s="26">
        <f t="shared" si="219"/>
        <v>0</v>
      </c>
      <c r="W564" s="26"/>
      <c r="X564" s="26"/>
    </row>
    <row r="565" spans="1:24" x14ac:dyDescent="0.2">
      <c r="A565" s="572"/>
      <c r="B565" s="22"/>
      <c r="C565" s="23" t="s">
        <v>382</v>
      </c>
      <c r="D565" s="24" t="s">
        <v>383</v>
      </c>
      <c r="E565" s="25" t="s">
        <v>899</v>
      </c>
      <c r="F565" s="211">
        <v>6268.6</v>
      </c>
      <c r="G565" s="212">
        <f t="shared" si="221"/>
        <v>0.64399013766180402</v>
      </c>
      <c r="H565" s="213">
        <v>9166.6</v>
      </c>
      <c r="I565" s="214">
        <v>18000</v>
      </c>
      <c r="J565" s="213">
        <v>-8000</v>
      </c>
      <c r="K565" s="215">
        <f t="shared" si="239"/>
        <v>10000</v>
      </c>
      <c r="L565" s="216">
        <f t="shared" si="222"/>
        <v>1.0273268954181221</v>
      </c>
      <c r="M565" s="626"/>
      <c r="N565" s="217">
        <f t="shared" si="240"/>
        <v>10000</v>
      </c>
      <c r="O565" s="26">
        <v>10000</v>
      </c>
      <c r="P565" s="26"/>
      <c r="Q565" s="26"/>
      <c r="R565" s="26"/>
      <c r="S565" s="26"/>
      <c r="T565" s="26"/>
      <c r="U565" s="26"/>
      <c r="V565" s="26">
        <f t="shared" si="219"/>
        <v>10000</v>
      </c>
      <c r="W565" s="26"/>
      <c r="X565" s="26"/>
    </row>
    <row r="566" spans="1:24" x14ac:dyDescent="0.2">
      <c r="A566" s="572"/>
      <c r="B566" s="22"/>
      <c r="C566" s="23" t="s">
        <v>386</v>
      </c>
      <c r="D566" s="24" t="s">
        <v>387</v>
      </c>
      <c r="E566" s="25" t="s">
        <v>900</v>
      </c>
      <c r="F566" s="211">
        <v>12187.1</v>
      </c>
      <c r="G566" s="212">
        <f t="shared" si="221"/>
        <v>0.87456763545030503</v>
      </c>
      <c r="H566" s="213">
        <v>12687.1</v>
      </c>
      <c r="I566" s="214">
        <v>12000</v>
      </c>
      <c r="J566" s="213"/>
      <c r="K566" s="215">
        <f t="shared" si="239"/>
        <v>12000</v>
      </c>
      <c r="L566" s="216">
        <f t="shared" si="222"/>
        <v>0.86114101184068892</v>
      </c>
      <c r="M566" s="626"/>
      <c r="N566" s="217">
        <f t="shared" si="240"/>
        <v>12000</v>
      </c>
      <c r="O566" s="26">
        <v>12000</v>
      </c>
      <c r="P566" s="26"/>
      <c r="Q566" s="26"/>
      <c r="R566" s="26"/>
      <c r="S566" s="26"/>
      <c r="T566" s="26"/>
      <c r="U566" s="26"/>
      <c r="V566" s="26">
        <f t="shared" si="219"/>
        <v>12000</v>
      </c>
      <c r="W566" s="26"/>
      <c r="X566" s="26"/>
    </row>
    <row r="567" spans="1:24" x14ac:dyDescent="0.2">
      <c r="A567" s="572"/>
      <c r="B567" s="22"/>
      <c r="C567" s="23" t="s">
        <v>390</v>
      </c>
      <c r="D567" s="24" t="s">
        <v>391</v>
      </c>
      <c r="E567" s="25" t="s">
        <v>901</v>
      </c>
      <c r="F567" s="211">
        <v>450</v>
      </c>
      <c r="G567" s="212">
        <f t="shared" si="221"/>
        <v>1</v>
      </c>
      <c r="H567" s="213">
        <v>450</v>
      </c>
      <c r="I567" s="214"/>
      <c r="J567" s="213"/>
      <c r="K567" s="215">
        <f t="shared" si="239"/>
        <v>0</v>
      </c>
      <c r="L567" s="216">
        <f t="shared" si="222"/>
        <v>0</v>
      </c>
      <c r="M567" s="626"/>
      <c r="N567" s="217">
        <f t="shared" si="240"/>
        <v>0</v>
      </c>
      <c r="O567" s="26"/>
      <c r="P567" s="26"/>
      <c r="Q567" s="26"/>
      <c r="R567" s="26"/>
      <c r="S567" s="26"/>
      <c r="T567" s="26"/>
      <c r="U567" s="26"/>
      <c r="V567" s="26">
        <f t="shared" si="219"/>
        <v>0</v>
      </c>
      <c r="W567" s="26"/>
      <c r="X567" s="26"/>
    </row>
    <row r="568" spans="1:24" ht="15" x14ac:dyDescent="0.2">
      <c r="A568" s="571"/>
      <c r="B568" s="15" t="s">
        <v>316</v>
      </c>
      <c r="C568" s="16"/>
      <c r="D568" s="17" t="s">
        <v>317</v>
      </c>
      <c r="E568" s="18">
        <f>E569+E570+E571+E572+E573+E574+E575+E576+E577+E578</f>
        <v>1139961.58</v>
      </c>
      <c r="F568" s="18">
        <f t="shared" ref="F568:X568" si="241">F569+F570+F571+F572+F573+F574+F575+F576+F577+F578</f>
        <v>785625.56</v>
      </c>
      <c r="G568" s="218">
        <f t="shared" si="221"/>
        <v>0.68916845425615136</v>
      </c>
      <c r="H568" s="18">
        <f t="shared" si="241"/>
        <v>1125652.8900000001</v>
      </c>
      <c r="I568" s="20">
        <f>I569+I570+I571+I572+I573+I574+I575+I576+I577+I578</f>
        <v>1155056.83</v>
      </c>
      <c r="J568" s="114">
        <f t="shared" si="241"/>
        <v>-50000</v>
      </c>
      <c r="K568" s="209">
        <f t="shared" si="241"/>
        <v>1105056.83</v>
      </c>
      <c r="L568" s="219">
        <f t="shared" si="222"/>
        <v>0.96938076632372117</v>
      </c>
      <c r="M568" s="21"/>
      <c r="N568" s="210">
        <f t="shared" si="241"/>
        <v>1105056.83</v>
      </c>
      <c r="O568" s="95">
        <f t="shared" si="241"/>
        <v>980680</v>
      </c>
      <c r="P568" s="95">
        <f t="shared" si="241"/>
        <v>54376.829999999994</v>
      </c>
      <c r="Q568" s="95">
        <f t="shared" si="241"/>
        <v>0</v>
      </c>
      <c r="R568" s="95">
        <f t="shared" si="241"/>
        <v>70000</v>
      </c>
      <c r="S568" s="95">
        <f t="shared" si="241"/>
        <v>0</v>
      </c>
      <c r="T568" s="95">
        <f t="shared" si="241"/>
        <v>0</v>
      </c>
      <c r="U568" s="95">
        <f t="shared" si="241"/>
        <v>0</v>
      </c>
      <c r="V568" s="26">
        <f t="shared" si="219"/>
        <v>1105056.83</v>
      </c>
      <c r="W568" s="95">
        <f t="shared" si="241"/>
        <v>0</v>
      </c>
      <c r="X568" s="95">
        <f t="shared" si="241"/>
        <v>0</v>
      </c>
    </row>
    <row r="569" spans="1:24" ht="22.5" x14ac:dyDescent="0.2">
      <c r="A569" s="572"/>
      <c r="B569" s="22"/>
      <c r="C569" s="23" t="s">
        <v>902</v>
      </c>
      <c r="D569" s="24" t="s">
        <v>903</v>
      </c>
      <c r="E569" s="25" t="s">
        <v>904</v>
      </c>
      <c r="F569" s="211">
        <v>682000</v>
      </c>
      <c r="G569" s="212">
        <f t="shared" si="221"/>
        <v>0.7857142857142857</v>
      </c>
      <c r="H569" s="213">
        <v>868000</v>
      </c>
      <c r="I569" s="214">
        <v>1025680</v>
      </c>
      <c r="J569" s="213">
        <v>-50000</v>
      </c>
      <c r="K569" s="215">
        <f>I569+J569</f>
        <v>975680</v>
      </c>
      <c r="L569" s="216">
        <f t="shared" si="222"/>
        <v>1.1240552995391706</v>
      </c>
      <c r="M569" s="626"/>
      <c r="N569" s="217">
        <f>V569+W569+X569</f>
        <v>975680</v>
      </c>
      <c r="O569" s="26">
        <v>975680</v>
      </c>
      <c r="P569" s="26"/>
      <c r="Q569" s="26"/>
      <c r="R569" s="26"/>
      <c r="S569" s="26"/>
      <c r="T569" s="26"/>
      <c r="U569" s="26"/>
      <c r="V569" s="26">
        <f t="shared" si="219"/>
        <v>975680</v>
      </c>
      <c r="W569" s="26"/>
      <c r="X569" s="26"/>
    </row>
    <row r="570" spans="1:24" x14ac:dyDescent="0.2">
      <c r="A570" s="572"/>
      <c r="B570" s="22"/>
      <c r="C570" s="23" t="s">
        <v>376</v>
      </c>
      <c r="D570" s="24" t="s">
        <v>377</v>
      </c>
      <c r="E570" s="25" t="s">
        <v>905</v>
      </c>
      <c r="F570" s="211">
        <v>351.02</v>
      </c>
      <c r="G570" s="212">
        <f t="shared" si="221"/>
        <v>0.49860795454545453</v>
      </c>
      <c r="H570" s="213">
        <v>522.91999999999996</v>
      </c>
      <c r="I570" s="214">
        <v>344</v>
      </c>
      <c r="J570" s="213"/>
      <c r="K570" s="215">
        <f t="shared" ref="K570:K578" si="242">I570+J570</f>
        <v>344</v>
      </c>
      <c r="L570" s="216">
        <f t="shared" si="222"/>
        <v>0.48863636363636365</v>
      </c>
      <c r="M570" s="626" t="s">
        <v>906</v>
      </c>
      <c r="N570" s="217">
        <f t="shared" ref="N570:N578" si="243">V570+W570+X570</f>
        <v>344</v>
      </c>
      <c r="O570" s="26"/>
      <c r="P570" s="26">
        <v>344</v>
      </c>
      <c r="Q570" s="26"/>
      <c r="R570" s="26"/>
      <c r="S570" s="26"/>
      <c r="T570" s="26"/>
      <c r="U570" s="26"/>
      <c r="V570" s="26">
        <f t="shared" si="219"/>
        <v>344</v>
      </c>
      <c r="W570" s="26"/>
      <c r="X570" s="26"/>
    </row>
    <row r="571" spans="1:24" x14ac:dyDescent="0.2">
      <c r="A571" s="572"/>
      <c r="B571" s="22"/>
      <c r="C571" s="23" t="s">
        <v>379</v>
      </c>
      <c r="D571" s="24" t="s">
        <v>380</v>
      </c>
      <c r="E571" s="25" t="s">
        <v>907</v>
      </c>
      <c r="F571" s="211">
        <v>24.5</v>
      </c>
      <c r="G571" s="212">
        <f t="shared" si="221"/>
        <v>0.22477064220183487</v>
      </c>
      <c r="H571" s="213">
        <v>74.53</v>
      </c>
      <c r="I571" s="214">
        <v>49</v>
      </c>
      <c r="J571" s="213"/>
      <c r="K571" s="215">
        <f t="shared" si="242"/>
        <v>49</v>
      </c>
      <c r="L571" s="216">
        <f t="shared" si="222"/>
        <v>0.44954128440366975</v>
      </c>
      <c r="M571" s="626" t="s">
        <v>908</v>
      </c>
      <c r="N571" s="217">
        <f t="shared" si="243"/>
        <v>49</v>
      </c>
      <c r="O571" s="26"/>
      <c r="P571" s="26">
        <v>49</v>
      </c>
      <c r="Q571" s="26"/>
      <c r="R571" s="26"/>
      <c r="S571" s="26"/>
      <c r="T571" s="26"/>
      <c r="U571" s="26"/>
      <c r="V571" s="26">
        <f t="shared" si="219"/>
        <v>49</v>
      </c>
      <c r="W571" s="26"/>
      <c r="X571" s="26"/>
    </row>
    <row r="572" spans="1:24" x14ac:dyDescent="0.2">
      <c r="A572" s="572"/>
      <c r="B572" s="22"/>
      <c r="C572" s="23" t="s">
        <v>398</v>
      </c>
      <c r="D572" s="24" t="s">
        <v>399</v>
      </c>
      <c r="E572" s="25" t="s">
        <v>909</v>
      </c>
      <c r="F572" s="211">
        <v>2415.77</v>
      </c>
      <c r="G572" s="212">
        <f t="shared" si="221"/>
        <v>0.59210049019607847</v>
      </c>
      <c r="H572" s="213">
        <v>3042</v>
      </c>
      <c r="I572" s="214">
        <v>5000</v>
      </c>
      <c r="J572" s="213"/>
      <c r="K572" s="215">
        <f t="shared" si="242"/>
        <v>5000</v>
      </c>
      <c r="L572" s="216">
        <f t="shared" si="222"/>
        <v>1.2254901960784315</v>
      </c>
      <c r="M572" s="626" t="s">
        <v>910</v>
      </c>
      <c r="N572" s="217">
        <f t="shared" si="243"/>
        <v>5000</v>
      </c>
      <c r="O572" s="26"/>
      <c r="P572" s="26">
        <v>5000</v>
      </c>
      <c r="Q572" s="26"/>
      <c r="R572" s="26"/>
      <c r="S572" s="26"/>
      <c r="T572" s="26"/>
      <c r="U572" s="26"/>
      <c r="V572" s="26">
        <f t="shared" si="219"/>
        <v>5000</v>
      </c>
      <c r="W572" s="26"/>
      <c r="X572" s="26"/>
    </row>
    <row r="573" spans="1:24" ht="22.5" x14ac:dyDescent="0.2">
      <c r="A573" s="572"/>
      <c r="B573" s="22"/>
      <c r="C573" s="23" t="s">
        <v>382</v>
      </c>
      <c r="D573" s="24" t="s">
        <v>383</v>
      </c>
      <c r="E573" s="25" t="s">
        <v>911</v>
      </c>
      <c r="F573" s="211">
        <v>22155.919999999998</v>
      </c>
      <c r="G573" s="212">
        <f t="shared" si="221"/>
        <v>0.40517068123452782</v>
      </c>
      <c r="H573" s="213">
        <v>50682.93</v>
      </c>
      <c r="I573" s="214">
        <f>5000+37219.46</f>
        <v>42219.46</v>
      </c>
      <c r="J573" s="213"/>
      <c r="K573" s="215">
        <f t="shared" si="242"/>
        <v>42219.46</v>
      </c>
      <c r="L573" s="216">
        <f t="shared" si="222"/>
        <v>0.77207750206508685</v>
      </c>
      <c r="M573" s="626" t="s">
        <v>912</v>
      </c>
      <c r="N573" s="217">
        <f t="shared" si="243"/>
        <v>42219.46</v>
      </c>
      <c r="O573" s="26">
        <v>5000</v>
      </c>
      <c r="P573" s="26">
        <v>37219.46</v>
      </c>
      <c r="Q573" s="26"/>
      <c r="R573" s="26"/>
      <c r="S573" s="26"/>
      <c r="T573" s="26"/>
      <c r="U573" s="26"/>
      <c r="V573" s="26">
        <f t="shared" si="219"/>
        <v>42219.46</v>
      </c>
      <c r="W573" s="26"/>
      <c r="X573" s="26"/>
    </row>
    <row r="574" spans="1:24" ht="22.5" x14ac:dyDescent="0.2">
      <c r="A574" s="572"/>
      <c r="B574" s="22"/>
      <c r="C574" s="23" t="s">
        <v>401</v>
      </c>
      <c r="D574" s="24" t="s">
        <v>402</v>
      </c>
      <c r="E574" s="25" t="s">
        <v>913</v>
      </c>
      <c r="F574" s="211">
        <v>34814.42</v>
      </c>
      <c r="G574" s="212">
        <f t="shared" si="221"/>
        <v>0.57449537953795382</v>
      </c>
      <c r="H574" s="213">
        <v>53085.13</v>
      </c>
      <c r="I574" s="214">
        <f>60000+130.84</f>
        <v>60130.84</v>
      </c>
      <c r="J574" s="213"/>
      <c r="K574" s="215">
        <f t="shared" si="242"/>
        <v>60130.84</v>
      </c>
      <c r="L574" s="216">
        <f t="shared" si="222"/>
        <v>0.99225808580858077</v>
      </c>
      <c r="M574" s="626" t="s">
        <v>914</v>
      </c>
      <c r="N574" s="217">
        <f t="shared" si="243"/>
        <v>60130.84</v>
      </c>
      <c r="O574" s="26"/>
      <c r="P574" s="26">
        <v>130.84</v>
      </c>
      <c r="Q574" s="26"/>
      <c r="R574" s="26">
        <v>60000</v>
      </c>
      <c r="S574" s="26"/>
      <c r="T574" s="26"/>
      <c r="U574" s="26"/>
      <c r="V574" s="26">
        <f t="shared" si="219"/>
        <v>60130.84</v>
      </c>
      <c r="W574" s="26"/>
      <c r="X574" s="26"/>
    </row>
    <row r="575" spans="1:24" ht="22.5" x14ac:dyDescent="0.2">
      <c r="A575" s="572"/>
      <c r="B575" s="22"/>
      <c r="C575" s="23" t="s">
        <v>386</v>
      </c>
      <c r="D575" s="24" t="s">
        <v>387</v>
      </c>
      <c r="E575" s="25" t="s">
        <v>915</v>
      </c>
      <c r="F575" s="211">
        <v>6766.6</v>
      </c>
      <c r="G575" s="212">
        <f t="shared" si="221"/>
        <v>0.52466465069395984</v>
      </c>
      <c r="H575" s="213">
        <v>11397.61</v>
      </c>
      <c r="I575" s="214">
        <f>10000+10308.53</f>
        <v>20308.53</v>
      </c>
      <c r="J575" s="213"/>
      <c r="K575" s="215">
        <f t="shared" si="242"/>
        <v>20308.53</v>
      </c>
      <c r="L575" s="216">
        <f t="shared" si="222"/>
        <v>1.5746708536869038</v>
      </c>
      <c r="M575" s="626" t="s">
        <v>916</v>
      </c>
      <c r="N575" s="217">
        <f t="shared" si="243"/>
        <v>20308.53</v>
      </c>
      <c r="O575" s="26"/>
      <c r="P575" s="26">
        <v>10308.530000000001</v>
      </c>
      <c r="Q575" s="26"/>
      <c r="R575" s="26">
        <v>10000</v>
      </c>
      <c r="S575" s="26"/>
      <c r="T575" s="26"/>
      <c r="U575" s="26"/>
      <c r="V575" s="26">
        <f t="shared" si="219"/>
        <v>20308.53</v>
      </c>
      <c r="W575" s="26"/>
      <c r="X575" s="26"/>
    </row>
    <row r="576" spans="1:24" ht="22.5" x14ac:dyDescent="0.2">
      <c r="A576" s="572"/>
      <c r="B576" s="22"/>
      <c r="C576" s="23" t="s">
        <v>506</v>
      </c>
      <c r="D576" s="24" t="s">
        <v>507</v>
      </c>
      <c r="E576" s="25" t="s">
        <v>917</v>
      </c>
      <c r="F576" s="211">
        <v>963.09</v>
      </c>
      <c r="G576" s="212">
        <f t="shared" si="221"/>
        <v>0.72686037735849063</v>
      </c>
      <c r="H576" s="213">
        <v>1284.1199999999999</v>
      </c>
      <c r="I576" s="214">
        <v>1325</v>
      </c>
      <c r="J576" s="213"/>
      <c r="K576" s="215">
        <f t="shared" si="242"/>
        <v>1325</v>
      </c>
      <c r="L576" s="216">
        <f t="shared" si="222"/>
        <v>1</v>
      </c>
      <c r="M576" s="626" t="s">
        <v>352</v>
      </c>
      <c r="N576" s="217">
        <f t="shared" si="243"/>
        <v>1325</v>
      </c>
      <c r="O576" s="26"/>
      <c r="P576" s="26">
        <v>1325</v>
      </c>
      <c r="Q576" s="26"/>
      <c r="R576" s="26"/>
      <c r="S576" s="26"/>
      <c r="T576" s="26"/>
      <c r="U576" s="26"/>
      <c r="V576" s="26">
        <f t="shared" si="219"/>
        <v>1325</v>
      </c>
      <c r="W576" s="26"/>
      <c r="X576" s="26"/>
    </row>
    <row r="577" spans="1:24" hidden="1" x14ac:dyDescent="0.2">
      <c r="A577" s="572"/>
      <c r="B577" s="22"/>
      <c r="C577" s="23" t="s">
        <v>390</v>
      </c>
      <c r="D577" s="24" t="s">
        <v>391</v>
      </c>
      <c r="E577" s="25" t="s">
        <v>365</v>
      </c>
      <c r="F577" s="211">
        <v>0</v>
      </c>
      <c r="G577" s="212">
        <v>0</v>
      </c>
      <c r="H577" s="213">
        <v>0</v>
      </c>
      <c r="I577" s="214"/>
      <c r="J577" s="213"/>
      <c r="K577" s="215">
        <f t="shared" si="242"/>
        <v>0</v>
      </c>
      <c r="L577" s="216">
        <v>0</v>
      </c>
      <c r="M577" s="626"/>
      <c r="N577" s="217">
        <f t="shared" si="243"/>
        <v>0</v>
      </c>
      <c r="O577" s="26"/>
      <c r="P577" s="26"/>
      <c r="Q577" s="26"/>
      <c r="R577" s="26"/>
      <c r="S577" s="26"/>
      <c r="T577" s="26"/>
      <c r="U577" s="26"/>
      <c r="V577" s="26">
        <f t="shared" si="219"/>
        <v>0</v>
      </c>
      <c r="W577" s="26"/>
      <c r="X577" s="26"/>
    </row>
    <row r="578" spans="1:24" ht="22.5" x14ac:dyDescent="0.2">
      <c r="A578" s="572"/>
      <c r="B578" s="22"/>
      <c r="C578" s="23" t="s">
        <v>393</v>
      </c>
      <c r="D578" s="24" t="s">
        <v>394</v>
      </c>
      <c r="E578" s="25" t="s">
        <v>918</v>
      </c>
      <c r="F578" s="211">
        <v>36134.239999999998</v>
      </c>
      <c r="G578" s="212">
        <f t="shared" si="221"/>
        <v>0.26267287906361891</v>
      </c>
      <c r="H578" s="213">
        <v>137563.65</v>
      </c>
      <c r="I578" s="214"/>
      <c r="J578" s="213"/>
      <c r="K578" s="215">
        <f t="shared" si="242"/>
        <v>0</v>
      </c>
      <c r="L578" s="216">
        <f t="shared" si="222"/>
        <v>0</v>
      </c>
      <c r="M578" s="626"/>
      <c r="N578" s="217">
        <f t="shared" si="243"/>
        <v>0</v>
      </c>
      <c r="O578" s="26"/>
      <c r="P578" s="26"/>
      <c r="Q578" s="26"/>
      <c r="R578" s="26"/>
      <c r="S578" s="26"/>
      <c r="T578" s="26"/>
      <c r="U578" s="26"/>
      <c r="V578" s="26">
        <f t="shared" si="219"/>
        <v>0</v>
      </c>
      <c r="W578" s="26"/>
      <c r="X578" s="26"/>
    </row>
    <row r="579" spans="1:24" ht="15" x14ac:dyDescent="0.2">
      <c r="A579" s="571"/>
      <c r="B579" s="15" t="s">
        <v>919</v>
      </c>
      <c r="C579" s="16"/>
      <c r="D579" s="17" t="s">
        <v>920</v>
      </c>
      <c r="E579" s="18">
        <f>E580+E581</f>
        <v>327703.17</v>
      </c>
      <c r="F579" s="18">
        <f t="shared" ref="F579:X579" si="244">F580+F581</f>
        <v>242303.17</v>
      </c>
      <c r="G579" s="218">
        <f t="shared" si="221"/>
        <v>0.73939830975696708</v>
      </c>
      <c r="H579" s="18">
        <f t="shared" si="244"/>
        <v>327703.17</v>
      </c>
      <c r="I579" s="20">
        <f t="shared" si="244"/>
        <v>349957.9</v>
      </c>
      <c r="J579" s="114">
        <f t="shared" si="244"/>
        <v>-10000</v>
      </c>
      <c r="K579" s="209">
        <f t="shared" si="244"/>
        <v>339957.9</v>
      </c>
      <c r="L579" s="219">
        <f t="shared" si="222"/>
        <v>1.0373958237877285</v>
      </c>
      <c r="M579" s="21"/>
      <c r="N579" s="210">
        <f t="shared" si="244"/>
        <v>339957.9</v>
      </c>
      <c r="O579" s="95">
        <f t="shared" si="244"/>
        <v>339620</v>
      </c>
      <c r="P579" s="95">
        <f t="shared" si="244"/>
        <v>337.9</v>
      </c>
      <c r="Q579" s="95">
        <f t="shared" si="244"/>
        <v>0</v>
      </c>
      <c r="R579" s="95">
        <f t="shared" si="244"/>
        <v>0</v>
      </c>
      <c r="S579" s="95">
        <f t="shared" si="244"/>
        <v>0</v>
      </c>
      <c r="T579" s="95">
        <f t="shared" si="244"/>
        <v>0</v>
      </c>
      <c r="U579" s="95">
        <f t="shared" si="244"/>
        <v>0</v>
      </c>
      <c r="V579" s="26">
        <f t="shared" si="219"/>
        <v>339957.9</v>
      </c>
      <c r="W579" s="95">
        <f t="shared" si="244"/>
        <v>0</v>
      </c>
      <c r="X579" s="95">
        <f t="shared" si="244"/>
        <v>0</v>
      </c>
    </row>
    <row r="580" spans="1:24" ht="22.5" x14ac:dyDescent="0.2">
      <c r="A580" s="572"/>
      <c r="B580" s="22"/>
      <c r="C580" s="23" t="s">
        <v>902</v>
      </c>
      <c r="D580" s="24" t="s">
        <v>903</v>
      </c>
      <c r="E580" s="25" t="s">
        <v>921</v>
      </c>
      <c r="F580" s="211">
        <v>242000</v>
      </c>
      <c r="G580" s="212">
        <f t="shared" si="221"/>
        <v>0.73915699450213801</v>
      </c>
      <c r="H580" s="213">
        <v>327400</v>
      </c>
      <c r="I580" s="214">
        <v>349620</v>
      </c>
      <c r="J580" s="213">
        <v>-10000</v>
      </c>
      <c r="K580" s="215">
        <f>I580+J580</f>
        <v>339620</v>
      </c>
      <c r="L580" s="216">
        <f t="shared" si="222"/>
        <v>1.0373243738546121</v>
      </c>
      <c r="M580" s="626"/>
      <c r="N580" s="217">
        <f>V580+W580+X580</f>
        <v>339620</v>
      </c>
      <c r="O580" s="26">
        <v>339620</v>
      </c>
      <c r="P580" s="26"/>
      <c r="Q580" s="26"/>
      <c r="R580" s="26"/>
      <c r="S580" s="26"/>
      <c r="T580" s="26"/>
      <c r="U580" s="26"/>
      <c r="V580" s="26">
        <f t="shared" si="219"/>
        <v>339620</v>
      </c>
      <c r="W580" s="26"/>
      <c r="X580" s="26"/>
    </row>
    <row r="581" spans="1:24" x14ac:dyDescent="0.2">
      <c r="A581" s="572"/>
      <c r="B581" s="22"/>
      <c r="C581" s="23" t="s">
        <v>382</v>
      </c>
      <c r="D581" s="24" t="s">
        <v>383</v>
      </c>
      <c r="E581" s="25" t="s">
        <v>922</v>
      </c>
      <c r="F581" s="211">
        <v>303.17</v>
      </c>
      <c r="G581" s="212">
        <f t="shared" si="221"/>
        <v>1</v>
      </c>
      <c r="H581" s="213">
        <v>303.17</v>
      </c>
      <c r="I581" s="214">
        <v>337.9</v>
      </c>
      <c r="J581" s="213"/>
      <c r="K581" s="215">
        <f>I581+J581</f>
        <v>337.9</v>
      </c>
      <c r="L581" s="216">
        <f t="shared" si="222"/>
        <v>1.1145561895965959</v>
      </c>
      <c r="M581" s="626" t="s">
        <v>352</v>
      </c>
      <c r="N581" s="217">
        <f>V581+W581+X581</f>
        <v>337.9</v>
      </c>
      <c r="O581" s="26"/>
      <c r="P581" s="26">
        <v>337.9</v>
      </c>
      <c r="Q581" s="26"/>
      <c r="R581" s="26"/>
      <c r="S581" s="26"/>
      <c r="T581" s="26"/>
      <c r="U581" s="26"/>
      <c r="V581" s="26">
        <f t="shared" si="219"/>
        <v>337.9</v>
      </c>
      <c r="W581" s="26"/>
      <c r="X581" s="26"/>
    </row>
    <row r="582" spans="1:24" ht="15" x14ac:dyDescent="0.2">
      <c r="A582" s="571"/>
      <c r="B582" s="15" t="s">
        <v>923</v>
      </c>
      <c r="C582" s="16"/>
      <c r="D582" s="17" t="s">
        <v>924</v>
      </c>
      <c r="E582" s="18" t="str">
        <f>E583</f>
        <v>427 500,00</v>
      </c>
      <c r="F582" s="18">
        <f t="shared" ref="F582:X582" si="245">F583</f>
        <v>319000</v>
      </c>
      <c r="G582" s="218">
        <f t="shared" si="221"/>
        <v>0.74619883040935675</v>
      </c>
      <c r="H582" s="18">
        <f>H583</f>
        <v>427500</v>
      </c>
      <c r="I582" s="20">
        <f t="shared" si="245"/>
        <v>538700</v>
      </c>
      <c r="J582" s="114">
        <f t="shared" si="245"/>
        <v>-40000</v>
      </c>
      <c r="K582" s="209">
        <f t="shared" si="245"/>
        <v>498700</v>
      </c>
      <c r="L582" s="219">
        <f t="shared" si="222"/>
        <v>1.1665497076023392</v>
      </c>
      <c r="M582" s="21"/>
      <c r="N582" s="210">
        <f t="shared" si="245"/>
        <v>498700</v>
      </c>
      <c r="O582" s="95">
        <f t="shared" si="245"/>
        <v>498700</v>
      </c>
      <c r="P582" s="95">
        <f t="shared" si="245"/>
        <v>0</v>
      </c>
      <c r="Q582" s="95">
        <f t="shared" si="245"/>
        <v>0</v>
      </c>
      <c r="R582" s="95">
        <f t="shared" si="245"/>
        <v>0</v>
      </c>
      <c r="S582" s="95">
        <f t="shared" si="245"/>
        <v>0</v>
      </c>
      <c r="T582" s="95">
        <f t="shared" si="245"/>
        <v>0</v>
      </c>
      <c r="U582" s="95">
        <f t="shared" si="245"/>
        <v>0</v>
      </c>
      <c r="V582" s="26">
        <f t="shared" si="219"/>
        <v>498700</v>
      </c>
      <c r="W582" s="95">
        <f t="shared" si="245"/>
        <v>0</v>
      </c>
      <c r="X582" s="95">
        <f t="shared" si="245"/>
        <v>0</v>
      </c>
    </row>
    <row r="583" spans="1:24" ht="22.5" x14ac:dyDescent="0.2">
      <c r="A583" s="572"/>
      <c r="B583" s="22"/>
      <c r="C583" s="23" t="s">
        <v>902</v>
      </c>
      <c r="D583" s="24" t="s">
        <v>903</v>
      </c>
      <c r="E583" s="25" t="s">
        <v>925</v>
      </c>
      <c r="F583" s="211">
        <v>319000</v>
      </c>
      <c r="G583" s="212">
        <f t="shared" si="221"/>
        <v>0.74619883040935675</v>
      </c>
      <c r="H583" s="213">
        <v>427500</v>
      </c>
      <c r="I583" s="214">
        <v>538700</v>
      </c>
      <c r="J583" s="213">
        <v>-40000</v>
      </c>
      <c r="K583" s="215">
        <f>I583+J583</f>
        <v>498700</v>
      </c>
      <c r="L583" s="216">
        <f t="shared" si="222"/>
        <v>1.1665497076023392</v>
      </c>
      <c r="M583" s="626"/>
      <c r="N583" s="217">
        <f>V583+W583+X583</f>
        <v>498700</v>
      </c>
      <c r="O583" s="26">
        <v>498700</v>
      </c>
      <c r="P583" s="26"/>
      <c r="Q583" s="26"/>
      <c r="R583" s="26"/>
      <c r="S583" s="26"/>
      <c r="T583" s="26"/>
      <c r="U583" s="26"/>
      <c r="V583" s="26">
        <f t="shared" si="219"/>
        <v>498700</v>
      </c>
      <c r="W583" s="26"/>
      <c r="X583" s="26"/>
    </row>
    <row r="584" spans="1:24" ht="15" x14ac:dyDescent="0.2">
      <c r="A584" s="571"/>
      <c r="B584" s="15" t="s">
        <v>926</v>
      </c>
      <c r="C584" s="16"/>
      <c r="D584" s="17" t="s">
        <v>927</v>
      </c>
      <c r="E584" s="18" t="str">
        <f>E585</f>
        <v>80 000,00</v>
      </c>
      <c r="F584" s="18">
        <f t="shared" ref="F584:X584" si="246">F585</f>
        <v>80000</v>
      </c>
      <c r="G584" s="218">
        <f t="shared" si="221"/>
        <v>1</v>
      </c>
      <c r="H584" s="18">
        <f t="shared" si="246"/>
        <v>80000</v>
      </c>
      <c r="I584" s="20">
        <f t="shared" si="246"/>
        <v>100000</v>
      </c>
      <c r="J584" s="114">
        <f t="shared" si="246"/>
        <v>0</v>
      </c>
      <c r="K584" s="209">
        <f t="shared" si="246"/>
        <v>100000</v>
      </c>
      <c r="L584" s="219">
        <f t="shared" si="222"/>
        <v>1.25</v>
      </c>
      <c r="M584" s="21"/>
      <c r="N584" s="210">
        <f t="shared" si="246"/>
        <v>100000</v>
      </c>
      <c r="O584" s="95">
        <f t="shared" si="246"/>
        <v>100000</v>
      </c>
      <c r="P584" s="95">
        <f t="shared" si="246"/>
        <v>0</v>
      </c>
      <c r="Q584" s="95">
        <f t="shared" si="246"/>
        <v>0</v>
      </c>
      <c r="R584" s="95">
        <f t="shared" si="246"/>
        <v>0</v>
      </c>
      <c r="S584" s="95">
        <f t="shared" si="246"/>
        <v>0</v>
      </c>
      <c r="T584" s="95">
        <f t="shared" si="246"/>
        <v>0</v>
      </c>
      <c r="U584" s="95">
        <f t="shared" si="246"/>
        <v>0</v>
      </c>
      <c r="V584" s="26">
        <f t="shared" si="219"/>
        <v>100000</v>
      </c>
      <c r="W584" s="95">
        <f t="shared" si="246"/>
        <v>0</v>
      </c>
      <c r="X584" s="95">
        <f t="shared" si="246"/>
        <v>0</v>
      </c>
    </row>
    <row r="585" spans="1:24" ht="56.25" x14ac:dyDescent="0.2">
      <c r="A585" s="572"/>
      <c r="B585" s="22"/>
      <c r="C585" s="91" t="s">
        <v>928</v>
      </c>
      <c r="D585" s="92" t="s">
        <v>929</v>
      </c>
      <c r="E585" s="44" t="s">
        <v>173</v>
      </c>
      <c r="F585" s="223">
        <v>80000</v>
      </c>
      <c r="G585" s="224">
        <f t="shared" si="221"/>
        <v>1</v>
      </c>
      <c r="H585" s="225">
        <v>80000</v>
      </c>
      <c r="I585" s="226">
        <v>100000</v>
      </c>
      <c r="J585" s="225"/>
      <c r="K585" s="597">
        <f>I585+J585</f>
        <v>100000</v>
      </c>
      <c r="L585" s="303">
        <f t="shared" si="222"/>
        <v>1.25</v>
      </c>
      <c r="M585" s="627"/>
      <c r="N585" s="593">
        <f>V585+W585+X585</f>
        <v>100000</v>
      </c>
      <c r="O585" s="45">
        <v>100000</v>
      </c>
      <c r="P585" s="45"/>
      <c r="Q585" s="45"/>
      <c r="R585" s="45"/>
      <c r="S585" s="45"/>
      <c r="T585" s="45"/>
      <c r="U585" s="45"/>
      <c r="V585" s="45">
        <f t="shared" si="219"/>
        <v>100000</v>
      </c>
      <c r="W585" s="45"/>
      <c r="X585" s="45"/>
    </row>
    <row r="586" spans="1:24" ht="33.75" x14ac:dyDescent="0.2">
      <c r="A586" s="572"/>
      <c r="B586" s="591" t="s">
        <v>988</v>
      </c>
      <c r="C586" s="93"/>
      <c r="D586" s="94" t="s">
        <v>992</v>
      </c>
      <c r="E586" s="95">
        <f>E587</f>
        <v>0</v>
      </c>
      <c r="F586" s="95">
        <f>F587</f>
        <v>0</v>
      </c>
      <c r="G586" s="218">
        <v>0</v>
      </c>
      <c r="H586" s="250">
        <f>H587</f>
        <v>0</v>
      </c>
      <c r="I586" s="250">
        <f>I587</f>
        <v>0</v>
      </c>
      <c r="J586" s="246">
        <f>J587</f>
        <v>10000</v>
      </c>
      <c r="K586" s="598">
        <f>K587</f>
        <v>10000</v>
      </c>
      <c r="L586" s="219">
        <v>0</v>
      </c>
      <c r="M586" s="628"/>
      <c r="N586" s="595">
        <f>N587</f>
        <v>10000</v>
      </c>
      <c r="O586" s="590"/>
      <c r="P586" s="590"/>
      <c r="Q586" s="590"/>
      <c r="R586" s="590">
        <f>R587</f>
        <v>10000</v>
      </c>
      <c r="S586" s="590"/>
      <c r="T586" s="590"/>
      <c r="U586" s="590"/>
      <c r="V586" s="590"/>
      <c r="W586" s="590"/>
      <c r="X586" s="590"/>
    </row>
    <row r="587" spans="1:24" x14ac:dyDescent="0.2">
      <c r="A587" s="572"/>
      <c r="B587" s="22"/>
      <c r="C587" s="99" t="s">
        <v>386</v>
      </c>
      <c r="D587" s="596" t="s">
        <v>387</v>
      </c>
      <c r="E587" s="50">
        <v>0</v>
      </c>
      <c r="F587" s="233">
        <v>0</v>
      </c>
      <c r="G587" s="237">
        <v>0</v>
      </c>
      <c r="H587" s="233">
        <v>0</v>
      </c>
      <c r="I587" s="234">
        <v>0</v>
      </c>
      <c r="J587" s="299">
        <v>10000</v>
      </c>
      <c r="K587" s="599">
        <f>I587+J587</f>
        <v>10000</v>
      </c>
      <c r="L587" s="289">
        <v>0</v>
      </c>
      <c r="M587" s="235"/>
      <c r="N587" s="594">
        <f>O587+P587+Q587+R587+S587+T587</f>
        <v>10000</v>
      </c>
      <c r="O587" s="73"/>
      <c r="P587" s="73"/>
      <c r="Q587" s="73"/>
      <c r="R587" s="73">
        <v>10000</v>
      </c>
      <c r="S587" s="73"/>
      <c r="T587" s="73"/>
      <c r="U587" s="73"/>
      <c r="V587" s="73"/>
      <c r="W587" s="73"/>
      <c r="X587" s="73"/>
    </row>
    <row r="588" spans="1:24" ht="15" x14ac:dyDescent="0.2">
      <c r="A588" s="571"/>
      <c r="B588" s="15" t="s">
        <v>930</v>
      </c>
      <c r="C588" s="16"/>
      <c r="D588" s="17" t="s">
        <v>22</v>
      </c>
      <c r="E588" s="54">
        <f>E589+E590+E591</f>
        <v>65236.41</v>
      </c>
      <c r="F588" s="18">
        <f t="shared" ref="F588:X588" si="247">F589+F590+F591</f>
        <v>55469.710000000006</v>
      </c>
      <c r="G588" s="218">
        <f t="shared" si="221"/>
        <v>0.85028759246561858</v>
      </c>
      <c r="H588" s="18">
        <f t="shared" si="247"/>
        <v>64826.53</v>
      </c>
      <c r="I588" s="20">
        <f t="shared" si="247"/>
        <v>70950.790000000008</v>
      </c>
      <c r="J588" s="114">
        <f t="shared" si="247"/>
        <v>0</v>
      </c>
      <c r="K588" s="600">
        <f t="shared" si="247"/>
        <v>70950.790000000008</v>
      </c>
      <c r="L588" s="219">
        <f t="shared" si="222"/>
        <v>1.0875949488943368</v>
      </c>
      <c r="M588" s="21"/>
      <c r="N588" s="210">
        <f t="shared" si="247"/>
        <v>70950.790000000008</v>
      </c>
      <c r="O588" s="95">
        <f t="shared" si="247"/>
        <v>0</v>
      </c>
      <c r="P588" s="95">
        <f t="shared" si="247"/>
        <v>70950.790000000008</v>
      </c>
      <c r="Q588" s="95">
        <f t="shared" si="247"/>
        <v>0</v>
      </c>
      <c r="R588" s="95">
        <f t="shared" si="247"/>
        <v>0</v>
      </c>
      <c r="S588" s="95">
        <f t="shared" si="247"/>
        <v>0</v>
      </c>
      <c r="T588" s="95">
        <f t="shared" si="247"/>
        <v>0</v>
      </c>
      <c r="U588" s="95">
        <f t="shared" si="247"/>
        <v>0</v>
      </c>
      <c r="V588" s="26">
        <f t="shared" si="219"/>
        <v>70950.790000000008</v>
      </c>
      <c r="W588" s="95">
        <f t="shared" si="247"/>
        <v>0</v>
      </c>
      <c r="X588" s="95">
        <f t="shared" si="247"/>
        <v>0</v>
      </c>
    </row>
    <row r="589" spans="1:24" x14ac:dyDescent="0.2">
      <c r="A589" s="572"/>
      <c r="B589" s="22"/>
      <c r="C589" s="23" t="s">
        <v>398</v>
      </c>
      <c r="D589" s="24" t="s">
        <v>399</v>
      </c>
      <c r="E589" s="25" t="s">
        <v>931</v>
      </c>
      <c r="F589" s="211">
        <v>4250</v>
      </c>
      <c r="G589" s="212">
        <f t="shared" si="221"/>
        <v>1</v>
      </c>
      <c r="H589" s="213">
        <v>4250</v>
      </c>
      <c r="I589" s="214">
        <v>1700</v>
      </c>
      <c r="J589" s="213"/>
      <c r="K589" s="215">
        <f>I589+J589</f>
        <v>1700</v>
      </c>
      <c r="L589" s="216">
        <f t="shared" si="222"/>
        <v>0.4</v>
      </c>
      <c r="M589" s="626" t="s">
        <v>352</v>
      </c>
      <c r="N589" s="217">
        <f>V589+W589+X589</f>
        <v>1700</v>
      </c>
      <c r="O589" s="26"/>
      <c r="P589" s="26">
        <v>1700</v>
      </c>
      <c r="Q589" s="26"/>
      <c r="R589" s="26"/>
      <c r="S589" s="26"/>
      <c r="T589" s="26"/>
      <c r="U589" s="26"/>
      <c r="V589" s="26">
        <f t="shared" si="219"/>
        <v>1700</v>
      </c>
      <c r="W589" s="26"/>
      <c r="X589" s="26"/>
    </row>
    <row r="590" spans="1:24" x14ac:dyDescent="0.2">
      <c r="A590" s="572"/>
      <c r="B590" s="22"/>
      <c r="C590" s="23" t="s">
        <v>382</v>
      </c>
      <c r="D590" s="24" t="s">
        <v>383</v>
      </c>
      <c r="E590" s="25" t="s">
        <v>932</v>
      </c>
      <c r="F590" s="211">
        <v>29504.9</v>
      </c>
      <c r="G590" s="212">
        <f t="shared" si="221"/>
        <v>0.8009711044045823</v>
      </c>
      <c r="H590" s="213">
        <v>36426.53</v>
      </c>
      <c r="I590" s="214">
        <v>40696.94</v>
      </c>
      <c r="J590" s="213"/>
      <c r="K590" s="215">
        <f t="shared" ref="K590:K591" si="248">I590+J590</f>
        <v>40696.94</v>
      </c>
      <c r="L590" s="216">
        <f t="shared" si="222"/>
        <v>1.1048020151800895</v>
      </c>
      <c r="M590" s="626" t="s">
        <v>352</v>
      </c>
      <c r="N590" s="217">
        <f t="shared" ref="N590:N591" si="249">V590+W590+X590</f>
        <v>40696.94</v>
      </c>
      <c r="O590" s="26"/>
      <c r="P590" s="26">
        <v>40696.94</v>
      </c>
      <c r="Q590" s="26"/>
      <c r="R590" s="26"/>
      <c r="S590" s="26"/>
      <c r="T590" s="26"/>
      <c r="U590" s="26"/>
      <c r="V590" s="26">
        <f t="shared" si="219"/>
        <v>40696.94</v>
      </c>
      <c r="W590" s="26"/>
      <c r="X590" s="26"/>
    </row>
    <row r="591" spans="1:24" x14ac:dyDescent="0.2">
      <c r="A591" s="572"/>
      <c r="B591" s="22"/>
      <c r="C591" s="23" t="s">
        <v>386</v>
      </c>
      <c r="D591" s="24" t="s">
        <v>387</v>
      </c>
      <c r="E591" s="25" t="s">
        <v>933</v>
      </c>
      <c r="F591" s="211">
        <v>21714.81</v>
      </c>
      <c r="G591" s="212">
        <f t="shared" si="221"/>
        <v>0.89916397515527957</v>
      </c>
      <c r="H591" s="213">
        <v>24150</v>
      </c>
      <c r="I591" s="214">
        <v>28553.85</v>
      </c>
      <c r="J591" s="213"/>
      <c r="K591" s="215">
        <f t="shared" si="248"/>
        <v>28553.85</v>
      </c>
      <c r="L591" s="216">
        <f t="shared" si="222"/>
        <v>1.1823540372670807</v>
      </c>
      <c r="M591" s="626" t="s">
        <v>352</v>
      </c>
      <c r="N591" s="217">
        <f t="shared" si="249"/>
        <v>28553.85</v>
      </c>
      <c r="O591" s="26"/>
      <c r="P591" s="26">
        <v>28553.85</v>
      </c>
      <c r="Q591" s="26"/>
      <c r="R591" s="26"/>
      <c r="S591" s="26"/>
      <c r="T591" s="26"/>
      <c r="U591" s="26"/>
      <c r="V591" s="26">
        <f t="shared" si="219"/>
        <v>28553.85</v>
      </c>
      <c r="W591" s="26"/>
      <c r="X591" s="26"/>
    </row>
    <row r="592" spans="1:24" x14ac:dyDescent="0.2">
      <c r="A592" s="574" t="s">
        <v>318</v>
      </c>
      <c r="B592" s="39"/>
      <c r="C592" s="39"/>
      <c r="D592" s="40" t="s">
        <v>319</v>
      </c>
      <c r="E592" s="41">
        <f>E593+E603</f>
        <v>419240.89999999997</v>
      </c>
      <c r="F592" s="41">
        <f t="shared" ref="F592:X592" si="250">F593+F603</f>
        <v>330894.06</v>
      </c>
      <c r="G592" s="220">
        <f t="shared" si="221"/>
        <v>0.78926951067989792</v>
      </c>
      <c r="H592" s="41">
        <f t="shared" si="250"/>
        <v>398657.87</v>
      </c>
      <c r="I592" s="43">
        <f t="shared" si="250"/>
        <v>659477</v>
      </c>
      <c r="J592" s="111">
        <f t="shared" si="250"/>
        <v>-166500</v>
      </c>
      <c r="K592" s="206">
        <f t="shared" si="250"/>
        <v>492977</v>
      </c>
      <c r="L592" s="221">
        <f t="shared" si="222"/>
        <v>1.1758800250643486</v>
      </c>
      <c r="M592" s="207"/>
      <c r="N592" s="208">
        <f t="shared" si="250"/>
        <v>492977</v>
      </c>
      <c r="O592" s="109">
        <f t="shared" si="250"/>
        <v>9000</v>
      </c>
      <c r="P592" s="109">
        <f t="shared" si="250"/>
        <v>49200</v>
      </c>
      <c r="Q592" s="109">
        <f t="shared" si="250"/>
        <v>0</v>
      </c>
      <c r="R592" s="109">
        <f t="shared" si="250"/>
        <v>335020</v>
      </c>
      <c r="S592" s="109">
        <f t="shared" si="250"/>
        <v>0</v>
      </c>
      <c r="T592" s="109">
        <f t="shared" si="250"/>
        <v>0</v>
      </c>
      <c r="U592" s="109">
        <f t="shared" si="250"/>
        <v>0</v>
      </c>
      <c r="V592" s="26">
        <f t="shared" si="219"/>
        <v>393220</v>
      </c>
      <c r="W592" s="109">
        <f t="shared" si="250"/>
        <v>99757</v>
      </c>
      <c r="X592" s="109">
        <f t="shared" si="250"/>
        <v>0</v>
      </c>
    </row>
    <row r="593" spans="1:24" ht="15" x14ac:dyDescent="0.2">
      <c r="A593" s="571"/>
      <c r="B593" s="15" t="s">
        <v>934</v>
      </c>
      <c r="C593" s="16"/>
      <c r="D593" s="17" t="s">
        <v>935</v>
      </c>
      <c r="E593" s="18">
        <f>E594+E595+E596+E597+E598+E599+E600+E601+E602</f>
        <v>109700</v>
      </c>
      <c r="F593" s="18">
        <f t="shared" ref="F593:X593" si="251">F594+F595+F596+F597+F598+F599+F600+F601+F602</f>
        <v>63131.94999999999</v>
      </c>
      <c r="G593" s="218">
        <f t="shared" si="221"/>
        <v>0.5754963536918869</v>
      </c>
      <c r="H593" s="18">
        <f t="shared" si="251"/>
        <v>96965.62</v>
      </c>
      <c r="I593" s="20">
        <f t="shared" si="251"/>
        <v>115757</v>
      </c>
      <c r="J593" s="114">
        <f t="shared" si="251"/>
        <v>0</v>
      </c>
      <c r="K593" s="209">
        <f t="shared" si="251"/>
        <v>115757</v>
      </c>
      <c r="L593" s="219">
        <f t="shared" si="222"/>
        <v>1.0552142206016408</v>
      </c>
      <c r="M593" s="21"/>
      <c r="N593" s="210">
        <f t="shared" si="251"/>
        <v>115757</v>
      </c>
      <c r="O593" s="95">
        <f t="shared" si="251"/>
        <v>9000</v>
      </c>
      <c r="P593" s="95">
        <f t="shared" si="251"/>
        <v>0</v>
      </c>
      <c r="Q593" s="95">
        <f t="shared" si="251"/>
        <v>0</v>
      </c>
      <c r="R593" s="95">
        <f t="shared" si="251"/>
        <v>7000</v>
      </c>
      <c r="S593" s="95">
        <f t="shared" si="251"/>
        <v>0</v>
      </c>
      <c r="T593" s="95">
        <f t="shared" si="251"/>
        <v>0</v>
      </c>
      <c r="U593" s="95">
        <f t="shared" si="251"/>
        <v>0</v>
      </c>
      <c r="V593" s="26">
        <f t="shared" si="219"/>
        <v>16000</v>
      </c>
      <c r="W593" s="95">
        <f t="shared" si="251"/>
        <v>99757</v>
      </c>
      <c r="X593" s="95">
        <f t="shared" si="251"/>
        <v>0</v>
      </c>
    </row>
    <row r="594" spans="1:24" x14ac:dyDescent="0.2">
      <c r="A594" s="572"/>
      <c r="B594" s="22"/>
      <c r="C594" s="23" t="s">
        <v>376</v>
      </c>
      <c r="D594" s="24" t="s">
        <v>377</v>
      </c>
      <c r="E594" s="25" t="s">
        <v>936</v>
      </c>
      <c r="F594" s="211">
        <v>6167.78</v>
      </c>
      <c r="G594" s="212">
        <f t="shared" si="221"/>
        <v>0.68530888888888886</v>
      </c>
      <c r="H594" s="213">
        <v>9000</v>
      </c>
      <c r="I594" s="214">
        <v>9234</v>
      </c>
      <c r="J594" s="213"/>
      <c r="K594" s="215">
        <f>I594+J594</f>
        <v>9234</v>
      </c>
      <c r="L594" s="216">
        <f t="shared" si="222"/>
        <v>1.026</v>
      </c>
      <c r="M594" s="626"/>
      <c r="N594" s="217">
        <f>V594+W594+X594</f>
        <v>9234</v>
      </c>
      <c r="O594" s="26"/>
      <c r="P594" s="26"/>
      <c r="Q594" s="26"/>
      <c r="R594" s="26"/>
      <c r="S594" s="26"/>
      <c r="T594" s="26"/>
      <c r="U594" s="26"/>
      <c r="V594" s="26">
        <f t="shared" si="219"/>
        <v>0</v>
      </c>
      <c r="W594" s="211">
        <v>9234</v>
      </c>
      <c r="X594" s="26"/>
    </row>
    <row r="595" spans="1:24" x14ac:dyDescent="0.2">
      <c r="A595" s="572"/>
      <c r="B595" s="22"/>
      <c r="C595" s="23" t="s">
        <v>379</v>
      </c>
      <c r="D595" s="24" t="s">
        <v>380</v>
      </c>
      <c r="E595" s="25" t="s">
        <v>730</v>
      </c>
      <c r="F595" s="211">
        <v>879.07</v>
      </c>
      <c r="G595" s="212">
        <f t="shared" si="221"/>
        <v>0.62790714285714289</v>
      </c>
      <c r="H595" s="213">
        <v>1400</v>
      </c>
      <c r="I595" s="214">
        <v>1323</v>
      </c>
      <c r="J595" s="213"/>
      <c r="K595" s="215">
        <f t="shared" ref="K595:K602" si="252">I595+J595</f>
        <v>1323</v>
      </c>
      <c r="L595" s="216">
        <f t="shared" si="222"/>
        <v>0.94499999999999995</v>
      </c>
      <c r="M595" s="626"/>
      <c r="N595" s="217">
        <f t="shared" ref="N595:N601" si="253">V595+W595+X595</f>
        <v>1323</v>
      </c>
      <c r="O595" s="26"/>
      <c r="P595" s="26"/>
      <c r="Q595" s="26"/>
      <c r="R595" s="26"/>
      <c r="S595" s="26"/>
      <c r="T595" s="26"/>
      <c r="U595" s="26"/>
      <c r="V595" s="26">
        <f t="shared" ref="V595:V609" si="254">SUM(O595:U595)</f>
        <v>0</v>
      </c>
      <c r="W595" s="211">
        <v>1323</v>
      </c>
      <c r="X595" s="26"/>
    </row>
    <row r="596" spans="1:24" x14ac:dyDescent="0.2">
      <c r="A596" s="572"/>
      <c r="B596" s="22"/>
      <c r="C596" s="23" t="s">
        <v>398</v>
      </c>
      <c r="D596" s="24" t="s">
        <v>399</v>
      </c>
      <c r="E596" s="25" t="s">
        <v>893</v>
      </c>
      <c r="F596" s="211">
        <v>36691.31</v>
      </c>
      <c r="G596" s="212">
        <f t="shared" si="221"/>
        <v>0.73382619999999998</v>
      </c>
      <c r="H596" s="213">
        <v>50000</v>
      </c>
      <c r="I596" s="214">
        <v>54000</v>
      </c>
      <c r="J596" s="213"/>
      <c r="K596" s="215">
        <f t="shared" si="252"/>
        <v>54000</v>
      </c>
      <c r="L596" s="216">
        <f t="shared" si="222"/>
        <v>1.08</v>
      </c>
      <c r="M596" s="626"/>
      <c r="N596" s="217">
        <f t="shared" si="253"/>
        <v>54000</v>
      </c>
      <c r="O596" s="26"/>
      <c r="P596" s="26"/>
      <c r="Q596" s="26"/>
      <c r="R596" s="26"/>
      <c r="S596" s="26"/>
      <c r="T596" s="26"/>
      <c r="U596" s="26"/>
      <c r="V596" s="26">
        <f t="shared" si="254"/>
        <v>0</v>
      </c>
      <c r="W596" s="211">
        <v>54000</v>
      </c>
      <c r="X596" s="26"/>
    </row>
    <row r="597" spans="1:24" x14ac:dyDescent="0.2">
      <c r="A597" s="572"/>
      <c r="B597" s="22"/>
      <c r="C597" s="23" t="s">
        <v>382</v>
      </c>
      <c r="D597" s="24" t="s">
        <v>383</v>
      </c>
      <c r="E597" s="25" t="s">
        <v>937</v>
      </c>
      <c r="F597" s="211">
        <v>8944.57</v>
      </c>
      <c r="G597" s="212">
        <f t="shared" si="221"/>
        <v>0.52307426900584797</v>
      </c>
      <c r="H597" s="213">
        <v>17100</v>
      </c>
      <c r="I597" s="214">
        <f>15000</f>
        <v>15000</v>
      </c>
      <c r="J597" s="213"/>
      <c r="K597" s="215">
        <f t="shared" si="252"/>
        <v>15000</v>
      </c>
      <c r="L597" s="216">
        <f t="shared" si="222"/>
        <v>0.8771929824561403</v>
      </c>
      <c r="M597" s="626" t="s">
        <v>938</v>
      </c>
      <c r="N597" s="217">
        <f t="shared" si="253"/>
        <v>15000</v>
      </c>
      <c r="O597" s="26"/>
      <c r="P597" s="26"/>
      <c r="Q597" s="26"/>
      <c r="R597" s="26"/>
      <c r="S597" s="26"/>
      <c r="T597" s="26"/>
      <c r="U597" s="26"/>
      <c r="V597" s="26">
        <f t="shared" si="254"/>
        <v>0</v>
      </c>
      <c r="W597" s="26">
        <v>15000</v>
      </c>
      <c r="X597" s="26"/>
    </row>
    <row r="598" spans="1:24" ht="33.75" x14ac:dyDescent="0.2">
      <c r="A598" s="572"/>
      <c r="B598" s="22"/>
      <c r="C598" s="23" t="s">
        <v>401</v>
      </c>
      <c r="D598" s="24" t="s">
        <v>402</v>
      </c>
      <c r="E598" s="25" t="s">
        <v>242</v>
      </c>
      <c r="F598" s="211">
        <v>5149.2299999999996</v>
      </c>
      <c r="G598" s="212">
        <f t="shared" si="221"/>
        <v>0.3678021428571428</v>
      </c>
      <c r="H598" s="213">
        <v>7865.64</v>
      </c>
      <c r="I598" s="214">
        <f>9000+5000+5000</f>
        <v>19000</v>
      </c>
      <c r="J598" s="213"/>
      <c r="K598" s="215">
        <f t="shared" si="252"/>
        <v>19000</v>
      </c>
      <c r="L598" s="216">
        <f t="shared" si="222"/>
        <v>1.3571428571428572</v>
      </c>
      <c r="M598" s="626" t="s">
        <v>939</v>
      </c>
      <c r="N598" s="217">
        <f t="shared" si="253"/>
        <v>19000</v>
      </c>
      <c r="O598" s="26">
        <v>5000</v>
      </c>
      <c r="P598" s="26"/>
      <c r="Q598" s="26"/>
      <c r="R598" s="26">
        <v>5000</v>
      </c>
      <c r="S598" s="26"/>
      <c r="T598" s="26"/>
      <c r="U598" s="26"/>
      <c r="V598" s="26">
        <f t="shared" si="254"/>
        <v>10000</v>
      </c>
      <c r="W598" s="26">
        <v>9000</v>
      </c>
      <c r="X598" s="26"/>
    </row>
    <row r="599" spans="1:24" x14ac:dyDescent="0.2">
      <c r="A599" s="572"/>
      <c r="B599" s="22"/>
      <c r="C599" s="23" t="s">
        <v>502</v>
      </c>
      <c r="D599" s="24" t="s">
        <v>503</v>
      </c>
      <c r="E599" s="25" t="s">
        <v>940</v>
      </c>
      <c r="F599" s="211">
        <v>0</v>
      </c>
      <c r="G599" s="212">
        <f t="shared" si="221"/>
        <v>0</v>
      </c>
      <c r="H599" s="213">
        <v>0</v>
      </c>
      <c r="I599" s="214">
        <v>200</v>
      </c>
      <c r="J599" s="213"/>
      <c r="K599" s="215">
        <f t="shared" si="252"/>
        <v>200</v>
      </c>
      <c r="L599" s="216">
        <f t="shared" si="222"/>
        <v>1</v>
      </c>
      <c r="M599" s="626"/>
      <c r="N599" s="217">
        <f t="shared" si="253"/>
        <v>200</v>
      </c>
      <c r="O599" s="26"/>
      <c r="P599" s="26"/>
      <c r="Q599" s="26"/>
      <c r="R599" s="26"/>
      <c r="S599" s="26"/>
      <c r="T599" s="26"/>
      <c r="U599" s="26"/>
      <c r="V599" s="26">
        <f t="shared" si="254"/>
        <v>0</v>
      </c>
      <c r="W599" s="26">
        <v>200</v>
      </c>
      <c r="X599" s="26"/>
    </row>
    <row r="600" spans="1:24" ht="33.75" x14ac:dyDescent="0.2">
      <c r="A600" s="572"/>
      <c r="B600" s="22"/>
      <c r="C600" s="23" t="s">
        <v>386</v>
      </c>
      <c r="D600" s="24" t="s">
        <v>387</v>
      </c>
      <c r="E600" s="25" t="s">
        <v>48</v>
      </c>
      <c r="F600" s="211">
        <v>5299.99</v>
      </c>
      <c r="G600" s="212">
        <f t="shared" si="221"/>
        <v>0.44166583333333331</v>
      </c>
      <c r="H600" s="213">
        <v>11599.98</v>
      </c>
      <c r="I600" s="214">
        <f>11000+2000+1000</f>
        <v>14000</v>
      </c>
      <c r="J600" s="213"/>
      <c r="K600" s="215">
        <f t="shared" si="252"/>
        <v>14000</v>
      </c>
      <c r="L600" s="216">
        <f t="shared" si="222"/>
        <v>1.1666666666666667</v>
      </c>
      <c r="M600" s="626" t="s">
        <v>941</v>
      </c>
      <c r="N600" s="217">
        <f t="shared" si="253"/>
        <v>14000</v>
      </c>
      <c r="O600" s="26">
        <v>1000</v>
      </c>
      <c r="P600" s="26"/>
      <c r="Q600" s="26"/>
      <c r="R600" s="26">
        <v>2000</v>
      </c>
      <c r="S600" s="26"/>
      <c r="T600" s="26"/>
      <c r="U600" s="26"/>
      <c r="V600" s="26">
        <f t="shared" si="254"/>
        <v>3000</v>
      </c>
      <c r="W600" s="26">
        <v>11000</v>
      </c>
      <c r="X600" s="26"/>
    </row>
    <row r="601" spans="1:24" ht="45" x14ac:dyDescent="0.2">
      <c r="A601" s="572"/>
      <c r="B601" s="22"/>
      <c r="C601" s="23" t="s">
        <v>390</v>
      </c>
      <c r="D601" s="24" t="s">
        <v>391</v>
      </c>
      <c r="E601" s="25" t="s">
        <v>365</v>
      </c>
      <c r="F601" s="211">
        <v>0</v>
      </c>
      <c r="G601" s="212">
        <v>0</v>
      </c>
      <c r="H601" s="213">
        <v>0</v>
      </c>
      <c r="I601" s="214">
        <v>3000</v>
      </c>
      <c r="J601" s="213"/>
      <c r="K601" s="215">
        <f t="shared" si="252"/>
        <v>3000</v>
      </c>
      <c r="L601" s="216">
        <v>0</v>
      </c>
      <c r="M601" s="626" t="s">
        <v>942</v>
      </c>
      <c r="N601" s="217">
        <f t="shared" si="253"/>
        <v>3000</v>
      </c>
      <c r="O601" s="26">
        <v>3000</v>
      </c>
      <c r="P601" s="26"/>
      <c r="Q601" s="26"/>
      <c r="R601" s="26"/>
      <c r="S601" s="26"/>
      <c r="T601" s="26"/>
      <c r="U601" s="26"/>
      <c r="V601" s="26">
        <f t="shared" si="254"/>
        <v>3000</v>
      </c>
      <c r="W601" s="26"/>
      <c r="X601" s="26"/>
    </row>
    <row r="602" spans="1:24" ht="22.5" x14ac:dyDescent="0.2">
      <c r="A602" s="572"/>
      <c r="B602" s="22"/>
      <c r="C602" s="23" t="s">
        <v>393</v>
      </c>
      <c r="D602" s="24" t="s">
        <v>394</v>
      </c>
      <c r="E602" s="25" t="s">
        <v>540</v>
      </c>
      <c r="F602" s="211">
        <v>0</v>
      </c>
      <c r="G602" s="212">
        <f t="shared" si="221"/>
        <v>0</v>
      </c>
      <c r="H602" s="213">
        <v>0</v>
      </c>
      <c r="I602" s="214">
        <v>0</v>
      </c>
      <c r="J602" s="213"/>
      <c r="K602" s="215">
        <f t="shared" si="252"/>
        <v>0</v>
      </c>
      <c r="L602" s="216">
        <f t="shared" si="222"/>
        <v>0</v>
      </c>
      <c r="M602" s="626"/>
      <c r="N602" s="217">
        <f>V602+W602+X602</f>
        <v>0</v>
      </c>
      <c r="O602" s="26"/>
      <c r="P602" s="26"/>
      <c r="Q602" s="26"/>
      <c r="R602" s="26"/>
      <c r="S602" s="26"/>
      <c r="T602" s="26"/>
      <c r="U602" s="26"/>
      <c r="V602" s="26">
        <f t="shared" si="254"/>
        <v>0</v>
      </c>
      <c r="W602" s="26"/>
      <c r="X602" s="26"/>
    </row>
    <row r="603" spans="1:24" ht="15" x14ac:dyDescent="0.2">
      <c r="A603" s="571"/>
      <c r="B603" s="15" t="s">
        <v>320</v>
      </c>
      <c r="C603" s="16"/>
      <c r="D603" s="17" t="s">
        <v>22</v>
      </c>
      <c r="E603" s="18">
        <f>E604+E605+E606+E607+E608+E609</f>
        <v>309540.89999999997</v>
      </c>
      <c r="F603" s="18">
        <f t="shared" ref="F603:X603" si="255">F604+F605+F606+F607+F608+F609</f>
        <v>267762.11</v>
      </c>
      <c r="G603" s="218">
        <f t="shared" si="221"/>
        <v>0.86502982319945443</v>
      </c>
      <c r="H603" s="18">
        <f t="shared" si="255"/>
        <v>301692.25</v>
      </c>
      <c r="I603" s="20">
        <f t="shared" si="255"/>
        <v>543720</v>
      </c>
      <c r="J603" s="114">
        <f t="shared" si="255"/>
        <v>-166500</v>
      </c>
      <c r="K603" s="209">
        <f t="shared" si="255"/>
        <v>377220</v>
      </c>
      <c r="L603" s="219">
        <f t="shared" si="222"/>
        <v>1.2186434813622369</v>
      </c>
      <c r="M603" s="21"/>
      <c r="N603" s="210">
        <f t="shared" si="255"/>
        <v>377220</v>
      </c>
      <c r="O603" s="95">
        <f t="shared" si="255"/>
        <v>0</v>
      </c>
      <c r="P603" s="95">
        <f t="shared" si="255"/>
        <v>49200</v>
      </c>
      <c r="Q603" s="95">
        <f t="shared" si="255"/>
        <v>0</v>
      </c>
      <c r="R603" s="95">
        <f t="shared" si="255"/>
        <v>328020</v>
      </c>
      <c r="S603" s="95">
        <f t="shared" si="255"/>
        <v>0</v>
      </c>
      <c r="T603" s="95">
        <f t="shared" si="255"/>
        <v>0</v>
      </c>
      <c r="U603" s="95">
        <f t="shared" si="255"/>
        <v>0</v>
      </c>
      <c r="V603" s="26">
        <f t="shared" si="254"/>
        <v>377220</v>
      </c>
      <c r="W603" s="95">
        <f t="shared" si="255"/>
        <v>0</v>
      </c>
      <c r="X603" s="95">
        <f t="shared" si="255"/>
        <v>0</v>
      </c>
    </row>
    <row r="604" spans="1:24" ht="67.5" x14ac:dyDescent="0.2">
      <c r="A604" s="572"/>
      <c r="B604" s="22"/>
      <c r="C604" s="23" t="s">
        <v>85</v>
      </c>
      <c r="D604" s="24" t="s">
        <v>522</v>
      </c>
      <c r="E604" s="25" t="s">
        <v>943</v>
      </c>
      <c r="F604" s="211">
        <v>201800</v>
      </c>
      <c r="G604" s="212">
        <f t="shared" ref="G604:G610" si="256">F604/E604</f>
        <v>0.98439024390243901</v>
      </c>
      <c r="H604" s="213">
        <v>201800</v>
      </c>
      <c r="I604" s="214">
        <v>300000</v>
      </c>
      <c r="J604" s="213">
        <v>-86500</v>
      </c>
      <c r="K604" s="215">
        <f>I604+J604</f>
        <v>213500</v>
      </c>
      <c r="L604" s="216">
        <f t="shared" ref="L604:L609" si="257">K604/E604</f>
        <v>1.0414634146341464</v>
      </c>
      <c r="M604" s="626"/>
      <c r="N604" s="217">
        <f>V604+W604+X604</f>
        <v>213500</v>
      </c>
      <c r="O604" s="26"/>
      <c r="P604" s="26"/>
      <c r="Q604" s="26"/>
      <c r="R604" s="26">
        <v>213500</v>
      </c>
      <c r="S604" s="26"/>
      <c r="T604" s="26"/>
      <c r="U604" s="26"/>
      <c r="V604" s="26">
        <f t="shared" si="254"/>
        <v>213500</v>
      </c>
      <c r="W604" s="26"/>
      <c r="X604" s="26"/>
    </row>
    <row r="605" spans="1:24" x14ac:dyDescent="0.2">
      <c r="A605" s="572"/>
      <c r="B605" s="22"/>
      <c r="C605" s="23" t="s">
        <v>376</v>
      </c>
      <c r="D605" s="24" t="s">
        <v>377</v>
      </c>
      <c r="E605" s="25" t="s">
        <v>91</v>
      </c>
      <c r="F605" s="211">
        <v>0</v>
      </c>
      <c r="G605" s="212">
        <f t="shared" si="256"/>
        <v>0</v>
      </c>
      <c r="H605" s="213">
        <v>0</v>
      </c>
      <c r="I605" s="214">
        <f>32500-25000</f>
        <v>7500</v>
      </c>
      <c r="J605" s="213"/>
      <c r="K605" s="215">
        <f t="shared" ref="K605:K609" si="258">I605+J605</f>
        <v>7500</v>
      </c>
      <c r="L605" s="216">
        <f t="shared" si="257"/>
        <v>5</v>
      </c>
      <c r="M605" s="626"/>
      <c r="N605" s="217">
        <f t="shared" ref="N605:N609" si="259">V605+W605+X605</f>
        <v>7500</v>
      </c>
      <c r="O605" s="26"/>
      <c r="P605" s="26"/>
      <c r="Q605" s="26"/>
      <c r="R605" s="26">
        <v>7500</v>
      </c>
      <c r="S605" s="26"/>
      <c r="T605" s="26"/>
      <c r="U605" s="26"/>
      <c r="V605" s="26">
        <f t="shared" si="254"/>
        <v>7500</v>
      </c>
      <c r="W605" s="26"/>
      <c r="X605" s="26"/>
    </row>
    <row r="606" spans="1:24" ht="22.5" x14ac:dyDescent="0.2">
      <c r="A606" s="572"/>
      <c r="B606" s="22"/>
      <c r="C606" s="23" t="s">
        <v>398</v>
      </c>
      <c r="D606" s="24" t="s">
        <v>399</v>
      </c>
      <c r="E606" s="25" t="s">
        <v>31</v>
      </c>
      <c r="F606" s="211">
        <v>7403.2</v>
      </c>
      <c r="G606" s="212">
        <f t="shared" si="256"/>
        <v>0.37015999999999999</v>
      </c>
      <c r="H606" s="213">
        <v>18806.400000000001</v>
      </c>
      <c r="I606" s="214">
        <f>37920+2000</f>
        <v>39920</v>
      </c>
      <c r="J606" s="213">
        <v>-10000</v>
      </c>
      <c r="K606" s="215">
        <f t="shared" si="258"/>
        <v>29920</v>
      </c>
      <c r="L606" s="216">
        <f t="shared" si="257"/>
        <v>1.496</v>
      </c>
      <c r="M606" s="626" t="s">
        <v>944</v>
      </c>
      <c r="N606" s="217">
        <f t="shared" si="259"/>
        <v>29920</v>
      </c>
      <c r="O606" s="26"/>
      <c r="P606" s="26">
        <v>2000</v>
      </c>
      <c r="Q606" s="26"/>
      <c r="R606" s="26">
        <v>27920</v>
      </c>
      <c r="S606" s="26"/>
      <c r="T606" s="26"/>
      <c r="U606" s="26"/>
      <c r="V606" s="26">
        <f t="shared" si="254"/>
        <v>29920</v>
      </c>
      <c r="W606" s="26"/>
      <c r="X606" s="26"/>
    </row>
    <row r="607" spans="1:24" ht="22.5" x14ac:dyDescent="0.2">
      <c r="A607" s="572"/>
      <c r="B607" s="22"/>
      <c r="C607" s="23" t="s">
        <v>382</v>
      </c>
      <c r="D607" s="24" t="s">
        <v>383</v>
      </c>
      <c r="E607" s="25" t="s">
        <v>945</v>
      </c>
      <c r="F607" s="211">
        <v>40934.94</v>
      </c>
      <c r="G607" s="212">
        <f t="shared" si="256"/>
        <v>0.72398876210739671</v>
      </c>
      <c r="H607" s="213">
        <v>56540.85</v>
      </c>
      <c r="I607" s="214">
        <f>25000+36100+45200</f>
        <v>106300</v>
      </c>
      <c r="J607" s="213">
        <v>-30000</v>
      </c>
      <c r="K607" s="215">
        <f t="shared" si="258"/>
        <v>76300</v>
      </c>
      <c r="L607" s="216">
        <f t="shared" si="257"/>
        <v>1.3494668014364837</v>
      </c>
      <c r="M607" s="626" t="s">
        <v>946</v>
      </c>
      <c r="N607" s="217">
        <f t="shared" si="259"/>
        <v>76300</v>
      </c>
      <c r="O607" s="26"/>
      <c r="P607" s="26">
        <v>45200</v>
      </c>
      <c r="Q607" s="26"/>
      <c r="R607" s="26">
        <v>31100</v>
      </c>
      <c r="S607" s="26"/>
      <c r="T607" s="26"/>
      <c r="U607" s="26"/>
      <c r="V607" s="26">
        <f t="shared" si="254"/>
        <v>76300</v>
      </c>
      <c r="W607" s="26"/>
      <c r="X607" s="26"/>
    </row>
    <row r="608" spans="1:24" ht="22.5" x14ac:dyDescent="0.2">
      <c r="A608" s="572"/>
      <c r="B608" s="22"/>
      <c r="C608" s="23" t="s">
        <v>386</v>
      </c>
      <c r="D608" s="24" t="s">
        <v>387</v>
      </c>
      <c r="E608" s="25" t="s">
        <v>947</v>
      </c>
      <c r="F608" s="211">
        <v>13088.98</v>
      </c>
      <c r="G608" s="212">
        <f t="shared" si="256"/>
        <v>0.70751052024183714</v>
      </c>
      <c r="H608" s="213">
        <v>18500</v>
      </c>
      <c r="I608" s="214">
        <f>75000+2000</f>
        <v>77000</v>
      </c>
      <c r="J608" s="213">
        <v>-40000</v>
      </c>
      <c r="K608" s="215">
        <f t="shared" si="258"/>
        <v>37000</v>
      </c>
      <c r="L608" s="216">
        <f t="shared" si="257"/>
        <v>1.9999945946092039</v>
      </c>
      <c r="M608" s="626" t="s">
        <v>948</v>
      </c>
      <c r="N608" s="217">
        <f t="shared" si="259"/>
        <v>37000</v>
      </c>
      <c r="O608" s="26"/>
      <c r="P608" s="26">
        <v>2000</v>
      </c>
      <c r="Q608" s="26"/>
      <c r="R608" s="26">
        <v>35000</v>
      </c>
      <c r="S608" s="26"/>
      <c r="T608" s="26"/>
      <c r="U608" s="26"/>
      <c r="V608" s="26">
        <f t="shared" si="254"/>
        <v>37000</v>
      </c>
      <c r="W608" s="26"/>
      <c r="X608" s="26"/>
    </row>
    <row r="609" spans="1:24" x14ac:dyDescent="0.2">
      <c r="A609" s="572"/>
      <c r="B609" s="22"/>
      <c r="C609" s="91" t="s">
        <v>390</v>
      </c>
      <c r="D609" s="92" t="s">
        <v>391</v>
      </c>
      <c r="E609" s="44" t="s">
        <v>756</v>
      </c>
      <c r="F609" s="223">
        <v>4534.99</v>
      </c>
      <c r="G609" s="224">
        <f t="shared" si="256"/>
        <v>0.56687374999999995</v>
      </c>
      <c r="H609" s="225">
        <v>6045</v>
      </c>
      <c r="I609" s="226">
        <v>13000</v>
      </c>
      <c r="J609" s="213"/>
      <c r="K609" s="215">
        <f t="shared" si="258"/>
        <v>13000</v>
      </c>
      <c r="L609" s="303">
        <f t="shared" si="257"/>
        <v>1.625</v>
      </c>
      <c r="M609" s="626"/>
      <c r="N609" s="217">
        <f t="shared" si="259"/>
        <v>13000</v>
      </c>
      <c r="O609" s="26"/>
      <c r="P609" s="26"/>
      <c r="Q609" s="26"/>
      <c r="R609" s="26">
        <v>13000</v>
      </c>
      <c r="S609" s="26"/>
      <c r="T609" s="26"/>
      <c r="U609" s="26"/>
      <c r="V609" s="26">
        <f t="shared" si="254"/>
        <v>13000</v>
      </c>
      <c r="W609" s="26"/>
      <c r="X609" s="26"/>
    </row>
    <row r="610" spans="1:24" ht="17.100000000000001" customHeight="1" x14ac:dyDescent="0.2">
      <c r="A610" s="656" t="s">
        <v>322</v>
      </c>
      <c r="B610" s="656"/>
      <c r="C610" s="656"/>
      <c r="D610" s="656"/>
      <c r="E610" s="304">
        <f>E592+E561+E516+E475+E455+E449+E355+E330+E177+E174+E171+E137+E131+E66+E60+E44+E27+E39+E20+E6</f>
        <v>65640261.319999993</v>
      </c>
      <c r="F610" s="304">
        <f>F592+F561+F516+F475+F455+F449+F355+F330+F177+F174+F171+F137+F131+F66+F60+F44+F39+F27+F20+F6</f>
        <v>46426016.629999995</v>
      </c>
      <c r="G610" s="305">
        <f t="shared" si="256"/>
        <v>0.70727958262796264</v>
      </c>
      <c r="H610" s="306">
        <f>H592+H561+H516+H475+H455+H449+H355+H330+H177+H174+H171+H137+H131+H66+H60+H44+H39+H27+H20+H6</f>
        <v>63831999.820000008</v>
      </c>
      <c r="I610" s="307">
        <f>I592+I561+I516+I475+I455+I449+I355+I330+I177+I174+I171+I137+I131+I66+I60+I44+I39+I27+I20+I6</f>
        <v>72197330.109999999</v>
      </c>
      <c r="J610" s="306">
        <f>J592+J561+J516+J475+J455+J449+J355+J330+J177+J174+J171+J137+J131+J66+J60+J44+J39+J27+J20+J6</f>
        <v>-3811389.5300000003</v>
      </c>
      <c r="K610" s="308">
        <f>K592+K561+K516+K475+K455+K449+K355+K330+K177+K174+K171+K137+K131+K66+K60+K44+K39+K27+K20+K6</f>
        <v>68385940.579999998</v>
      </c>
      <c r="L610" s="618">
        <f>K610/E610</f>
        <v>1.041829194533743</v>
      </c>
      <c r="M610" s="617"/>
      <c r="N610" s="308">
        <f t="shared" ref="N610:X610" si="260">N592+N561+N516+N475+N455+N449+N355+N330+N177+N174+N171+N137+N131+N66+N60+N44+N39+N27+N20+N6</f>
        <v>68385940.579999998</v>
      </c>
      <c r="O610" s="308">
        <f t="shared" si="260"/>
        <v>10847579.82</v>
      </c>
      <c r="P610" s="308">
        <f t="shared" si="260"/>
        <v>271082.91000000003</v>
      </c>
      <c r="Q610" s="308">
        <f t="shared" si="260"/>
        <v>3029602.23</v>
      </c>
      <c r="R610" s="308">
        <f t="shared" si="260"/>
        <v>7140902.3799999999</v>
      </c>
      <c r="S610" s="308">
        <f t="shared" si="260"/>
        <v>824698</v>
      </c>
      <c r="T610" s="308">
        <f t="shared" si="260"/>
        <v>447827.24</v>
      </c>
      <c r="U610" s="308">
        <f t="shared" si="260"/>
        <v>431830</v>
      </c>
      <c r="V610" s="308">
        <f t="shared" si="260"/>
        <v>22983522.580000002</v>
      </c>
      <c r="W610" s="308">
        <f t="shared" si="260"/>
        <v>22056112</v>
      </c>
      <c r="X610" s="308">
        <f t="shared" si="260"/>
        <v>23336306</v>
      </c>
    </row>
    <row r="611" spans="1:24" ht="15" customHeight="1" x14ac:dyDescent="0.2">
      <c r="A611" s="657" t="s">
        <v>323</v>
      </c>
      <c r="B611" s="657"/>
      <c r="C611" s="657"/>
      <c r="D611" s="657"/>
      <c r="E611" s="657"/>
      <c r="F611" s="657"/>
      <c r="G611" s="657"/>
      <c r="H611" s="657"/>
      <c r="I611" s="657"/>
      <c r="J611" s="657"/>
      <c r="K611" s="657"/>
      <c r="L611" s="658"/>
      <c r="M611" s="235"/>
      <c r="O611" s="655">
        <f>SUM(O610:U610)</f>
        <v>22993522.579999998</v>
      </c>
      <c r="P611" s="655"/>
      <c r="Q611" s="655"/>
      <c r="R611" s="655"/>
      <c r="S611" s="655"/>
      <c r="T611" s="655"/>
      <c r="U611" s="655"/>
      <c r="V611" s="655">
        <f>V610+W610+X610</f>
        <v>68375940.579999998</v>
      </c>
      <c r="W611" s="655"/>
      <c r="X611" s="655"/>
    </row>
    <row r="612" spans="1:24" ht="15" customHeight="1" x14ac:dyDescent="0.2">
      <c r="A612" s="309"/>
      <c r="B612" s="309"/>
      <c r="C612" s="309"/>
      <c r="D612" s="309"/>
      <c r="E612" s="310"/>
      <c r="F612" s="309"/>
      <c r="G612" s="309"/>
      <c r="H612" s="309"/>
      <c r="I612" s="310"/>
      <c r="J612" s="310"/>
      <c r="K612" s="309"/>
      <c r="L612" s="311"/>
      <c r="M612" s="235"/>
      <c r="O612" s="312"/>
      <c r="P612" s="312"/>
      <c r="Q612" s="312"/>
      <c r="R612" s="312"/>
      <c r="S612" s="312"/>
      <c r="T612" s="312"/>
      <c r="U612" s="312"/>
      <c r="V612" s="312"/>
      <c r="W612" s="312"/>
      <c r="X612" s="312"/>
    </row>
    <row r="613" spans="1:24" ht="15" customHeight="1" x14ac:dyDescent="0.2">
      <c r="C613" s="313"/>
      <c r="D613" s="314" t="s">
        <v>949</v>
      </c>
      <c r="E613" s="315">
        <f>E610-E621</f>
        <v>60484571.859999992</v>
      </c>
      <c r="F613" s="315">
        <f t="shared" ref="F613:X613" si="261">F610-F621</f>
        <v>44074975.649999999</v>
      </c>
      <c r="G613" s="316">
        <f>F613/E613</f>
        <v>0.72869781986748128</v>
      </c>
      <c r="H613" s="315">
        <f t="shared" si="261"/>
        <v>59172443.430000007</v>
      </c>
      <c r="I613" s="315">
        <f t="shared" si="261"/>
        <v>65465163.140000001</v>
      </c>
      <c r="J613" s="315">
        <f t="shared" si="261"/>
        <v>-1421389.5300000003</v>
      </c>
      <c r="K613" s="315">
        <f t="shared" si="261"/>
        <v>64043773.609999999</v>
      </c>
      <c r="L613" s="316">
        <f>K613/E613</f>
        <v>1.0588447870349198</v>
      </c>
      <c r="M613" s="315"/>
      <c r="N613" s="315">
        <f t="shared" si="261"/>
        <v>64043773.609999999</v>
      </c>
      <c r="O613" s="315">
        <f t="shared" si="261"/>
        <v>10665557.23</v>
      </c>
      <c r="P613" s="315">
        <f t="shared" si="261"/>
        <v>261082.91000000003</v>
      </c>
      <c r="Q613" s="315">
        <f t="shared" si="261"/>
        <v>2869602.23</v>
      </c>
      <c r="R613" s="315">
        <f t="shared" si="261"/>
        <v>3369520</v>
      </c>
      <c r="S613" s="315">
        <f t="shared" si="261"/>
        <v>794698</v>
      </c>
      <c r="T613" s="315">
        <f t="shared" si="261"/>
        <v>447827.24</v>
      </c>
      <c r="U613" s="315">
        <f t="shared" si="261"/>
        <v>431830</v>
      </c>
      <c r="V613" s="315">
        <f t="shared" si="261"/>
        <v>22801499.990000002</v>
      </c>
      <c r="W613" s="315">
        <f t="shared" si="261"/>
        <v>21867350</v>
      </c>
      <c r="X613" s="315">
        <f t="shared" si="261"/>
        <v>23336306</v>
      </c>
    </row>
    <row r="614" spans="1:24" ht="15" customHeight="1" x14ac:dyDescent="0.2">
      <c r="C614" s="313"/>
      <c r="D614" s="319" t="s">
        <v>950</v>
      </c>
      <c r="E614" s="320">
        <f>E616+E615</f>
        <v>34873474.68</v>
      </c>
      <c r="F614" s="320">
        <f t="shared" ref="F614:X614" si="262">F616+F615</f>
        <v>24356189.609999992</v>
      </c>
      <c r="G614" s="321">
        <f>F614/E614</f>
        <v>0.6984159116203098</v>
      </c>
      <c r="H614" s="320">
        <f>H615+H616</f>
        <v>33855421.390000001</v>
      </c>
      <c r="I614" s="320">
        <f t="shared" si="262"/>
        <v>37289890.620000005</v>
      </c>
      <c r="J614" s="320">
        <f t="shared" si="262"/>
        <v>-1704324.37</v>
      </c>
      <c r="K614" s="320">
        <f>K615+K616</f>
        <v>35585566.250000007</v>
      </c>
      <c r="L614" s="321">
        <f>K614/E614</f>
        <v>1.0204192893462489</v>
      </c>
      <c r="M614" s="322"/>
      <c r="N614" s="323">
        <f t="shared" si="262"/>
        <v>35585570.620000005</v>
      </c>
      <c r="O614" s="320">
        <f t="shared" si="262"/>
        <v>4322862.4800000004</v>
      </c>
      <c r="P614" s="320">
        <f t="shared" si="262"/>
        <v>261082.90999999997</v>
      </c>
      <c r="Q614" s="320">
        <f t="shared" si="262"/>
        <v>2299602.23</v>
      </c>
      <c r="R614" s="320">
        <f t="shared" si="262"/>
        <v>2819520</v>
      </c>
      <c r="S614" s="320">
        <f t="shared" si="262"/>
        <v>788198</v>
      </c>
      <c r="T614" s="320">
        <f t="shared" si="262"/>
        <v>41200</v>
      </c>
      <c r="U614" s="320">
        <f t="shared" si="262"/>
        <v>329000</v>
      </c>
      <c r="V614" s="320"/>
      <c r="W614" s="320">
        <f t="shared" si="262"/>
        <v>21221216</v>
      </c>
      <c r="X614" s="320">
        <f t="shared" si="262"/>
        <v>3502889</v>
      </c>
    </row>
    <row r="615" spans="1:24" ht="22.5" x14ac:dyDescent="0.2">
      <c r="C615" s="313"/>
      <c r="D615" s="324" t="s">
        <v>951</v>
      </c>
      <c r="E615" s="325">
        <f>E606+E605+E596+E595+E594+E589+E572+E571+E570+E564+E555+E554+E553+E527+E526+E525+E524+E508+E507+E506+E505+E481+E480+E479+E478+E461+E460+E459+E458+E445+E444+E443+E442+E433+E417+E415+E414+E413+E412+E389+E388+E387+E386+E379+E378+E377+E376+E370+E369+E368+E367+E344+E343+E342+E336+E335+E334+E326+E315+E314+E313+E312+E301+E300+E299+E298+E287+E286+E285+E284+E269+E268+E267+E266+E265+E260+E248+E247+E246+E245+E244+E223+E222+E221+E220+E219+E206+E205+E204+E203+E186+E185+E184+E183+E182+E147+E146+E145+E135+E134+E133+E129+E116+E115+E113+E108+E107+E89+E87+E86+E85+E84+E71+E70+E69+E68+E62+E23+E22+E15+E14+E13+E432+E492+E493+E494+E495+E537+E482+E114+E288</f>
        <v>21600094.260000002</v>
      </c>
      <c r="F615" s="325">
        <f>F606+F605+F596+F595+F594+F589+F572+F571+F570+F564+F555+F554+F553+F527+F526+F525+F524+F508+F507+F506+F505+F481+F480+F479+F478+F461+F460+F459+F458+F445+F444+F443+F442+F433+F417+F415+F414+F413+F412+F389+F388+F387+F386+F379+F378+F377+F376+F370+F369+F368+F367+F344+F343+F342+F336+F335+F334+F326+F315+F314+F313+F312+F301+F300+F299+F298+F287+F286+F285+F284+F269+F268+F267+F266+F265+F260+F248+F247+F246+F245+F244+F223+F222+F221+F220+F219+F206+F205+F204+F203+F186+F185+F184+F183+F182+F147+F146+F145+F135+F134+F133+F129+F116+F115+F113+F108+F107+F89+F87+F86+F85+F84+F71+F70+F69+F68+F62+F23+F22+F15+F14+F13+F432+F492+F493+F494+F495+F537+F482+F114+F288</f>
        <v>15604686.77</v>
      </c>
      <c r="G615" s="321">
        <f>F615/E615</f>
        <v>0.72243604968416464</v>
      </c>
      <c r="H615" s="325">
        <f>H606+H605+H596+H595+H594+H589+H572+H571+H570+H564+H555+H554+H553+H527+H526+H525+H524+H508+H507+H506+H505+H481+H480+H479+H478+H461+H460+H459+H458+H445+H444+H443+H442+H433+H417+H415+H414+H413+H412+H389+H388+H387+H386+H379+H378+H377+H376+H370+H369+H368+H367+H344+H343+H342+H336+H335+H334+H326+H315+H314+H313+H312+H301+H300+H299+H298+H287+H286+H285+H284+H269+H268+H267+H266+H265+H260+H248+H247+H246+H245+H244+H223+H222+H221+H220+H219+H206+H205+H204+H203+H186+H185+H184+H183+H182+H147+H146+H145+H135+H134+H133+H129+H116+H115+H113+H108+H107+H89+H87+H86+H85+H84+H71+H70+H69+H68+H62+H23+H22+H15+H14+H13+H432+H492+H493+H494+H495+H537+H482+H114+H288</f>
        <v>21451554.580000006</v>
      </c>
      <c r="I615" s="325">
        <f>I606+I605+I596+I595+I594+I589+I572+I571+I570+I564+I555+I554+I553+I527+I526+I525+I524+I508+I507+I506+I505+I481+I480+I479+I478+I461+I460+I459+I458+I445+I444+I443+I442+I433+I417+I415+I414+I413+I412+I389+I388+I387+I386+I379+I378+I377+I376+I370+I369+I368+I367+I344+I343+I342+I336+I335+I334+I326+I315+I314+I313+I312+I301+I300+I299+I298+I287+I286+I285+I284+I269+I268+I267+I266+I265+I260+I248+I247+I246+I245+I244+I223+I222+I221+I220+I219+I206+I205+I204+I203+I186+I185+I184+I183+I182+I147+I146+I145+I135+I134+I133+I129+I116+I115+I113+I108+I107+I89+I87+I86+I85+I84+I71+I70+I69+I68+I62+I23+I22+I15+I14+I13+I432+I492+I493+I494+I495+I537+I482+I114+I288</f>
        <v>22403939.48</v>
      </c>
      <c r="J615" s="325">
        <f>J606+J605+J596+J595+J594+J589+J572+J571+J570+J564+J555+J554+J553+J527+J526+J525+J524+J508+J507+J506+J505+J481+J480+J479+J478+J461+J460+J459+J458+J445+J444+J443+J442+J433+J417+J415+J414+J413+J412+J389+J388+J387+J386+J379+J378+J377+J376+J370+J369+J368+J367+J344+J343+J342+J336+J335+J334+J326+J315+J314+J313+J312+J301+J300+J299+J298+J287+J286+J285+J284+J269+J268+J267+J266+J265+J260+J248+J247+J246+J245+J244+J223+J222+J221+J220+J219+J206+J205+J204+J203+J186+J185+J184+J183+J182+J147+J146+J145+J135+J134+J133+J129+J116+J115+J113+J108+J107+J89+J87+J86+J85+J84+J71+J70+J69+J68+J62+J23+J22+J15+J14+J13+J432+J492+J493+J494+J495+J537+J482+J114+J288</f>
        <v>-11839</v>
      </c>
      <c r="K615" s="325">
        <f>K606+K605+K596+K595+K594+K589+K572+K571+K570+K564+K555+K554+K553+K527+K526+K525+K524+K508+K507+K506+K505+K481+K480+K479+K478+K461+K460+K459+K458+K445+K444+K443+K442+K433+K417+K415+K414+K413+K412+K389+K388+K387+K386+K379+K378+K377+K376+K370+K369+K368+K367+K344+K343+K342+K336+K335+K334+K326+K315+K314+K313+K312+K301+K300+K299+K298+K287+K286+K285+K284+K269+K268+K267+K266+K265+K260+K248+K247+K246+K245+K244+K223+K222+K221+K220+K219+K206+K205+K204+K203+K186+K185+K184+K183+K182+K147+K146+K145+K135+K134+K133+K129+K116+K115+K113+K108+K107+K89+K87+K86+K85+K84+K71+K70+K69+K68+K62+K23+K22+K15+K14+K13+K432+K492+K493+K494+K495+K537+K482+K114+K288</f>
        <v>22392100.480000004</v>
      </c>
      <c r="L615" s="321">
        <f>K615/E615</f>
        <v>1.036666794619812</v>
      </c>
      <c r="M615" s="325"/>
      <c r="N615" s="325">
        <f t="shared" ref="N615:X615" si="263">N606+N605+N596+N595+N594+N589+N572+N571+N570+N564+N555+N554+N553+N527+N526+N525+N524+N508+N507+N506+N505+N481+N480+N479+N478+N461+N460+N459+N458+N445+N444+N443+N442+N433+N417+N415+N414+N413+N412+N389+N388+N387+N386+N379+N378+N377+N376+N370+N369+N368+N367+N344+N343+N342+N336+N335+N334+N326+N315+N314+N313+N312+N301+N300+N299+N298+N287+N286+N285+N284+N269+N268+N267+N266+N265+N260+N248+N247+N246+N245+N244+N223+N222+N221+N220+N219+N206+N205+N204+N203+N186+N185+N184+N183+N182+N147+N146+N145+N135+N134+N133+N129+N116+N115+N113+N108+N107+N89+N87+N86+N85+N84+N71+N70+N69+N68+N62+N23+N22+N15+N14+N13+N432+N492+N493+N494+N495+N537+N482+N114+N288</f>
        <v>22392100.480000004</v>
      </c>
      <c r="O615" s="325">
        <f t="shared" si="263"/>
        <v>3653780.48</v>
      </c>
      <c r="P615" s="325">
        <f t="shared" si="263"/>
        <v>10593</v>
      </c>
      <c r="Q615" s="325">
        <f t="shared" si="263"/>
        <v>28520</v>
      </c>
      <c r="R615" s="325">
        <f t="shared" si="263"/>
        <v>39920</v>
      </c>
      <c r="S615" s="325">
        <f t="shared" si="263"/>
        <v>0</v>
      </c>
      <c r="T615" s="325">
        <f t="shared" si="263"/>
        <v>0</v>
      </c>
      <c r="U615" s="325">
        <f t="shared" si="263"/>
        <v>0</v>
      </c>
      <c r="V615" s="325">
        <f t="shared" si="263"/>
        <v>3732813.48</v>
      </c>
      <c r="W615" s="325">
        <f t="shared" si="263"/>
        <v>16769413</v>
      </c>
      <c r="X615" s="325">
        <f t="shared" si="263"/>
        <v>1889874</v>
      </c>
    </row>
    <row r="616" spans="1:24" ht="22.5" x14ac:dyDescent="0.2">
      <c r="C616" s="313"/>
      <c r="D616" s="328" t="s">
        <v>952</v>
      </c>
      <c r="E616" s="325">
        <f>E609+E608+E607+E601+E600+E599+E598+E597+E591+E590+E581+E577+E576+E575+E574+E573+E567+E566+E565+E559+E557+E556+E551+E548+E547+E544+E543+E540+E539+E538+E535+E533+E532+E531+E529+E528+E520+E519+E515+E513+E511+E510+E509+E488+E487+E486+E485+E484+E483+E474+E467+E466+E465+E464+E463+E462+E454+E448+E447+E446+E434+E429+E428+E427+E426+E425+E424+E423+E422+E421+E420+E419+E418+E408+E406+E400+E398+E397+E396+E395+E394+E393+E392+E391+E390+E384+E382+E381+E380+E373+E372+E371+E364+E363+E361+E359+E357+E354+E353+E350+E349+E348+E347+E346+E345+E338+E337+E329+E328+E327+E323+E322+E321+E319+E318+E317+E316+E308+E307+E306+E305+E304+E303+E302+E294+E293+E292+E291+E290+E289+E282+E281+E279+E278+E277+E276+E275+E274+E273+E272+E271+E270+E262+E261+E258+E257+E256+E255+E254+E253+E252+E251+E250+E249+E235+E234+E233+E232+E231+E230+E229+E228+E227+E226+E225+E224+E214+E213+E212+E211+E210+E209+E208+E207+E197+E196+E195+E194+E193+E192+E191+E190+E189+E188+E187+E176+E170+E169+E168+E162+E161+E160+E155+E154+E153+E152+E150+E149+E148+E141+E139+E136+E130+E126+E125+E124+E123+E122+E121+E120+E119+E118+E117+E110+E109+E103+E102+E101+E100+E99+E98+E97+E96+E95+E94+E93+E92+E91+E90+E81+E80+E79+E78+E75+E74+E73+E72+E65+E63+E57+E56+E55+E54+E53+E52+E51+E50+E49+E48+E42+E41+E37+E36+E35+E34+E30+E26+E25+E24+E18+E17+E16+E11+E401+E416+E496+E497+E498+E499+E500+E502+E163+E587+E88+E151+E198+E236+E320+E490+E501+E530+E558+E88+E151+E198+E236+E320+E490+E501+E530+E558</f>
        <v>13273380.419999998</v>
      </c>
      <c r="F616" s="325">
        <f t="shared" ref="F616:H616" si="264">F609+F608+F607+F601+F600+F599+F598+F597+F591+F590+F581+F577+F576+F575+F574+F573+F567+F566+F565+F559+F557+F556+F551+F548+F547+F544+F543+F540+F539+F538+F535+F533+F532+F531+F529+F528+F520+F519+F515+F513+F511+F510+F509+F488+F487+F486+F485+F484+F483+F474+F467+F466+F465+F464+F463+F462+F454+F448+F447+F446+F434+F429+F428+F427+F426+F425+F424+F423+F422+F421+F420+F419+F418+F408+F406+F400+F398+F397+F396+F395+F394+F393+F392+F391+F390+F384+F382+F381+F380+F373+F372+F371+F364+F363+F361+F359+F357+F354+F353+F350+F349+F348+F347+F346+F345+F338+F337+F329+F328+F327+F323+F322+F321+F319+F318+F317+F316+F308+F307+F306+F305+F304+F303+F302+F294+F293+F292+F291+F290+F289+F282+F281+F279+F278+F277+F276+F275+F274+F273+F272+F271+F270+F262+F261+F258+F257+F256+F255+F254+F253+F252+F251+F250+F249+F235+F234+F233+F232+F231+F230+F229+F228+F227+F226+F225+F224+F214+F213+F212+F211+F210+F209+F208+F207+F197+F196+F195+F194+F193+F192+F191+F190+F189+F188+F187+F176+F170+F169+F168+F162+F161+F160+F155+F154+F153+F152+F150+F149+F148+F141+F139+F136+F130+F126+F125+F124+F123+F122+F121+F120+F119+F118+F117+F110+F109+F103+F102+F101+F100+F99+F98+F97+F96+F95+F94+F93+F92+F91+F90+F81+F80+F79+F78+F75+F74+F73+F72+F65+F63+F57+F56+F55+F54+F53+F52+F51+F50+F49+F48+F42+F41+F37+F36+F35+F34+F30+F26+F25+F24+F18+F17+F16+F11+F401+F416+F496+F497+F498+F499+F500+F502+F163+F587+F88+F151+F198+F236+F320+F490+F501+F530+F558+F88+F151+F198+F236+F320+F490+F501+F530+F558</f>
        <v>8751502.8399999924</v>
      </c>
      <c r="G616" s="321">
        <f>F616/E616</f>
        <v>0.65932735769506357</v>
      </c>
      <c r="H616" s="325">
        <f t="shared" si="264"/>
        <v>12403866.809999997</v>
      </c>
      <c r="I616" s="325">
        <f t="shared" ref="I616:X616" si="265">I609+I608+I607+I601+I600+I599+I598+I597+I591+I590+I581+I577+I576+I575+I574+I573+I567+I566+I565+I559+I557+I556+I551+I548+I547+I544+I543+I540+I539+I538+I535+I533+I532+I531+I529+I528+I520+I519+I515+I513+I511+I510+I509+I488+I487+I486+I485+I484+I483+I474+I467+I466+I465+I464+I463+I462+I454+I448+I447+I446+I434+I429+I428+I427+I426+I425+I424+I423+I422+I421+I420+I419+I418+I408+I406+I400+I398+I397+I396+I395+I394+I393+I392+I391+I390+I384+I382+I381+I380+I373+I372+I371+I364+I363+I361+I359+I357+I354+I353+I350+I349+I348+I347+I346+I345+I338+I337+I329+I328+I327+I323+I322+I321+I319+I318+I317+I316+I308+I307+I306+I305+I304+I303+I302+I294+I293+I292+I291+I290+I289+I282+I281+I279+I278+I277+I276+I275+I274+I273+I272+I271+I270+I262+I261+I258+I257+I256+I255+I254+I253+I252+I251+I250+I249+I235+I234+I233+I232+I231+I230+I229+I228+I227+I226+I225+I224+I214+I213+I212+I211+I210+I209+I208+I207+I197+I196+I195+I194+I193+I192+I191+I190+I189+I188+I187+I176+I170+I169+I168+I162+I161+I160+I155+I154+I153+I152+I150+I149+I148+I141+I139+I136+I130+I126+I125+I124+I123+I122+I121+I120+I119+I118+I117+I110+I109+I103+I102+I101+I100+I99+I98+I97+I96+I95+I94+I93+I92+I91+I90+I81+I80+I79+I78+I75+I74+I73+I72+I65+I63+I57+I56+I55+I54+I53+I52+I51+I50+I49+I48+I42+I41+I37+I36+I35+I34+I30+I26+I25+I24+I18+I17+I16+I11+I401+I416+I496+I497+I498+I499+I500+I502+I163+I587+I88+I151+I198+I236+I320+I490+I501+I530+I558</f>
        <v>14885951.140000001</v>
      </c>
      <c r="J616" s="325">
        <f t="shared" si="265"/>
        <v>-1692485.37</v>
      </c>
      <c r="K616" s="325">
        <f t="shared" si="265"/>
        <v>13193465.770000001</v>
      </c>
      <c r="L616" s="321">
        <f>K616/E616</f>
        <v>0.99397932949472445</v>
      </c>
      <c r="M616" s="325"/>
      <c r="N616" s="325">
        <f t="shared" si="265"/>
        <v>13193470.140000001</v>
      </c>
      <c r="O616" s="325">
        <f t="shared" si="265"/>
        <v>669082</v>
      </c>
      <c r="P616" s="325">
        <f t="shared" si="265"/>
        <v>250489.90999999997</v>
      </c>
      <c r="Q616" s="325">
        <f t="shared" si="265"/>
        <v>2271082.23</v>
      </c>
      <c r="R616" s="325">
        <f t="shared" si="265"/>
        <v>2779600</v>
      </c>
      <c r="S616" s="325">
        <f t="shared" si="265"/>
        <v>788198</v>
      </c>
      <c r="T616" s="325">
        <f t="shared" si="265"/>
        <v>41200</v>
      </c>
      <c r="U616" s="325">
        <f t="shared" si="265"/>
        <v>329000</v>
      </c>
      <c r="V616" s="325">
        <f t="shared" si="265"/>
        <v>7118652.1399999997</v>
      </c>
      <c r="W616" s="325">
        <f t="shared" si="265"/>
        <v>4451803</v>
      </c>
      <c r="X616" s="325">
        <f t="shared" si="265"/>
        <v>1613015</v>
      </c>
    </row>
    <row r="617" spans="1:24" x14ac:dyDescent="0.2">
      <c r="C617" s="313"/>
      <c r="D617" s="329" t="s">
        <v>953</v>
      </c>
      <c r="E617" s="320">
        <f>E604+E585+E583+E580+E569+E563+E542+E523+E453+E439+E438+E352+E340+E325+E310+E296+E241+E240+E239+E217+E216+E201+E179+E165+E143+E46+E29+E9+E8+E341+E106+E518</f>
        <v>6471392.3200000003</v>
      </c>
      <c r="F617" s="320">
        <f>F604+F585+F583+F580+F569+F563+F542+F523+F453+F439+F438+F352+F340+F325+F310+F296+F241+F240+F239+F217+F216+F201+F179+F165+F143+F46+F29+F9+F8+F341+F106+F518</f>
        <v>4748833.1300000008</v>
      </c>
      <c r="G617" s="321">
        <f t="shared" ref="G617:G618" si="266">F617/E617</f>
        <v>0.73381938463591723</v>
      </c>
      <c r="H617" s="320">
        <f>H604+H585+H583+H580+H569+H563+H542+H523+H453+H439+H438+H352+H340+H325+H310+H296+H241+H240+H239+H217+H216+H201+H179+H165+H143+H46+H29+H9+H8+H341+H106+H518</f>
        <v>6280702.580000001</v>
      </c>
      <c r="I617" s="320">
        <f>I604+I585+I583+I580+I569+I563+I542+I523+I453+I439+I438+I352+I340+I325+I310+I296+I241+I240+I239+I217+I216+I201+I179+I165+I143+I46+I29+I9+I8+I341+I106+I518</f>
        <v>7964156.2799999993</v>
      </c>
      <c r="J617" s="320">
        <f>J604+J585+J583+J580+J569+J563+J542+J523+J453+J439+J438+J352+J340+J325+J310+J296+J241+J240+J239+J217+J216+J201+J179+J165+J143+J46+J29+J9+J8+J341+J106+J518</f>
        <v>-1237457.1600000001</v>
      </c>
      <c r="K617" s="320">
        <f>K604+K585+K583+K580+K569+K563+K542+K523+K453+K439+K438+K352+K340+K325+K310+K296+K241+K240+K239+K217+K216+K201+K179+K165+K143+K46+K29+K9+K8+K341+K106+K518</f>
        <v>6726699.1199999992</v>
      </c>
      <c r="L617" s="321">
        <f t="shared" ref="L617:L626" si="267">K617/E617</f>
        <v>1.0394516028971026</v>
      </c>
      <c r="M617" s="322"/>
      <c r="N617" s="330">
        <f t="shared" ref="N617:U617" si="268">N604+N585+N583+N580+N569+N563+N542+N523+N453+N439+N438+N352+N340+N325+N310+N296+N241+N240+N239+N217+N216+N201+N179+N165+N143+N46+N29+N9+N8+N341+N106</f>
        <v>6626694.75</v>
      </c>
      <c r="O617" s="320">
        <f t="shared" si="268"/>
        <v>6016694.75</v>
      </c>
      <c r="P617" s="320">
        <f t="shared" si="268"/>
        <v>0</v>
      </c>
      <c r="Q617" s="320">
        <f t="shared" si="268"/>
        <v>30000</v>
      </c>
      <c r="R617" s="320">
        <f t="shared" si="268"/>
        <v>550000</v>
      </c>
      <c r="S617" s="320">
        <f t="shared" si="268"/>
        <v>0</v>
      </c>
      <c r="T617" s="320">
        <f t="shared" si="268"/>
        <v>0</v>
      </c>
      <c r="U617" s="320">
        <f t="shared" si="268"/>
        <v>30000</v>
      </c>
      <c r="V617" s="320"/>
      <c r="W617" s="320">
        <f>W604+W585+W583+W580+W569+W563+W542+W523+W453+W439+W438+W352+W340+W325+W310+W296+W241+W240+W239+W217+W216+W201+W179+W165+W143+W46+W29+W9+W8+W341+W106</f>
        <v>0</v>
      </c>
      <c r="X617" s="320">
        <f>X604+X585+X583+X580+X569+X563+X542+X523+X453+X439+X438+X352+X340+X325+X310+X296+X241+X240+X239+X217+X216+X201+X179+X165+X143+X46+X29+X9+X8+X341+X106</f>
        <v>0</v>
      </c>
    </row>
    <row r="618" spans="1:24" ht="24" x14ac:dyDescent="0.2">
      <c r="C618" s="313"/>
      <c r="D618" s="331" t="s">
        <v>954</v>
      </c>
      <c r="E618" s="320">
        <f>E504+E477+E470+E469+E457+E441+E411+E409+E405+E403+E385+E375+E366+E264+E243+E242+E218+E202+E181+E180+E167+E144+E128+E112+E83+E77+E491+E436+E311+E297+E472</f>
        <v>18777229.859999999</v>
      </c>
      <c r="F618" s="320">
        <f>F504+F477+F470+F469+F457+F441+F411+F409+F405+F403+F385+F375+F366+F264+F243+F242+F218+F202+F181+F180+F167+F144+F128+F112+F83+F77+F491+F436+F311+F297+F472</f>
        <v>14732139.699999997</v>
      </c>
      <c r="G618" s="321">
        <f t="shared" si="266"/>
        <v>0.78457471149048386</v>
      </c>
      <c r="H618" s="320">
        <f>H504+H477+H470+H469+H457+H441+H411+H409+H405+H403+H385+H375+H366+H264+H243+H242+H218+H202+H181+H180+H167+H144+H128+H112+H83+H77+H491+H436+H311+H297+H472</f>
        <v>18698506.250000004</v>
      </c>
      <c r="I618" s="320">
        <f>I504+I477+I470+I469+I457+I441+I411+I409+I405+I403+I385+I375+I366+I264+I243+I242+I218+I202+I181+I180+I167+I144+I128+I112+I83+I77+I491+I436+I311+I297+I472</f>
        <v>19848641.240000002</v>
      </c>
      <c r="J618" s="320">
        <f>J504+J477+J470+J469+J457+J441+J411+J409+J405+J403+J385+J375+J366+J264+J243+J242+J218+J202+J181+J180+J167+J144+J128+J112+J83+J77+J491+J436+J311+J297+J472</f>
        <v>1556867</v>
      </c>
      <c r="K618" s="320">
        <f>K504+K477+K470+K469+K457+K441+K411+K409+K405+K403+K385+K375+K366+K264+K243+K242+K218+K202+K181+K180+K167+K144+K128+K112+K83+K77+K491+K436+K311+K297+K472</f>
        <v>21405508.240000002</v>
      </c>
      <c r="L618" s="321">
        <f t="shared" si="267"/>
        <v>1.1399715719302592</v>
      </c>
      <c r="M618" s="320"/>
      <c r="N618" s="320">
        <f t="shared" ref="N618:X618" si="269">N504+N477+N470+N469+N457+N441+N411+N409+N405+N403+N385+N375+N366+N264+N243+N242+N218+N202+N181+N180+N167+N144+N128+N112+N83+N77+N491+N436+N311+N297+N472</f>
        <v>21405508.240000002</v>
      </c>
      <c r="O618" s="320">
        <f t="shared" si="269"/>
        <v>0</v>
      </c>
      <c r="P618" s="320">
        <f t="shared" si="269"/>
        <v>0</v>
      </c>
      <c r="Q618" s="320">
        <f t="shared" si="269"/>
        <v>440000</v>
      </c>
      <c r="R618" s="320">
        <f t="shared" si="269"/>
        <v>0</v>
      </c>
      <c r="S618" s="320">
        <f t="shared" si="269"/>
        <v>6500</v>
      </c>
      <c r="T618" s="320">
        <f t="shared" si="269"/>
        <v>406627.24</v>
      </c>
      <c r="U618" s="320">
        <f t="shared" si="269"/>
        <v>72830</v>
      </c>
      <c r="V618" s="320">
        <f t="shared" si="269"/>
        <v>925957.24</v>
      </c>
      <c r="W618" s="320">
        <f t="shared" si="269"/>
        <v>646134</v>
      </c>
      <c r="X618" s="320">
        <f t="shared" si="269"/>
        <v>19833417</v>
      </c>
    </row>
    <row r="619" spans="1:24" ht="36" hidden="1" x14ac:dyDescent="0.2">
      <c r="C619" s="313"/>
      <c r="D619" s="332" t="s">
        <v>955</v>
      </c>
      <c r="E619" s="333"/>
      <c r="F619" s="333"/>
      <c r="G619" s="321" t="e">
        <f t="shared" ref="G619:G620" si="270">F619/E619</f>
        <v>#DIV/0!</v>
      </c>
      <c r="H619" s="333"/>
      <c r="I619" s="333"/>
      <c r="J619" s="333"/>
      <c r="K619" s="333"/>
      <c r="L619" s="321" t="e">
        <f t="shared" si="267"/>
        <v>#DIV/0!</v>
      </c>
      <c r="M619" s="235"/>
      <c r="O619" s="26"/>
      <c r="P619" s="26"/>
      <c r="Q619" s="26"/>
      <c r="R619" s="26"/>
      <c r="S619" s="26"/>
      <c r="T619" s="26"/>
      <c r="U619" s="26"/>
      <c r="V619" s="26"/>
      <c r="W619" s="26"/>
      <c r="X619" s="26"/>
    </row>
    <row r="620" spans="1:24" ht="24" x14ac:dyDescent="0.2">
      <c r="C620" s="313"/>
      <c r="D620" s="329" t="s">
        <v>1000</v>
      </c>
      <c r="E620" s="320" t="str">
        <f>E173</f>
        <v>362 475,00</v>
      </c>
      <c r="F620" s="320">
        <f>F173</f>
        <v>237813.21</v>
      </c>
      <c r="G620" s="321">
        <f t="shared" si="270"/>
        <v>0.65608168839230285</v>
      </c>
      <c r="H620" s="320">
        <f>H173</f>
        <v>337813.21</v>
      </c>
      <c r="I620" s="320">
        <f>I173</f>
        <v>362475</v>
      </c>
      <c r="J620" s="320">
        <f>J173</f>
        <v>-36475</v>
      </c>
      <c r="K620" s="320">
        <f>K173</f>
        <v>326000</v>
      </c>
      <c r="L620" s="321">
        <f t="shared" si="267"/>
        <v>0.89937237050831087</v>
      </c>
      <c r="M620" s="322"/>
      <c r="N620" s="335">
        <f t="shared" ref="N620:U620" si="271">N173</f>
        <v>326000</v>
      </c>
      <c r="O620" s="334">
        <f t="shared" si="271"/>
        <v>326000</v>
      </c>
      <c r="P620" s="334">
        <f t="shared" si="271"/>
        <v>0</v>
      </c>
      <c r="Q620" s="334">
        <f t="shared" si="271"/>
        <v>0</v>
      </c>
      <c r="R620" s="334">
        <f t="shared" si="271"/>
        <v>0</v>
      </c>
      <c r="S620" s="334">
        <f t="shared" si="271"/>
        <v>0</v>
      </c>
      <c r="T620" s="334">
        <f t="shared" si="271"/>
        <v>0</v>
      </c>
      <c r="U620" s="334">
        <f t="shared" si="271"/>
        <v>0</v>
      </c>
      <c r="V620" s="334"/>
      <c r="W620" s="334">
        <f>W173</f>
        <v>0</v>
      </c>
      <c r="X620" s="334">
        <f>X173</f>
        <v>0</v>
      </c>
    </row>
    <row r="621" spans="1:24" ht="15" x14ac:dyDescent="0.2">
      <c r="C621" s="313"/>
      <c r="D621" s="336" t="s">
        <v>956</v>
      </c>
      <c r="E621" s="315">
        <f>E623+E624+E625</f>
        <v>5155689.46</v>
      </c>
      <c r="F621" s="315">
        <f t="shared" ref="F621:X621" si="272">F623+F624+F625</f>
        <v>2351040.98</v>
      </c>
      <c r="G621" s="316">
        <f>F621/E621</f>
        <v>0.45600903588945019</v>
      </c>
      <c r="H621" s="315">
        <f>H623+H624+H625</f>
        <v>4659556.3900000006</v>
      </c>
      <c r="I621" s="315">
        <f t="shared" si="272"/>
        <v>6732166.9699999997</v>
      </c>
      <c r="J621" s="315">
        <f t="shared" si="272"/>
        <v>-2390000</v>
      </c>
      <c r="K621" s="315">
        <f t="shared" si="272"/>
        <v>4342166.97</v>
      </c>
      <c r="L621" s="616">
        <f t="shared" si="267"/>
        <v>0.84220878772632668</v>
      </c>
      <c r="M621" s="317"/>
      <c r="N621" s="318">
        <f t="shared" si="272"/>
        <v>4342166.97</v>
      </c>
      <c r="O621" s="337">
        <f t="shared" si="272"/>
        <v>182022.59</v>
      </c>
      <c r="P621" s="337">
        <f t="shared" si="272"/>
        <v>10000</v>
      </c>
      <c r="Q621" s="337">
        <f t="shared" si="272"/>
        <v>160000</v>
      </c>
      <c r="R621" s="337">
        <f t="shared" si="272"/>
        <v>3771382.38</v>
      </c>
      <c r="S621" s="337">
        <f t="shared" si="272"/>
        <v>30000</v>
      </c>
      <c r="T621" s="337">
        <f t="shared" si="272"/>
        <v>0</v>
      </c>
      <c r="U621" s="337">
        <f t="shared" si="272"/>
        <v>0</v>
      </c>
      <c r="V621" s="337">
        <f t="shared" si="272"/>
        <v>182022.59</v>
      </c>
      <c r="W621" s="337">
        <f t="shared" si="272"/>
        <v>188762</v>
      </c>
      <c r="X621" s="337">
        <f t="shared" si="272"/>
        <v>0</v>
      </c>
    </row>
    <row r="622" spans="1:24" x14ac:dyDescent="0.2">
      <c r="C622" s="313"/>
      <c r="D622" s="338" t="s">
        <v>332</v>
      </c>
      <c r="E622" s="333"/>
      <c r="F622" s="333"/>
      <c r="G622" s="339"/>
      <c r="H622" s="333"/>
      <c r="I622" s="333"/>
      <c r="J622" s="333"/>
      <c r="K622" s="333"/>
      <c r="L622" s="321"/>
      <c r="M622" s="235"/>
      <c r="N622" s="340"/>
      <c r="O622" s="341"/>
      <c r="P622" s="341"/>
      <c r="Q622" s="341"/>
      <c r="R622" s="341"/>
      <c r="S622" s="341"/>
      <c r="T622" s="341"/>
      <c r="U622" s="341"/>
      <c r="V622" s="341"/>
      <c r="W622" s="341"/>
      <c r="X622" s="341"/>
    </row>
    <row r="623" spans="1:24" ht="24" x14ac:dyDescent="0.2">
      <c r="C623" s="313"/>
      <c r="D623" s="329" t="s">
        <v>957</v>
      </c>
      <c r="E623" s="325">
        <f>E545+E332+E158+E32+E451</f>
        <v>1103575.81</v>
      </c>
      <c r="F623" s="325">
        <f>F545+F332+F158+F32+F451</f>
        <v>464160</v>
      </c>
      <c r="G623" s="342">
        <f>F623/E623</f>
        <v>0.42059638838948454</v>
      </c>
      <c r="H623" s="325">
        <f>H545+H332+H158+H32+H451</f>
        <v>1004160</v>
      </c>
      <c r="I623" s="325">
        <f>I545+I332+I158+I32+I451</f>
        <v>182022.59</v>
      </c>
      <c r="J623" s="325">
        <f>J545+J332+J158+J32+J451</f>
        <v>0</v>
      </c>
      <c r="K623" s="325">
        <f>K545+K332+K158+K32+K451</f>
        <v>182022.59</v>
      </c>
      <c r="L623" s="321">
        <f t="shared" si="267"/>
        <v>0.16493890890921212</v>
      </c>
      <c r="M623" s="326"/>
      <c r="N623" s="327">
        <f t="shared" ref="N623:X623" si="273">N545+N332+N158+N32+N451</f>
        <v>182022.59</v>
      </c>
      <c r="O623" s="343">
        <f t="shared" si="273"/>
        <v>182022.59</v>
      </c>
      <c r="P623" s="343">
        <f t="shared" si="273"/>
        <v>0</v>
      </c>
      <c r="Q623" s="343">
        <f t="shared" si="273"/>
        <v>0</v>
      </c>
      <c r="R623" s="343">
        <f t="shared" si="273"/>
        <v>0</v>
      </c>
      <c r="S623" s="343">
        <f t="shared" si="273"/>
        <v>0</v>
      </c>
      <c r="T623" s="343">
        <f t="shared" si="273"/>
        <v>0</v>
      </c>
      <c r="U623" s="343">
        <f t="shared" si="273"/>
        <v>0</v>
      </c>
      <c r="V623" s="343">
        <f t="shared" si="273"/>
        <v>182022.59</v>
      </c>
      <c r="W623" s="343">
        <f t="shared" si="273"/>
        <v>0</v>
      </c>
      <c r="X623" s="343">
        <f t="shared" si="273"/>
        <v>0</v>
      </c>
    </row>
    <row r="624" spans="1:24" x14ac:dyDescent="0.2">
      <c r="C624" s="313"/>
      <c r="D624" s="329" t="s">
        <v>958</v>
      </c>
      <c r="E624" s="325">
        <f>E602+E578+E549+E521+E156+E58+E38+E19+E560+E199+E43</f>
        <v>3613076.65</v>
      </c>
      <c r="F624" s="325">
        <f>F602+F578+F549+F521+F156+F58+F38+F19+F560+F199+F43</f>
        <v>1511242.96</v>
      </c>
      <c r="G624" s="342">
        <f t="shared" ref="G624:G626" si="274">F624/E624</f>
        <v>0.41827038460421256</v>
      </c>
      <c r="H624" s="325">
        <f>H602+H578+H549+H521+H156+H58+H38+H19+H560+H199+H43</f>
        <v>3279758.37</v>
      </c>
      <c r="I624" s="325">
        <f>I602+I578+I549+I521+I156+I58+I38+I19+I560+I199+I43</f>
        <v>6307144.3799999999</v>
      </c>
      <c r="J624" s="325">
        <f>J602+J578+J549+J521+J156+J58+J38+J19+J560+J199+J43</f>
        <v>-2350000</v>
      </c>
      <c r="K624" s="325">
        <f>K602+K578+K549+K521+K156+K58+K38+K19+K560+K199+K43</f>
        <v>3957144.38</v>
      </c>
      <c r="L624" s="342">
        <f t="shared" si="267"/>
        <v>1.0952284613170329</v>
      </c>
      <c r="M624" s="326"/>
      <c r="N624" s="327">
        <f t="shared" ref="N624:U624" si="275">N602+N578+N549+N521+N156+N58+N38+N19+N560+N199+N43</f>
        <v>3957144.38</v>
      </c>
      <c r="O624" s="325">
        <f t="shared" si="275"/>
        <v>0</v>
      </c>
      <c r="P624" s="325">
        <f t="shared" si="275"/>
        <v>10000</v>
      </c>
      <c r="Q624" s="325">
        <f t="shared" si="275"/>
        <v>0</v>
      </c>
      <c r="R624" s="325">
        <f t="shared" si="275"/>
        <v>3771382.38</v>
      </c>
      <c r="S624" s="325">
        <f t="shared" si="275"/>
        <v>0</v>
      </c>
      <c r="T624" s="325">
        <f t="shared" si="275"/>
        <v>0</v>
      </c>
      <c r="U624" s="325">
        <f t="shared" si="275"/>
        <v>0</v>
      </c>
      <c r="V624" s="325"/>
      <c r="W624" s="325">
        <f>W602+W578+W549+W521+W156+W58+W38+W19+W560+W199+W43</f>
        <v>175762</v>
      </c>
      <c r="X624" s="325">
        <f>X602+X578+X549+X521+X156+X58+X38+X19+X560+X199+X43</f>
        <v>0</v>
      </c>
    </row>
    <row r="625" spans="4:24" x14ac:dyDescent="0.2">
      <c r="D625" s="344" t="s">
        <v>959</v>
      </c>
      <c r="E625" s="325">
        <f>E430+E157+E104+E59+E237</f>
        <v>439037</v>
      </c>
      <c r="F625" s="325">
        <f>F430+F157+F104+F59+F237</f>
        <v>375638.02</v>
      </c>
      <c r="G625" s="342">
        <f t="shared" si="274"/>
        <v>0.85559535984438673</v>
      </c>
      <c r="H625" s="325">
        <f>H430+H157+H104+H59+H237</f>
        <v>375638.02</v>
      </c>
      <c r="I625" s="325">
        <f>I430+I157+I104+I59+I237</f>
        <v>243000</v>
      </c>
      <c r="J625" s="325">
        <f>J430+J157+J104+J59+J237</f>
        <v>-40000</v>
      </c>
      <c r="K625" s="325">
        <f>K430+K157+K104+K59+K237</f>
        <v>203000</v>
      </c>
      <c r="L625" s="342">
        <f t="shared" si="267"/>
        <v>0.46237560843391329</v>
      </c>
      <c r="M625" s="326"/>
      <c r="N625" s="327">
        <f t="shared" ref="N625:U625" si="276">N430+N157+N104+N59+N237</f>
        <v>203000</v>
      </c>
      <c r="O625" s="325">
        <f t="shared" si="276"/>
        <v>0</v>
      </c>
      <c r="P625" s="325">
        <f t="shared" si="276"/>
        <v>0</v>
      </c>
      <c r="Q625" s="325">
        <f t="shared" si="276"/>
        <v>160000</v>
      </c>
      <c r="R625" s="325">
        <f t="shared" si="276"/>
        <v>0</v>
      </c>
      <c r="S625" s="325">
        <f t="shared" si="276"/>
        <v>30000</v>
      </c>
      <c r="T625" s="325">
        <f t="shared" si="276"/>
        <v>0</v>
      </c>
      <c r="U625" s="325">
        <f t="shared" si="276"/>
        <v>0</v>
      </c>
      <c r="V625" s="325"/>
      <c r="W625" s="325">
        <f>W430+W157+W104+W59+W237</f>
        <v>13000</v>
      </c>
      <c r="X625" s="325">
        <f>X430+X157+X104+X59+X237</f>
        <v>0</v>
      </c>
    </row>
    <row r="626" spans="4:24" x14ac:dyDescent="0.2">
      <c r="D626" s="345" t="s">
        <v>960</v>
      </c>
      <c r="E626" s="346">
        <f>E614+E617+E618+E620+E621</f>
        <v>65640261.32</v>
      </c>
      <c r="F626" s="346">
        <f t="shared" ref="F626:K626" si="277">F614+F617+F618+F620+F621</f>
        <v>46426016.629999988</v>
      </c>
      <c r="G626" s="342">
        <f t="shared" si="274"/>
        <v>0.70727958262796242</v>
      </c>
      <c r="H626" s="346">
        <f>H615+H616+H617+H618+H620+H621</f>
        <v>63831999.82</v>
      </c>
      <c r="I626" s="346">
        <f>I614+I617+I618+I620+I621</f>
        <v>72197330.110000014</v>
      </c>
      <c r="J626" s="346">
        <f t="shared" si="277"/>
        <v>-3811389.5300000003</v>
      </c>
      <c r="K626" s="346">
        <f t="shared" si="277"/>
        <v>68385940.580000013</v>
      </c>
      <c r="L626" s="342">
        <f t="shared" si="267"/>
        <v>1.041829194533743</v>
      </c>
      <c r="M626" s="347"/>
      <c r="N626" s="348">
        <f t="shared" ref="N626:X626" si="278">N613+N621</f>
        <v>68385940.579999998</v>
      </c>
      <c r="O626" s="346">
        <f t="shared" si="278"/>
        <v>10847579.82</v>
      </c>
      <c r="P626" s="346">
        <f t="shared" si="278"/>
        <v>271082.91000000003</v>
      </c>
      <c r="Q626" s="346">
        <f t="shared" si="278"/>
        <v>3029602.23</v>
      </c>
      <c r="R626" s="346">
        <f t="shared" si="278"/>
        <v>7140902.3799999999</v>
      </c>
      <c r="S626" s="346">
        <f t="shared" si="278"/>
        <v>824698</v>
      </c>
      <c r="T626" s="346">
        <f t="shared" si="278"/>
        <v>447827.24</v>
      </c>
      <c r="U626" s="346">
        <f t="shared" si="278"/>
        <v>431830</v>
      </c>
      <c r="V626" s="346">
        <f t="shared" si="278"/>
        <v>22983522.580000002</v>
      </c>
      <c r="W626" s="346">
        <f t="shared" si="278"/>
        <v>22056112</v>
      </c>
      <c r="X626" s="346">
        <f t="shared" si="278"/>
        <v>23336306</v>
      </c>
    </row>
    <row r="627" spans="4:24" x14ac:dyDescent="0.2">
      <c r="E627" s="349"/>
      <c r="I627" s="349"/>
      <c r="J627" s="349"/>
      <c r="K627" s="349"/>
      <c r="O627" s="2"/>
      <c r="P627" s="2"/>
      <c r="Q627" s="2"/>
      <c r="R627" s="2"/>
      <c r="S627" s="350"/>
      <c r="T627" s="350"/>
      <c r="U627" s="350"/>
      <c r="V627" s="350"/>
      <c r="W627" s="350"/>
      <c r="X627" s="350"/>
    </row>
    <row r="628" spans="4:24" x14ac:dyDescent="0.2">
      <c r="E628" s="349"/>
      <c r="H628" s="349"/>
      <c r="K628" s="349"/>
      <c r="O628" s="2"/>
      <c r="P628" s="2"/>
      <c r="Q628" s="2"/>
      <c r="R628" s="2"/>
    </row>
    <row r="629" spans="4:24" x14ac:dyDescent="0.2">
      <c r="K629" s="349"/>
      <c r="O629" s="2"/>
      <c r="P629" s="2"/>
      <c r="Q629" s="2"/>
      <c r="R629" s="2"/>
    </row>
    <row r="630" spans="4:24" x14ac:dyDescent="0.2">
      <c r="O630" s="2"/>
      <c r="P630" s="2"/>
      <c r="Q630" s="2"/>
      <c r="R630" s="2"/>
    </row>
    <row r="631" spans="4:24" x14ac:dyDescent="0.2">
      <c r="E631" s="349"/>
      <c r="I631" s="349"/>
      <c r="O631" s="2"/>
      <c r="P631" s="2"/>
      <c r="Q631" s="2"/>
      <c r="R631" s="2"/>
    </row>
    <row r="632" spans="4:24" x14ac:dyDescent="0.2">
      <c r="K632" s="349"/>
      <c r="O632" s="2"/>
      <c r="P632" s="2"/>
      <c r="Q632" s="2"/>
      <c r="R632" s="2"/>
    </row>
    <row r="633" spans="4:24" x14ac:dyDescent="0.2">
      <c r="O633" s="2"/>
      <c r="P633" s="2"/>
      <c r="Q633" s="2"/>
      <c r="R633" s="2"/>
    </row>
    <row r="634" spans="4:24" x14ac:dyDescent="0.2">
      <c r="O634" s="2"/>
      <c r="P634" s="2"/>
      <c r="Q634" s="2"/>
      <c r="R634" s="2"/>
    </row>
    <row r="635" spans="4:24" x14ac:dyDescent="0.2">
      <c r="O635" s="2"/>
      <c r="P635" s="2"/>
      <c r="Q635" s="2"/>
      <c r="R635" s="2"/>
    </row>
    <row r="636" spans="4:24" x14ac:dyDescent="0.2">
      <c r="O636" s="2"/>
      <c r="P636" s="2"/>
      <c r="Q636" s="2"/>
      <c r="R636" s="2"/>
    </row>
    <row r="637" spans="4:24" x14ac:dyDescent="0.2">
      <c r="O637" s="2"/>
      <c r="P637" s="2"/>
      <c r="Q637" s="2"/>
      <c r="R637" s="2"/>
    </row>
    <row r="638" spans="4:24" x14ac:dyDescent="0.2">
      <c r="O638" s="2"/>
      <c r="P638" s="2"/>
      <c r="Q638" s="2"/>
      <c r="R638" s="2"/>
    </row>
    <row r="639" spans="4:24" x14ac:dyDescent="0.2">
      <c r="O639" s="2"/>
      <c r="P639" s="2"/>
      <c r="Q639" s="2"/>
      <c r="R639" s="2"/>
    </row>
    <row r="640" spans="4:24" x14ac:dyDescent="0.2">
      <c r="O640" s="2"/>
      <c r="P640" s="2"/>
      <c r="Q640" s="2"/>
      <c r="R640" s="2"/>
    </row>
    <row r="641" spans="15:18" x14ac:dyDescent="0.2">
      <c r="O641" s="2"/>
      <c r="P641" s="2"/>
      <c r="Q641" s="2"/>
      <c r="R641" s="2"/>
    </row>
    <row r="642" spans="15:18" x14ac:dyDescent="0.2">
      <c r="O642" s="2"/>
      <c r="P642" s="2"/>
      <c r="Q642" s="2"/>
      <c r="R642" s="2"/>
    </row>
    <row r="643" spans="15:18" x14ac:dyDescent="0.2">
      <c r="O643" s="2"/>
      <c r="P643" s="2"/>
      <c r="Q643" s="2"/>
      <c r="R643" s="2"/>
    </row>
    <row r="644" spans="15:18" x14ac:dyDescent="0.2">
      <c r="O644" s="2"/>
      <c r="P644" s="2"/>
      <c r="Q644" s="2"/>
      <c r="R644" s="2"/>
    </row>
    <row r="645" spans="15:18" x14ac:dyDescent="0.2">
      <c r="O645" s="2"/>
      <c r="P645" s="2"/>
      <c r="Q645" s="2"/>
      <c r="R645" s="2"/>
    </row>
    <row r="646" spans="15:18" x14ac:dyDescent="0.2">
      <c r="O646" s="2"/>
      <c r="P646" s="2"/>
      <c r="Q646" s="2"/>
      <c r="R646" s="2"/>
    </row>
    <row r="647" spans="15:18" x14ac:dyDescent="0.2">
      <c r="O647" s="2"/>
      <c r="P647" s="2"/>
      <c r="Q647" s="2"/>
      <c r="R647" s="2"/>
    </row>
    <row r="648" spans="15:18" x14ac:dyDescent="0.2">
      <c r="O648" s="2"/>
      <c r="P648" s="2"/>
      <c r="Q648" s="2"/>
      <c r="R648" s="2"/>
    </row>
    <row r="649" spans="15:18" x14ac:dyDescent="0.2">
      <c r="O649" s="2"/>
      <c r="P649" s="2"/>
      <c r="Q649" s="2"/>
      <c r="R649" s="2"/>
    </row>
    <row r="650" spans="15:18" x14ac:dyDescent="0.2">
      <c r="O650" s="2"/>
      <c r="P650" s="2"/>
      <c r="Q650" s="2"/>
      <c r="R650" s="2"/>
    </row>
    <row r="651" spans="15:18" x14ac:dyDescent="0.2">
      <c r="O651" s="2"/>
      <c r="P651" s="2"/>
      <c r="Q651" s="2"/>
      <c r="R651" s="2"/>
    </row>
    <row r="652" spans="15:18" x14ac:dyDescent="0.2">
      <c r="O652" s="2"/>
      <c r="P652" s="2"/>
      <c r="Q652" s="2"/>
      <c r="R652" s="2"/>
    </row>
    <row r="653" spans="15:18" x14ac:dyDescent="0.2">
      <c r="O653" s="2"/>
      <c r="P653" s="2"/>
      <c r="Q653" s="2"/>
      <c r="R653" s="2"/>
    </row>
    <row r="654" spans="15:18" x14ac:dyDescent="0.2">
      <c r="O654" s="2"/>
      <c r="P654" s="2"/>
      <c r="Q654" s="2"/>
      <c r="R654" s="2"/>
    </row>
    <row r="655" spans="15:18" x14ac:dyDescent="0.2">
      <c r="O655" s="2"/>
      <c r="P655" s="2"/>
      <c r="Q655" s="2"/>
      <c r="R655" s="2"/>
    </row>
    <row r="656" spans="15:18" x14ac:dyDescent="0.2">
      <c r="O656" s="2"/>
      <c r="P656" s="2"/>
      <c r="Q656" s="2"/>
      <c r="R656" s="2"/>
    </row>
    <row r="657" spans="15:18" x14ac:dyDescent="0.2">
      <c r="O657" s="2"/>
      <c r="P657" s="2"/>
      <c r="Q657" s="2"/>
      <c r="R657" s="2"/>
    </row>
    <row r="658" spans="15:18" x14ac:dyDescent="0.2">
      <c r="O658" s="2"/>
      <c r="P658" s="2"/>
      <c r="Q658" s="2"/>
      <c r="R658" s="2"/>
    </row>
    <row r="659" spans="15:18" x14ac:dyDescent="0.2">
      <c r="O659" s="2"/>
      <c r="P659" s="2"/>
      <c r="Q659" s="2"/>
      <c r="R659" s="2"/>
    </row>
    <row r="660" spans="15:18" x14ac:dyDescent="0.2">
      <c r="O660" s="2"/>
      <c r="P660" s="2"/>
      <c r="Q660" s="2"/>
      <c r="R660" s="2"/>
    </row>
    <row r="661" spans="15:18" x14ac:dyDescent="0.2">
      <c r="O661" s="2"/>
      <c r="P661" s="2"/>
      <c r="Q661" s="2"/>
      <c r="R661" s="2"/>
    </row>
    <row r="662" spans="15:18" x14ac:dyDescent="0.2">
      <c r="O662" s="2"/>
      <c r="P662" s="2"/>
      <c r="Q662" s="2"/>
      <c r="R662" s="2"/>
    </row>
    <row r="663" spans="15:18" x14ac:dyDescent="0.2">
      <c r="O663" s="2"/>
      <c r="P663" s="2"/>
      <c r="Q663" s="2"/>
      <c r="R663" s="2"/>
    </row>
    <row r="664" spans="15:18" x14ac:dyDescent="0.2">
      <c r="O664" s="2"/>
      <c r="P664" s="2"/>
      <c r="Q664" s="2"/>
      <c r="R664" s="2"/>
    </row>
    <row r="665" spans="15:18" x14ac:dyDescent="0.2">
      <c r="O665" s="2"/>
      <c r="P665" s="2"/>
      <c r="Q665" s="2"/>
      <c r="R665" s="2"/>
    </row>
    <row r="666" spans="15:18" x14ac:dyDescent="0.2">
      <c r="O666" s="2"/>
      <c r="P666" s="2"/>
      <c r="Q666" s="2"/>
      <c r="R666" s="2"/>
    </row>
    <row r="667" spans="15:18" x14ac:dyDescent="0.2">
      <c r="O667" s="2"/>
      <c r="P667" s="2"/>
      <c r="Q667" s="2"/>
      <c r="R667" s="2"/>
    </row>
    <row r="668" spans="15:18" x14ac:dyDescent="0.2">
      <c r="O668" s="2"/>
      <c r="P668" s="2"/>
      <c r="Q668" s="2"/>
      <c r="R668" s="2"/>
    </row>
    <row r="669" spans="15:18" x14ac:dyDescent="0.2">
      <c r="O669" s="2"/>
      <c r="P669" s="2"/>
      <c r="Q669" s="2"/>
      <c r="R669" s="2"/>
    </row>
    <row r="670" spans="15:18" x14ac:dyDescent="0.2">
      <c r="O670" s="2"/>
      <c r="P670" s="2"/>
      <c r="Q670" s="2"/>
      <c r="R670" s="2"/>
    </row>
    <row r="671" spans="15:18" x14ac:dyDescent="0.2">
      <c r="O671" s="2"/>
      <c r="P671" s="2"/>
      <c r="Q671" s="2"/>
      <c r="R671" s="2"/>
    </row>
    <row r="672" spans="15:18" x14ac:dyDescent="0.2">
      <c r="O672" s="2"/>
      <c r="P672" s="2"/>
      <c r="Q672" s="2"/>
      <c r="R672" s="2"/>
    </row>
    <row r="673" spans="15:18" x14ac:dyDescent="0.2">
      <c r="O673" s="2"/>
      <c r="P673" s="2"/>
      <c r="Q673" s="2"/>
      <c r="R673" s="2"/>
    </row>
    <row r="674" spans="15:18" x14ac:dyDescent="0.2">
      <c r="O674" s="2"/>
      <c r="P674" s="2"/>
      <c r="Q674" s="2"/>
      <c r="R674" s="2"/>
    </row>
    <row r="675" spans="15:18" x14ac:dyDescent="0.2">
      <c r="O675" s="2"/>
      <c r="P675" s="2"/>
      <c r="Q675" s="2"/>
      <c r="R675" s="2"/>
    </row>
    <row r="676" spans="15:18" x14ac:dyDescent="0.2">
      <c r="O676" s="2"/>
      <c r="P676" s="2"/>
      <c r="Q676" s="2"/>
      <c r="R676" s="2"/>
    </row>
    <row r="677" spans="15:18" x14ac:dyDescent="0.2">
      <c r="O677" s="2"/>
      <c r="P677" s="2"/>
      <c r="Q677" s="2"/>
      <c r="R677" s="2"/>
    </row>
    <row r="678" spans="15:18" x14ac:dyDescent="0.2">
      <c r="O678" s="2"/>
      <c r="P678" s="2"/>
      <c r="Q678" s="2"/>
      <c r="R678" s="2"/>
    </row>
    <row r="679" spans="15:18" x14ac:dyDescent="0.2">
      <c r="O679" s="2"/>
      <c r="P679" s="2"/>
      <c r="Q679" s="2"/>
      <c r="R679" s="2"/>
    </row>
    <row r="680" spans="15:18" x14ac:dyDescent="0.2">
      <c r="O680" s="2"/>
      <c r="P680" s="2"/>
      <c r="Q680" s="2"/>
      <c r="R680" s="2"/>
    </row>
    <row r="681" spans="15:18" x14ac:dyDescent="0.2">
      <c r="O681" s="2"/>
      <c r="P681" s="2"/>
      <c r="Q681" s="2"/>
      <c r="R681" s="2"/>
    </row>
    <row r="682" spans="15:18" x14ac:dyDescent="0.2">
      <c r="O682" s="2"/>
      <c r="P682" s="2"/>
      <c r="Q682" s="2"/>
      <c r="R682" s="2"/>
    </row>
    <row r="683" spans="15:18" x14ac:dyDescent="0.2">
      <c r="O683" s="2"/>
      <c r="P683" s="2"/>
      <c r="Q683" s="2"/>
      <c r="R683" s="2"/>
    </row>
    <row r="684" spans="15:18" x14ac:dyDescent="0.2">
      <c r="O684" s="2"/>
      <c r="P684" s="2"/>
      <c r="Q684" s="2"/>
      <c r="R684" s="2"/>
    </row>
    <row r="685" spans="15:18" x14ac:dyDescent="0.2">
      <c r="O685" s="2"/>
      <c r="P685" s="2"/>
      <c r="Q685" s="2"/>
      <c r="R685" s="2"/>
    </row>
    <row r="686" spans="15:18" x14ac:dyDescent="0.2">
      <c r="O686" s="2"/>
      <c r="P686" s="2"/>
      <c r="Q686" s="2"/>
      <c r="R686" s="2"/>
    </row>
    <row r="687" spans="15:18" x14ac:dyDescent="0.2">
      <c r="O687" s="2"/>
      <c r="P687" s="2"/>
      <c r="Q687" s="2"/>
      <c r="R687" s="2"/>
    </row>
    <row r="688" spans="15:18" x14ac:dyDescent="0.2">
      <c r="O688" s="2"/>
      <c r="P688" s="2"/>
      <c r="Q688" s="2"/>
      <c r="R688" s="2"/>
    </row>
    <row r="689" spans="15:18" x14ac:dyDescent="0.2">
      <c r="O689" s="2"/>
      <c r="P689" s="2"/>
      <c r="Q689" s="2"/>
      <c r="R689" s="2"/>
    </row>
    <row r="690" spans="15:18" x14ac:dyDescent="0.2">
      <c r="O690" s="2"/>
      <c r="P690" s="2"/>
      <c r="Q690" s="2"/>
      <c r="R690" s="2"/>
    </row>
    <row r="691" spans="15:18" x14ac:dyDescent="0.2">
      <c r="O691" s="2"/>
      <c r="P691" s="2"/>
      <c r="Q691" s="2"/>
      <c r="R691" s="2"/>
    </row>
    <row r="692" spans="15:18" x14ac:dyDescent="0.2">
      <c r="O692" s="2"/>
      <c r="P692" s="2"/>
      <c r="Q692" s="2"/>
      <c r="R692" s="2"/>
    </row>
    <row r="693" spans="15:18" x14ac:dyDescent="0.2">
      <c r="O693" s="2"/>
      <c r="P693" s="2"/>
      <c r="Q693" s="2"/>
      <c r="R693" s="2"/>
    </row>
    <row r="694" spans="15:18" x14ac:dyDescent="0.2">
      <c r="O694" s="2"/>
      <c r="P694" s="2"/>
      <c r="Q694" s="2"/>
      <c r="R694" s="2"/>
    </row>
    <row r="695" spans="15:18" x14ac:dyDescent="0.2">
      <c r="O695" s="2"/>
      <c r="P695" s="2"/>
      <c r="Q695" s="2"/>
      <c r="R695" s="2"/>
    </row>
    <row r="696" spans="15:18" x14ac:dyDescent="0.2">
      <c r="O696" s="2"/>
      <c r="P696" s="2"/>
      <c r="Q696" s="2"/>
      <c r="R696" s="2"/>
    </row>
    <row r="697" spans="15:18" x14ac:dyDescent="0.2">
      <c r="O697" s="2"/>
      <c r="P697" s="2"/>
      <c r="Q697" s="2"/>
      <c r="R697" s="2"/>
    </row>
    <row r="698" spans="15:18" x14ac:dyDescent="0.2">
      <c r="O698" s="2"/>
      <c r="P698" s="2"/>
      <c r="Q698" s="2"/>
      <c r="R698" s="2"/>
    </row>
    <row r="699" spans="15:18" x14ac:dyDescent="0.2">
      <c r="O699" s="2"/>
      <c r="P699" s="2"/>
      <c r="Q699" s="2"/>
      <c r="R699" s="2"/>
    </row>
    <row r="700" spans="15:18" x14ac:dyDescent="0.2">
      <c r="O700" s="2"/>
      <c r="P700" s="2"/>
      <c r="Q700" s="2"/>
      <c r="R700" s="2"/>
    </row>
    <row r="701" spans="15:18" x14ac:dyDescent="0.2">
      <c r="O701" s="2"/>
      <c r="P701" s="2"/>
      <c r="Q701" s="2"/>
      <c r="R701" s="2"/>
    </row>
    <row r="702" spans="15:18" x14ac:dyDescent="0.2">
      <c r="O702" s="2"/>
      <c r="P702" s="2"/>
      <c r="Q702" s="2"/>
      <c r="R702" s="2"/>
    </row>
    <row r="703" spans="15:18" x14ac:dyDescent="0.2">
      <c r="O703" s="2"/>
      <c r="P703" s="2"/>
      <c r="Q703" s="2"/>
      <c r="R703" s="2"/>
    </row>
    <row r="704" spans="15:18" x14ac:dyDescent="0.2">
      <c r="O704" s="2"/>
      <c r="P704" s="2"/>
      <c r="Q704" s="2"/>
      <c r="R704" s="2"/>
    </row>
    <row r="705" spans="15:18" x14ac:dyDescent="0.2">
      <c r="O705" s="2"/>
      <c r="P705" s="2"/>
      <c r="Q705" s="2"/>
      <c r="R705" s="2"/>
    </row>
    <row r="706" spans="15:18" x14ac:dyDescent="0.2">
      <c r="O706" s="2"/>
      <c r="P706" s="2"/>
      <c r="Q706" s="2"/>
      <c r="R706" s="2"/>
    </row>
    <row r="707" spans="15:18" x14ac:dyDescent="0.2">
      <c r="O707" s="2"/>
      <c r="P707" s="2"/>
      <c r="Q707" s="2"/>
      <c r="R707" s="2"/>
    </row>
    <row r="708" spans="15:18" x14ac:dyDescent="0.2">
      <c r="O708" s="2"/>
      <c r="P708" s="2"/>
      <c r="Q708" s="2"/>
      <c r="R708" s="2"/>
    </row>
    <row r="709" spans="15:18" x14ac:dyDescent="0.2">
      <c r="O709" s="2"/>
      <c r="P709" s="2"/>
      <c r="Q709" s="2"/>
      <c r="R709" s="2"/>
    </row>
    <row r="710" spans="15:18" x14ac:dyDescent="0.2">
      <c r="O710" s="2"/>
      <c r="P710" s="2"/>
      <c r="Q710" s="2"/>
      <c r="R710" s="2"/>
    </row>
    <row r="711" spans="15:18" x14ac:dyDescent="0.2">
      <c r="O711" s="2"/>
      <c r="P711" s="2"/>
      <c r="Q711" s="2"/>
      <c r="R711" s="2"/>
    </row>
    <row r="712" spans="15:18" x14ac:dyDescent="0.2">
      <c r="O712" s="2"/>
      <c r="P712" s="2"/>
      <c r="Q712" s="2"/>
      <c r="R712" s="2"/>
    </row>
    <row r="713" spans="15:18" x14ac:dyDescent="0.2">
      <c r="O713" s="2"/>
      <c r="P713" s="2"/>
      <c r="Q713" s="2"/>
      <c r="R713" s="2"/>
    </row>
    <row r="714" spans="15:18" x14ac:dyDescent="0.2">
      <c r="O714" s="2"/>
      <c r="P714" s="2"/>
      <c r="Q714" s="2"/>
      <c r="R714" s="2"/>
    </row>
    <row r="715" spans="15:18" x14ac:dyDescent="0.2">
      <c r="O715" s="2"/>
      <c r="P715" s="2"/>
      <c r="Q715" s="2"/>
      <c r="R715" s="2"/>
    </row>
    <row r="716" spans="15:18" x14ac:dyDescent="0.2">
      <c r="O716" s="2"/>
      <c r="P716" s="2"/>
      <c r="Q716" s="2"/>
      <c r="R716" s="2"/>
    </row>
    <row r="717" spans="15:18" x14ac:dyDescent="0.2">
      <c r="O717" s="2"/>
      <c r="P717" s="2"/>
      <c r="Q717" s="2"/>
      <c r="R717" s="2"/>
    </row>
    <row r="718" spans="15:18" x14ac:dyDescent="0.2">
      <c r="O718" s="2"/>
      <c r="P718" s="2"/>
      <c r="Q718" s="2"/>
      <c r="R718" s="2"/>
    </row>
    <row r="719" spans="15:18" x14ac:dyDescent="0.2">
      <c r="O719" s="2"/>
      <c r="P719" s="2"/>
      <c r="Q719" s="2"/>
      <c r="R719" s="2"/>
    </row>
    <row r="720" spans="15:18" x14ac:dyDescent="0.2">
      <c r="O720" s="2"/>
      <c r="P720" s="2"/>
      <c r="Q720" s="2"/>
      <c r="R720" s="2"/>
    </row>
    <row r="721" spans="15:18" x14ac:dyDescent="0.2">
      <c r="O721" s="2"/>
      <c r="P721" s="2"/>
      <c r="Q721" s="2"/>
      <c r="R721" s="2"/>
    </row>
    <row r="722" spans="15:18" x14ac:dyDescent="0.2">
      <c r="O722" s="2"/>
      <c r="P722" s="2"/>
      <c r="Q722" s="2"/>
      <c r="R722" s="2"/>
    </row>
    <row r="723" spans="15:18" x14ac:dyDescent="0.2">
      <c r="O723" s="2"/>
      <c r="P723" s="2"/>
      <c r="Q723" s="2"/>
      <c r="R723" s="2"/>
    </row>
    <row r="724" spans="15:18" x14ac:dyDescent="0.2">
      <c r="O724" s="2"/>
      <c r="P724" s="2"/>
      <c r="Q724" s="2"/>
      <c r="R724" s="2"/>
    </row>
    <row r="725" spans="15:18" x14ac:dyDescent="0.2">
      <c r="O725" s="2"/>
      <c r="P725" s="2"/>
      <c r="Q725" s="2"/>
      <c r="R725" s="2"/>
    </row>
    <row r="726" spans="15:18" x14ac:dyDescent="0.2">
      <c r="O726" s="2"/>
      <c r="P726" s="2"/>
      <c r="Q726" s="2"/>
      <c r="R726" s="2"/>
    </row>
    <row r="727" spans="15:18" x14ac:dyDescent="0.2">
      <c r="O727" s="2"/>
      <c r="P727" s="2"/>
      <c r="Q727" s="2"/>
      <c r="R727" s="2"/>
    </row>
    <row r="728" spans="15:18" x14ac:dyDescent="0.2">
      <c r="O728" s="2"/>
      <c r="P728" s="2"/>
      <c r="Q728" s="2"/>
      <c r="R728" s="2"/>
    </row>
    <row r="729" spans="15:18" x14ac:dyDescent="0.2">
      <c r="O729" s="2"/>
      <c r="P729" s="2"/>
      <c r="Q729" s="2"/>
      <c r="R729" s="2"/>
    </row>
    <row r="730" spans="15:18" x14ac:dyDescent="0.2">
      <c r="O730" s="2"/>
      <c r="P730" s="2"/>
      <c r="Q730" s="2"/>
      <c r="R730" s="2"/>
    </row>
    <row r="731" spans="15:18" x14ac:dyDescent="0.2">
      <c r="O731" s="2"/>
      <c r="P731" s="2"/>
      <c r="Q731" s="2"/>
      <c r="R731" s="2"/>
    </row>
    <row r="732" spans="15:18" x14ac:dyDescent="0.2">
      <c r="O732" s="2"/>
      <c r="P732" s="2"/>
      <c r="Q732" s="2"/>
      <c r="R732" s="2"/>
    </row>
    <row r="733" spans="15:18" x14ac:dyDescent="0.2">
      <c r="O733" s="2"/>
      <c r="P733" s="2"/>
      <c r="Q733" s="2"/>
      <c r="R733" s="2"/>
    </row>
    <row r="734" spans="15:18" x14ac:dyDescent="0.2">
      <c r="O734" s="2"/>
      <c r="P734" s="2"/>
      <c r="Q734" s="2"/>
      <c r="R734" s="2"/>
    </row>
    <row r="735" spans="15:18" x14ac:dyDescent="0.2">
      <c r="O735" s="2"/>
      <c r="P735" s="2"/>
      <c r="Q735" s="2"/>
      <c r="R735" s="2"/>
    </row>
    <row r="736" spans="15:18" x14ac:dyDescent="0.2">
      <c r="O736" s="2"/>
      <c r="P736" s="2"/>
      <c r="Q736" s="2"/>
      <c r="R736" s="2"/>
    </row>
    <row r="737" spans="15:18" x14ac:dyDescent="0.2">
      <c r="O737" s="2"/>
      <c r="P737" s="2"/>
      <c r="Q737" s="2"/>
      <c r="R737" s="2"/>
    </row>
    <row r="738" spans="15:18" x14ac:dyDescent="0.2">
      <c r="O738" s="2"/>
      <c r="P738" s="2"/>
      <c r="Q738" s="2"/>
      <c r="R738" s="2"/>
    </row>
    <row r="739" spans="15:18" x14ac:dyDescent="0.2">
      <c r="O739" s="2"/>
      <c r="P739" s="2"/>
      <c r="Q739" s="2"/>
      <c r="R739" s="2"/>
    </row>
    <row r="740" spans="15:18" x14ac:dyDescent="0.2">
      <c r="O740" s="2"/>
      <c r="P740" s="2"/>
      <c r="Q740" s="2"/>
      <c r="R740" s="2"/>
    </row>
    <row r="741" spans="15:18" x14ac:dyDescent="0.2">
      <c r="O741" s="2"/>
      <c r="P741" s="2"/>
      <c r="Q741" s="2"/>
      <c r="R741" s="2"/>
    </row>
    <row r="742" spans="15:18" x14ac:dyDescent="0.2">
      <c r="O742" s="2"/>
      <c r="P742" s="2"/>
      <c r="Q742" s="2"/>
      <c r="R742" s="2"/>
    </row>
    <row r="743" spans="15:18" x14ac:dyDescent="0.2">
      <c r="O743" s="2"/>
      <c r="P743" s="2"/>
      <c r="Q743" s="2"/>
      <c r="R743" s="2"/>
    </row>
    <row r="744" spans="15:18" x14ac:dyDescent="0.2">
      <c r="O744" s="2"/>
      <c r="P744" s="2"/>
      <c r="Q744" s="2"/>
      <c r="R744" s="2"/>
    </row>
    <row r="745" spans="15:18" x14ac:dyDescent="0.2">
      <c r="O745" s="2"/>
      <c r="P745" s="2"/>
      <c r="Q745" s="2"/>
      <c r="R745" s="2"/>
    </row>
    <row r="746" spans="15:18" x14ac:dyDescent="0.2">
      <c r="O746" s="2"/>
      <c r="P746" s="2"/>
      <c r="Q746" s="2"/>
      <c r="R746" s="2"/>
    </row>
    <row r="747" spans="15:18" x14ac:dyDescent="0.2">
      <c r="O747" s="2"/>
      <c r="P747" s="2"/>
      <c r="Q747" s="2"/>
      <c r="R747" s="2"/>
    </row>
    <row r="748" spans="15:18" x14ac:dyDescent="0.2">
      <c r="O748" s="2"/>
      <c r="P748" s="2"/>
      <c r="Q748" s="2"/>
      <c r="R748" s="2"/>
    </row>
    <row r="749" spans="15:18" x14ac:dyDescent="0.2">
      <c r="O749" s="2"/>
      <c r="P749" s="2"/>
      <c r="Q749" s="2"/>
      <c r="R749" s="2"/>
    </row>
    <row r="750" spans="15:18" x14ac:dyDescent="0.2">
      <c r="O750" s="2"/>
      <c r="P750" s="2"/>
      <c r="Q750" s="2"/>
      <c r="R750" s="2"/>
    </row>
    <row r="751" spans="15:18" x14ac:dyDescent="0.2">
      <c r="O751" s="2"/>
      <c r="P751" s="2"/>
      <c r="Q751" s="2"/>
      <c r="R751" s="2"/>
    </row>
    <row r="752" spans="15:18" x14ac:dyDescent="0.2">
      <c r="O752" s="2"/>
      <c r="P752" s="2"/>
      <c r="Q752" s="2"/>
      <c r="R752" s="2"/>
    </row>
    <row r="753" spans="15:18" x14ac:dyDescent="0.2">
      <c r="O753" s="2"/>
      <c r="P753" s="2"/>
      <c r="Q753" s="2"/>
      <c r="R753" s="2"/>
    </row>
    <row r="754" spans="15:18" x14ac:dyDescent="0.2">
      <c r="O754" s="2"/>
      <c r="P754" s="2"/>
      <c r="Q754" s="2"/>
      <c r="R754" s="2"/>
    </row>
    <row r="755" spans="15:18" x14ac:dyDescent="0.2">
      <c r="O755" s="2"/>
      <c r="P755" s="2"/>
      <c r="Q755" s="2"/>
      <c r="R755" s="2"/>
    </row>
  </sheetData>
  <mergeCells count="10">
    <mergeCell ref="O611:U611"/>
    <mergeCell ref="V611:X611"/>
    <mergeCell ref="A610:D610"/>
    <mergeCell ref="A611:L611"/>
    <mergeCell ref="E1:K1"/>
    <mergeCell ref="A2:K2"/>
    <mergeCell ref="A476:A515"/>
    <mergeCell ref="B477:B488"/>
    <mergeCell ref="B490:B502"/>
    <mergeCell ref="B504:B511"/>
  </mergeCells>
  <pageMargins left="0.74803149606299213" right="0" top="0.78740157480314965" bottom="0.39370078740157483" header="0.31496062992125984" footer="0.11811023622047245"/>
  <pageSetup paperSize="9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0"/>
  <sheetViews>
    <sheetView tabSelected="1" topLeftCell="I1" zoomScaleNormal="100" zoomScaleSheetLayoutView="100" workbookViewId="0">
      <selection activeCell="P7" sqref="P7"/>
    </sheetView>
  </sheetViews>
  <sheetFormatPr defaultRowHeight="12.75" x14ac:dyDescent="0.2"/>
  <cols>
    <col min="1" max="1" width="5" style="352" customWidth="1"/>
    <col min="2" max="2" width="30.5703125" style="352" customWidth="1"/>
    <col min="3" max="3" width="3.7109375" style="352" hidden="1" customWidth="1"/>
    <col min="4" max="4" width="12" style="352" hidden="1" customWidth="1"/>
    <col min="5" max="5" width="9.5703125" style="352" hidden="1" customWidth="1"/>
    <col min="6" max="6" width="12.85546875" style="352" hidden="1" customWidth="1"/>
    <col min="7" max="7" width="10.140625" style="352" hidden="1" customWidth="1"/>
    <col min="8" max="8" width="14" style="352" hidden="1" customWidth="1"/>
    <col min="9" max="9" width="3.7109375" style="352" customWidth="1"/>
    <col min="10" max="10" width="14" style="352" customWidth="1"/>
    <col min="11" max="11" width="10.140625" style="352" customWidth="1"/>
    <col min="12" max="12" width="12.140625" style="352" customWidth="1"/>
    <col min="13" max="13" width="13.28515625" style="352" customWidth="1"/>
    <col min="14" max="14" width="9.85546875" style="352" bestFit="1" customWidth="1"/>
    <col min="15" max="15" width="12" style="352" customWidth="1"/>
    <col min="16" max="16" width="9.85546875" style="352" bestFit="1" customWidth="1"/>
    <col min="17" max="17" width="12" style="352" bestFit="1" customWidth="1"/>
    <col min="18" max="18" width="12.28515625" style="352" bestFit="1" customWidth="1"/>
    <col min="19" max="19" width="12" style="352" bestFit="1" customWidth="1"/>
    <col min="20" max="20" width="11.140625" style="352" customWidth="1"/>
    <col min="21" max="21" width="12" style="352" bestFit="1" customWidth="1"/>
    <col min="22" max="22" width="12.28515625" style="352" bestFit="1" customWidth="1"/>
    <col min="23" max="23" width="12" style="352" bestFit="1" customWidth="1"/>
    <col min="24" max="24" width="12.28515625" style="352" bestFit="1" customWidth="1"/>
    <col min="25" max="25" width="12" style="352" bestFit="1" customWidth="1"/>
    <col min="26" max="26" width="10.42578125" style="352" bestFit="1" customWidth="1"/>
    <col min="27" max="27" width="12" style="352" bestFit="1" customWidth="1"/>
    <col min="28" max="28" width="10.42578125" style="352" bestFit="1" customWidth="1"/>
    <col min="29" max="29" width="12" style="352" bestFit="1" customWidth="1"/>
    <col min="30" max="30" width="10.7109375" style="352" hidden="1" customWidth="1"/>
    <col min="31" max="31" width="12.85546875" style="352" hidden="1" customWidth="1"/>
    <col min="32" max="32" width="10.42578125" style="352" bestFit="1" customWidth="1"/>
    <col min="33" max="33" width="9.28515625" style="352" bestFit="1" customWidth="1"/>
    <col min="34" max="16384" width="9.140625" style="352"/>
  </cols>
  <sheetData>
    <row r="1" spans="1:33" ht="67.5" customHeight="1" x14ac:dyDescent="0.2">
      <c r="B1" s="353"/>
      <c r="C1" s="353"/>
      <c r="D1" s="353"/>
      <c r="E1" s="353"/>
      <c r="F1" s="353"/>
      <c r="G1" s="664" t="s">
        <v>961</v>
      </c>
      <c r="H1" s="664"/>
      <c r="I1" s="664"/>
      <c r="J1" s="664"/>
      <c r="K1" s="664"/>
      <c r="L1" s="664"/>
      <c r="M1" s="664"/>
      <c r="N1" s="353"/>
      <c r="O1" s="353"/>
    </row>
    <row r="2" spans="1:33" ht="15.75" customHeight="1" thickBot="1" x14ac:dyDescent="0.25">
      <c r="B2" s="354"/>
      <c r="C2" s="353"/>
      <c r="D2" s="355"/>
      <c r="E2" s="355"/>
      <c r="F2" s="355"/>
      <c r="G2" s="356"/>
      <c r="H2" s="356"/>
      <c r="I2" s="353"/>
      <c r="J2" s="356"/>
      <c r="K2" s="356"/>
      <c r="L2" s="356"/>
      <c r="M2" s="356"/>
      <c r="N2" s="356"/>
      <c r="O2" s="356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A2" s="357"/>
      <c r="AB2" s="357"/>
      <c r="AC2" s="357"/>
    </row>
    <row r="3" spans="1:33" ht="16.5" customHeight="1" thickBot="1" x14ac:dyDescent="0.25">
      <c r="A3" s="665" t="s">
        <v>962</v>
      </c>
      <c r="B3" s="666" t="s">
        <v>963</v>
      </c>
      <c r="C3" s="667"/>
      <c r="D3" s="669" t="s">
        <v>964</v>
      </c>
      <c r="E3" s="670">
        <v>2011</v>
      </c>
      <c r="F3" s="671"/>
      <c r="G3" s="672">
        <v>2015</v>
      </c>
      <c r="H3" s="672"/>
      <c r="I3" s="667"/>
      <c r="J3" s="669" t="s">
        <v>965</v>
      </c>
      <c r="K3" s="671">
        <v>2017</v>
      </c>
      <c r="L3" s="671"/>
      <c r="M3" s="672"/>
      <c r="N3" s="672">
        <v>2018</v>
      </c>
      <c r="O3" s="672"/>
      <c r="P3" s="672">
        <v>2019</v>
      </c>
      <c r="Q3" s="672"/>
      <c r="R3" s="676">
        <v>2020</v>
      </c>
      <c r="S3" s="677"/>
      <c r="T3" s="676">
        <v>2021</v>
      </c>
      <c r="U3" s="677"/>
      <c r="V3" s="676">
        <v>2022</v>
      </c>
      <c r="W3" s="677"/>
      <c r="X3" s="680">
        <v>2023</v>
      </c>
      <c r="Y3" s="677"/>
      <c r="Z3" s="678">
        <v>2024</v>
      </c>
      <c r="AA3" s="679"/>
      <c r="AB3" s="678">
        <v>2025</v>
      </c>
      <c r="AC3" s="679"/>
      <c r="AD3" s="680">
        <v>2026</v>
      </c>
      <c r="AE3" s="676"/>
      <c r="AF3" s="681">
        <v>2026</v>
      </c>
      <c r="AG3" s="679"/>
    </row>
    <row r="4" spans="1:33" ht="32.25" customHeight="1" thickBot="1" x14ac:dyDescent="0.25">
      <c r="A4" s="665"/>
      <c r="B4" s="666"/>
      <c r="C4" s="668"/>
      <c r="D4" s="669"/>
      <c r="E4" s="358" t="s">
        <v>966</v>
      </c>
      <c r="F4" s="359" t="s">
        <v>967</v>
      </c>
      <c r="G4" s="358" t="s">
        <v>966</v>
      </c>
      <c r="H4" s="359" t="s">
        <v>967</v>
      </c>
      <c r="I4" s="668"/>
      <c r="J4" s="669"/>
      <c r="K4" s="358" t="s">
        <v>966</v>
      </c>
      <c r="L4" s="360" t="s">
        <v>968</v>
      </c>
      <c r="M4" s="361" t="s">
        <v>967</v>
      </c>
      <c r="N4" s="358" t="s">
        <v>966</v>
      </c>
      <c r="O4" s="359" t="s">
        <v>967</v>
      </c>
      <c r="P4" s="358" t="s">
        <v>966</v>
      </c>
      <c r="Q4" s="359" t="s">
        <v>967</v>
      </c>
      <c r="R4" s="358" t="s">
        <v>966</v>
      </c>
      <c r="S4" s="362" t="s">
        <v>967</v>
      </c>
      <c r="T4" s="363" t="s">
        <v>966</v>
      </c>
      <c r="U4" s="362" t="s">
        <v>967</v>
      </c>
      <c r="V4" s="363" t="s">
        <v>966</v>
      </c>
      <c r="W4" s="362" t="s">
        <v>967</v>
      </c>
      <c r="X4" s="364" t="s">
        <v>966</v>
      </c>
      <c r="Y4" s="362" t="s">
        <v>967</v>
      </c>
      <c r="Z4" s="364" t="s">
        <v>966</v>
      </c>
      <c r="AA4" s="362" t="s">
        <v>967</v>
      </c>
      <c r="AB4" s="364" t="s">
        <v>966</v>
      </c>
      <c r="AC4" s="362" t="s">
        <v>967</v>
      </c>
      <c r="AD4" s="364" t="s">
        <v>966</v>
      </c>
      <c r="AE4" s="365" t="s">
        <v>967</v>
      </c>
      <c r="AF4" s="364" t="s">
        <v>966</v>
      </c>
      <c r="AG4" s="362" t="s">
        <v>967</v>
      </c>
    </row>
    <row r="5" spans="1:33" ht="15" customHeight="1" x14ac:dyDescent="0.2">
      <c r="A5" s="700">
        <v>1</v>
      </c>
      <c r="B5" s="682" t="s">
        <v>969</v>
      </c>
      <c r="C5" s="366" t="s">
        <v>970</v>
      </c>
      <c r="D5" s="367">
        <v>3778400</v>
      </c>
      <c r="E5" s="368">
        <v>103400</v>
      </c>
      <c r="F5" s="369">
        <f>D5-E5</f>
        <v>3675000</v>
      </c>
      <c r="G5" s="370">
        <v>419800</v>
      </c>
      <c r="H5" s="371">
        <f>D5-G5</f>
        <v>3358600</v>
      </c>
      <c r="I5" s="366" t="s">
        <v>970</v>
      </c>
      <c r="J5" s="372">
        <v>2938800</v>
      </c>
      <c r="K5" s="370">
        <v>419800</v>
      </c>
      <c r="L5" s="373"/>
      <c r="M5" s="371">
        <f>J5-K5</f>
        <v>2519000</v>
      </c>
      <c r="N5" s="370">
        <v>419800</v>
      </c>
      <c r="O5" s="371">
        <f>M5-N5</f>
        <v>2099200</v>
      </c>
      <c r="P5" s="370">
        <v>419800</v>
      </c>
      <c r="Q5" s="371">
        <f>O5-P5</f>
        <v>1679400</v>
      </c>
      <c r="R5" s="702">
        <v>419800</v>
      </c>
      <c r="S5" s="374">
        <f>Q5-R5</f>
        <v>1259600</v>
      </c>
      <c r="T5" s="703">
        <v>419800</v>
      </c>
      <c r="U5" s="374">
        <f>S5-T5</f>
        <v>839800</v>
      </c>
      <c r="V5" s="703">
        <v>419800</v>
      </c>
      <c r="W5" s="374">
        <f>U5-V5</f>
        <v>420000</v>
      </c>
      <c r="X5" s="708">
        <v>420000</v>
      </c>
      <c r="Y5" s="374">
        <f>W5-X5</f>
        <v>0</v>
      </c>
      <c r="Z5" s="375"/>
      <c r="AA5" s="376">
        <v>0</v>
      </c>
      <c r="AB5" s="375"/>
      <c r="AC5" s="376">
        <v>0</v>
      </c>
      <c r="AD5" s="377"/>
      <c r="AE5" s="378"/>
      <c r="AF5" s="379">
        <v>0</v>
      </c>
      <c r="AG5" s="380">
        <v>0</v>
      </c>
    </row>
    <row r="6" spans="1:33" ht="15.75" customHeight="1" x14ac:dyDescent="0.2">
      <c r="A6" s="701"/>
      <c r="B6" s="674"/>
      <c r="C6" s="382" t="s">
        <v>971</v>
      </c>
      <c r="D6" s="383">
        <f>(1.66+0.24+0.72)%</f>
        <v>2.6200000000000001E-2</v>
      </c>
      <c r="E6" s="384">
        <v>31000</v>
      </c>
      <c r="F6" s="385"/>
      <c r="G6" s="384">
        <v>99000</v>
      </c>
      <c r="H6" s="386"/>
      <c r="I6" s="382" t="s">
        <v>971</v>
      </c>
      <c r="J6" s="387">
        <f>0.72%+1.9%</f>
        <v>2.6200000000000001E-2</v>
      </c>
      <c r="K6" s="384">
        <v>77000</v>
      </c>
      <c r="L6" s="388"/>
      <c r="M6" s="389"/>
      <c r="N6" s="384">
        <v>66000</v>
      </c>
      <c r="O6" s="386"/>
      <c r="P6" s="384">
        <v>55000</v>
      </c>
      <c r="Q6" s="386"/>
      <c r="R6" s="384">
        <v>44000</v>
      </c>
      <c r="S6" s="390"/>
      <c r="T6" s="391">
        <v>33000</v>
      </c>
      <c r="U6" s="390"/>
      <c r="V6" s="391">
        <v>22000</v>
      </c>
      <c r="W6" s="390"/>
      <c r="X6" s="392">
        <v>11000</v>
      </c>
      <c r="Y6" s="390"/>
      <c r="Z6" s="392"/>
      <c r="AA6" s="390"/>
      <c r="AB6" s="392"/>
      <c r="AC6" s="390"/>
      <c r="AD6" s="377"/>
      <c r="AE6" s="378"/>
      <c r="AF6" s="393"/>
      <c r="AG6" s="394"/>
    </row>
    <row r="7" spans="1:33" ht="15.75" customHeight="1" x14ac:dyDescent="0.2">
      <c r="A7" s="701"/>
      <c r="B7" s="675"/>
      <c r="C7" s="382" t="s">
        <v>972</v>
      </c>
      <c r="D7" s="386"/>
      <c r="E7" s="384">
        <f>SUM(E5:E6)</f>
        <v>134400</v>
      </c>
      <c r="F7" s="385">
        <f>F5</f>
        <v>3675000</v>
      </c>
      <c r="G7" s="384">
        <f>G5+G6</f>
        <v>518800</v>
      </c>
      <c r="H7" s="386">
        <f>H5</f>
        <v>3358600</v>
      </c>
      <c r="I7" s="382" t="s">
        <v>972</v>
      </c>
      <c r="J7" s="395"/>
      <c r="K7" s="384">
        <f>SUM(K5:K6)</f>
        <v>496800</v>
      </c>
      <c r="L7" s="388"/>
      <c r="M7" s="386">
        <f>SUM(M5:M6)</f>
        <v>2519000</v>
      </c>
      <c r="N7" s="720">
        <f>SUM(N5:N6)</f>
        <v>485800</v>
      </c>
      <c r="O7" s="386">
        <f>O5+O6</f>
        <v>2099200</v>
      </c>
      <c r="P7" s="384">
        <f>SUM(P5:P6)</f>
        <v>474800</v>
      </c>
      <c r="Q7" s="386">
        <f>SUM(Q5:Q6)</f>
        <v>1679400</v>
      </c>
      <c r="R7" s="409">
        <f>SUM(R5:R6)</f>
        <v>463800</v>
      </c>
      <c r="S7" s="396">
        <f>SUM(S5)</f>
        <v>1259600</v>
      </c>
      <c r="T7" s="411">
        <f>SUM(T5:T6)</f>
        <v>452800</v>
      </c>
      <c r="U7" s="396">
        <f>U5</f>
        <v>839800</v>
      </c>
      <c r="V7" s="411">
        <f>SUM(V5:V6)</f>
        <v>441800</v>
      </c>
      <c r="W7" s="396">
        <f>W5</f>
        <v>420000</v>
      </c>
      <c r="X7" s="412">
        <f>SUM(X5:X6)</f>
        <v>431000</v>
      </c>
      <c r="Y7" s="396">
        <f>Y5</f>
        <v>0</v>
      </c>
      <c r="Z7" s="412"/>
      <c r="AA7" s="396">
        <v>0</v>
      </c>
      <c r="AB7" s="397"/>
      <c r="AC7" s="396">
        <v>0</v>
      </c>
      <c r="AD7" s="398"/>
      <c r="AE7" s="399"/>
      <c r="AF7" s="400">
        <f>AF5+AF6</f>
        <v>0</v>
      </c>
      <c r="AG7" s="401">
        <v>0</v>
      </c>
    </row>
    <row r="8" spans="1:33" ht="15" customHeight="1" x14ac:dyDescent="0.2">
      <c r="A8" s="700">
        <v>2</v>
      </c>
      <c r="B8" s="673" t="s">
        <v>973</v>
      </c>
      <c r="C8" s="366" t="s">
        <v>970</v>
      </c>
      <c r="D8" s="367">
        <v>1250000</v>
      </c>
      <c r="E8" s="368">
        <v>103400</v>
      </c>
      <c r="F8" s="369">
        <f>D8-E8</f>
        <v>1146600</v>
      </c>
      <c r="G8" s="368">
        <v>125000</v>
      </c>
      <c r="H8" s="367">
        <f>D8-G8</f>
        <v>1125000</v>
      </c>
      <c r="I8" s="366" t="s">
        <v>970</v>
      </c>
      <c r="J8" s="402">
        <v>1000000</v>
      </c>
      <c r="K8" s="368">
        <v>125000</v>
      </c>
      <c r="L8" s="403"/>
      <c r="M8" s="367">
        <f>J8-K8</f>
        <v>875000</v>
      </c>
      <c r="N8" s="368">
        <v>125000</v>
      </c>
      <c r="O8" s="367">
        <f>M8-N8</f>
        <v>750000</v>
      </c>
      <c r="P8" s="368">
        <v>125000</v>
      </c>
      <c r="Q8" s="367">
        <f>O8-P8</f>
        <v>625000</v>
      </c>
      <c r="R8" s="404">
        <v>125000</v>
      </c>
      <c r="S8" s="417">
        <f>Q8-R8</f>
        <v>500000</v>
      </c>
      <c r="T8" s="404">
        <v>125000</v>
      </c>
      <c r="U8" s="417">
        <f>S8-T8</f>
        <v>375000</v>
      </c>
      <c r="V8" s="404">
        <v>125000</v>
      </c>
      <c r="W8" s="417">
        <f>U8-V8</f>
        <v>250000</v>
      </c>
      <c r="X8" s="404">
        <v>125000</v>
      </c>
      <c r="Y8" s="417">
        <f>W8-X8</f>
        <v>125000</v>
      </c>
      <c r="Z8" s="404">
        <v>125000</v>
      </c>
      <c r="AA8" s="405">
        <f>Y8-Z8</f>
        <v>0</v>
      </c>
      <c r="AB8" s="406"/>
      <c r="AC8" s="405">
        <v>0</v>
      </c>
      <c r="AD8" s="407"/>
      <c r="AE8" s="408"/>
      <c r="AF8" s="379">
        <v>0</v>
      </c>
      <c r="AG8" s="380">
        <v>0</v>
      </c>
    </row>
    <row r="9" spans="1:33" ht="15.75" customHeight="1" x14ac:dyDescent="0.2">
      <c r="A9" s="701"/>
      <c r="B9" s="674"/>
      <c r="C9" s="382" t="s">
        <v>971</v>
      </c>
      <c r="D9" s="383">
        <f>(1.66+0.24+0.6)%</f>
        <v>2.5000000000000001E-2</v>
      </c>
      <c r="E9" s="384">
        <v>31000</v>
      </c>
      <c r="F9" s="385"/>
      <c r="G9" s="384">
        <v>31250</v>
      </c>
      <c r="H9" s="386"/>
      <c r="I9" s="382" t="s">
        <v>971</v>
      </c>
      <c r="J9" s="387">
        <f>0.6%+1.9%</f>
        <v>2.5000000000000001E-2</v>
      </c>
      <c r="K9" s="384">
        <v>25000</v>
      </c>
      <c r="L9" s="388"/>
      <c r="M9" s="386"/>
      <c r="N9" s="384">
        <v>22000</v>
      </c>
      <c r="O9" s="386"/>
      <c r="P9" s="384">
        <v>18750</v>
      </c>
      <c r="Q9" s="386"/>
      <c r="R9" s="384">
        <v>15600</v>
      </c>
      <c r="S9" s="376"/>
      <c r="T9" s="391">
        <v>12500</v>
      </c>
      <c r="U9" s="376"/>
      <c r="V9" s="391">
        <v>9400</v>
      </c>
      <c r="W9" s="376"/>
      <c r="X9" s="392">
        <v>6300</v>
      </c>
      <c r="Y9" s="376"/>
      <c r="Z9" s="392">
        <v>3200</v>
      </c>
      <c r="AA9" s="390"/>
      <c r="AB9" s="392"/>
      <c r="AC9" s="390"/>
      <c r="AD9" s="377"/>
      <c r="AE9" s="378"/>
      <c r="AF9" s="393"/>
      <c r="AG9" s="394"/>
    </row>
    <row r="10" spans="1:33" ht="15.75" customHeight="1" x14ac:dyDescent="0.2">
      <c r="A10" s="701"/>
      <c r="B10" s="675"/>
      <c r="C10" s="382" t="s">
        <v>972</v>
      </c>
      <c r="D10" s="386"/>
      <c r="E10" s="384">
        <f>SUM(E8:E9)</f>
        <v>134400</v>
      </c>
      <c r="F10" s="385">
        <f>F8</f>
        <v>1146600</v>
      </c>
      <c r="G10" s="384">
        <f>SUM(G8:G9)</f>
        <v>156250</v>
      </c>
      <c r="H10" s="386">
        <v>0</v>
      </c>
      <c r="I10" s="382" t="s">
        <v>972</v>
      </c>
      <c r="J10" s="395"/>
      <c r="K10" s="384">
        <f>SUM(K8:K9)</f>
        <v>150000</v>
      </c>
      <c r="L10" s="388"/>
      <c r="M10" s="386">
        <f>M8</f>
        <v>875000</v>
      </c>
      <c r="N10" s="384">
        <f>SUM(N8:N9)</f>
        <v>147000</v>
      </c>
      <c r="O10" s="386">
        <f>O8</f>
        <v>750000</v>
      </c>
      <c r="P10" s="384">
        <f>SUM(P8:P9)</f>
        <v>143750</v>
      </c>
      <c r="Q10" s="386">
        <f>Q8</f>
        <v>625000</v>
      </c>
      <c r="R10" s="409">
        <f>SUM(R8:R9)</f>
        <v>140600</v>
      </c>
      <c r="S10" s="386">
        <f>S8</f>
        <v>500000</v>
      </c>
      <c r="T10" s="411">
        <f>SUM(T8:T9)</f>
        <v>137500</v>
      </c>
      <c r="U10" s="386">
        <f>U8</f>
        <v>375000</v>
      </c>
      <c r="V10" s="411">
        <f>SUM(V8:V9)</f>
        <v>134400</v>
      </c>
      <c r="W10" s="386">
        <f>W8</f>
        <v>250000</v>
      </c>
      <c r="X10" s="412">
        <f>SUM(X8:X9)</f>
        <v>131300</v>
      </c>
      <c r="Y10" s="386">
        <f>Y8</f>
        <v>125000</v>
      </c>
      <c r="Z10" s="412">
        <f>SUM(Z8:Z9)</f>
        <v>128200</v>
      </c>
      <c r="AA10" s="396">
        <v>0</v>
      </c>
      <c r="AB10" s="397"/>
      <c r="AC10" s="396">
        <v>0</v>
      </c>
      <c r="AD10" s="398"/>
      <c r="AE10" s="399"/>
      <c r="AF10" s="400">
        <f>AF8+AF9</f>
        <v>0</v>
      </c>
      <c r="AG10" s="401">
        <v>0</v>
      </c>
    </row>
    <row r="11" spans="1:33" ht="15" customHeight="1" x14ac:dyDescent="0.2">
      <c r="A11" s="700">
        <v>3</v>
      </c>
      <c r="B11" s="686" t="s">
        <v>974</v>
      </c>
      <c r="C11" s="366" t="s">
        <v>970</v>
      </c>
      <c r="D11" s="367">
        <v>3660000</v>
      </c>
      <c r="E11" s="368">
        <v>732000</v>
      </c>
      <c r="F11" s="369">
        <f>D11-E11</f>
        <v>2928000</v>
      </c>
      <c r="G11" s="368">
        <v>732000</v>
      </c>
      <c r="H11" s="367">
        <f>D11-G11</f>
        <v>2928000</v>
      </c>
      <c r="I11" s="366" t="s">
        <v>970</v>
      </c>
      <c r="J11" s="402">
        <v>2196000</v>
      </c>
      <c r="K11" s="368">
        <v>732000</v>
      </c>
      <c r="L11" s="403"/>
      <c r="M11" s="367">
        <f>J11-K11</f>
        <v>1464000</v>
      </c>
      <c r="N11" s="413">
        <v>732000</v>
      </c>
      <c r="O11" s="367">
        <f>M11-N11</f>
        <v>732000</v>
      </c>
      <c r="P11" s="368">
        <v>732000</v>
      </c>
      <c r="Q11" s="367">
        <f>O11-P11</f>
        <v>0</v>
      </c>
      <c r="R11" s="404"/>
      <c r="S11" s="405">
        <v>0</v>
      </c>
      <c r="T11" s="418"/>
      <c r="U11" s="405">
        <v>0</v>
      </c>
      <c r="V11" s="418"/>
      <c r="W11" s="405">
        <v>0</v>
      </c>
      <c r="X11" s="419"/>
      <c r="Y11" s="405">
        <v>0</v>
      </c>
      <c r="Z11" s="419"/>
      <c r="AA11" s="405">
        <v>0</v>
      </c>
      <c r="AB11" s="406"/>
      <c r="AC11" s="405">
        <v>0</v>
      </c>
      <c r="AD11" s="407"/>
      <c r="AE11" s="408"/>
      <c r="AF11" s="379">
        <v>0</v>
      </c>
      <c r="AG11" s="380">
        <v>0</v>
      </c>
    </row>
    <row r="12" spans="1:33" ht="13.5" customHeight="1" x14ac:dyDescent="0.2">
      <c r="A12" s="701"/>
      <c r="B12" s="673"/>
      <c r="C12" s="382" t="s">
        <v>971</v>
      </c>
      <c r="D12" s="383">
        <f>(1.66+0.24+1.6)%</f>
        <v>3.5000000000000003E-2</v>
      </c>
      <c r="E12" s="384">
        <v>380000</v>
      </c>
      <c r="F12" s="385"/>
      <c r="G12" s="384">
        <v>128100</v>
      </c>
      <c r="H12" s="386"/>
      <c r="I12" s="382" t="s">
        <v>971</v>
      </c>
      <c r="J12" s="387">
        <f>1.6%+1.9%</f>
        <v>3.5000000000000003E-2</v>
      </c>
      <c r="K12" s="384">
        <v>77000</v>
      </c>
      <c r="L12" s="388"/>
      <c r="M12" s="389"/>
      <c r="N12" s="384">
        <v>51300</v>
      </c>
      <c r="O12" s="386"/>
      <c r="P12" s="384">
        <v>26000</v>
      </c>
      <c r="Q12" s="386"/>
      <c r="R12" s="384"/>
      <c r="S12" s="414"/>
      <c r="T12" s="391"/>
      <c r="U12" s="414"/>
      <c r="V12" s="391"/>
      <c r="W12" s="414"/>
      <c r="X12" s="392"/>
      <c r="Y12" s="414"/>
      <c r="Z12" s="392"/>
      <c r="AA12" s="414"/>
      <c r="AB12" s="415"/>
      <c r="AC12" s="414"/>
      <c r="AD12" s="377"/>
      <c r="AE12" s="378"/>
      <c r="AF12" s="393"/>
      <c r="AG12" s="394"/>
    </row>
    <row r="13" spans="1:33" ht="16.5" customHeight="1" x14ac:dyDescent="0.2">
      <c r="A13" s="701"/>
      <c r="B13" s="673"/>
      <c r="C13" s="382" t="s">
        <v>972</v>
      </c>
      <c r="D13" s="386"/>
      <c r="E13" s="384">
        <f>SUM(E11:E12)</f>
        <v>1112000</v>
      </c>
      <c r="F13" s="385">
        <f>F11</f>
        <v>2928000</v>
      </c>
      <c r="G13" s="384">
        <f>G11+G12</f>
        <v>860100</v>
      </c>
      <c r="H13" s="386"/>
      <c r="I13" s="382" t="s">
        <v>972</v>
      </c>
      <c r="J13" s="395"/>
      <c r="K13" s="384">
        <f>K11+K12</f>
        <v>809000</v>
      </c>
      <c r="L13" s="388"/>
      <c r="M13" s="386">
        <f>M11</f>
        <v>1464000</v>
      </c>
      <c r="N13" s="384">
        <f>N11+N12</f>
        <v>783300</v>
      </c>
      <c r="O13" s="386">
        <f>O11</f>
        <v>732000</v>
      </c>
      <c r="P13" s="384">
        <f>P11+P12</f>
        <v>758000</v>
      </c>
      <c r="Q13" s="386">
        <f>Q11</f>
        <v>0</v>
      </c>
      <c r="R13" s="409"/>
      <c r="S13" s="410">
        <v>0</v>
      </c>
      <c r="T13" s="411"/>
      <c r="U13" s="410">
        <v>0</v>
      </c>
      <c r="V13" s="411"/>
      <c r="W13" s="410">
        <v>0</v>
      </c>
      <c r="X13" s="412"/>
      <c r="Y13" s="410">
        <v>0</v>
      </c>
      <c r="Z13" s="412"/>
      <c r="AA13" s="410">
        <v>0</v>
      </c>
      <c r="AB13" s="416"/>
      <c r="AC13" s="410">
        <v>0</v>
      </c>
      <c r="AD13" s="398"/>
      <c r="AE13" s="399"/>
      <c r="AF13" s="400">
        <v>0</v>
      </c>
      <c r="AG13" s="401">
        <v>0</v>
      </c>
    </row>
    <row r="14" spans="1:33" ht="15" customHeight="1" x14ac:dyDescent="0.2">
      <c r="A14" s="700">
        <v>4</v>
      </c>
      <c r="B14" s="686" t="s">
        <v>975</v>
      </c>
      <c r="C14" s="366" t="s">
        <v>970</v>
      </c>
      <c r="D14" s="367">
        <v>4411601.24</v>
      </c>
      <c r="E14" s="368">
        <v>732000</v>
      </c>
      <c r="F14" s="369">
        <f>D14-E14</f>
        <v>3679601.24</v>
      </c>
      <c r="G14" s="368">
        <v>400000</v>
      </c>
      <c r="H14" s="367">
        <f>D14-G14</f>
        <v>4011601.24</v>
      </c>
      <c r="I14" s="366" t="s">
        <v>970</v>
      </c>
      <c r="J14" s="402">
        <v>3611601.24</v>
      </c>
      <c r="K14" s="368">
        <v>400000</v>
      </c>
      <c r="L14" s="403"/>
      <c r="M14" s="367">
        <f>J14-K14</f>
        <v>3211601.24</v>
      </c>
      <c r="N14" s="368">
        <v>400000</v>
      </c>
      <c r="O14" s="367">
        <f>M14-N14</f>
        <v>2811601.24</v>
      </c>
      <c r="P14" s="368">
        <v>400000</v>
      </c>
      <c r="Q14" s="367">
        <f>O14-P14</f>
        <v>2411601.2400000002</v>
      </c>
      <c r="R14" s="404">
        <v>400000</v>
      </c>
      <c r="S14" s="417">
        <f>Q14-R14</f>
        <v>2011601.2400000002</v>
      </c>
      <c r="T14" s="418">
        <v>400000</v>
      </c>
      <c r="U14" s="417">
        <f>S14-T14</f>
        <v>1611601.2400000002</v>
      </c>
      <c r="V14" s="418">
        <v>400000</v>
      </c>
      <c r="W14" s="417">
        <f>U14-V14</f>
        <v>1211601.2400000002</v>
      </c>
      <c r="X14" s="419">
        <v>400000</v>
      </c>
      <c r="Y14" s="417">
        <f>W14-X14</f>
        <v>811601.24000000022</v>
      </c>
      <c r="Z14" s="419">
        <v>400000</v>
      </c>
      <c r="AA14" s="417">
        <f>Y14-Z14</f>
        <v>411601.24000000022</v>
      </c>
      <c r="AB14" s="420">
        <v>411601.24</v>
      </c>
      <c r="AC14" s="417">
        <f>AA14-AB14</f>
        <v>0</v>
      </c>
      <c r="AD14" s="407"/>
      <c r="AE14" s="408"/>
      <c r="AF14" s="379">
        <v>0</v>
      </c>
      <c r="AG14" s="380">
        <v>0</v>
      </c>
    </row>
    <row r="15" spans="1:33" ht="13.5" customHeight="1" x14ac:dyDescent="0.2">
      <c r="A15" s="701"/>
      <c r="B15" s="673"/>
      <c r="C15" s="382" t="s">
        <v>971</v>
      </c>
      <c r="D15" s="383">
        <v>0.03</v>
      </c>
      <c r="E15" s="384">
        <v>380000</v>
      </c>
      <c r="F15" s="385"/>
      <c r="G15" s="384">
        <v>132000</v>
      </c>
      <c r="H15" s="386"/>
      <c r="I15" s="382" t="s">
        <v>971</v>
      </c>
      <c r="J15" s="387">
        <v>0.03</v>
      </c>
      <c r="K15" s="384">
        <v>108000</v>
      </c>
      <c r="L15" s="388"/>
      <c r="M15" s="389"/>
      <c r="N15" s="384">
        <v>96300</v>
      </c>
      <c r="O15" s="386"/>
      <c r="P15" s="384">
        <v>84000</v>
      </c>
      <c r="Q15" s="386"/>
      <c r="R15" s="384">
        <v>72300</v>
      </c>
      <c r="S15" s="390"/>
      <c r="T15" s="391">
        <v>60300</v>
      </c>
      <c r="U15" s="390"/>
      <c r="V15" s="391">
        <v>48300</v>
      </c>
      <c r="W15" s="390"/>
      <c r="X15" s="392">
        <v>36300</v>
      </c>
      <c r="Y15" s="390"/>
      <c r="Z15" s="392">
        <v>24300</v>
      </c>
      <c r="AA15" s="390"/>
      <c r="AB15" s="392">
        <v>12300</v>
      </c>
      <c r="AC15" s="390"/>
      <c r="AD15" s="377"/>
      <c r="AE15" s="378"/>
      <c r="AF15" s="393"/>
      <c r="AG15" s="394"/>
    </row>
    <row r="16" spans="1:33" ht="16.5" customHeight="1" thickBot="1" x14ac:dyDescent="0.25">
      <c r="A16" s="701"/>
      <c r="B16" s="673"/>
      <c r="C16" s="382" t="s">
        <v>972</v>
      </c>
      <c r="D16" s="386"/>
      <c r="E16" s="384">
        <f>SUM(E14:E15)</f>
        <v>1112000</v>
      </c>
      <c r="F16" s="385">
        <f>F14</f>
        <v>3679601.24</v>
      </c>
      <c r="G16" s="384">
        <f>G14+G15</f>
        <v>532000</v>
      </c>
      <c r="H16" s="386"/>
      <c r="I16" s="382" t="s">
        <v>972</v>
      </c>
      <c r="J16" s="395"/>
      <c r="K16" s="384">
        <f>K14+K15</f>
        <v>508000</v>
      </c>
      <c r="L16" s="388"/>
      <c r="M16" s="386">
        <f>M14</f>
        <v>3211601.24</v>
      </c>
      <c r="N16" s="384">
        <f>N14+N15</f>
        <v>496300</v>
      </c>
      <c r="O16" s="386">
        <f>O14</f>
        <v>2811601.24</v>
      </c>
      <c r="P16" s="384">
        <f>P14+P15</f>
        <v>484000</v>
      </c>
      <c r="Q16" s="386">
        <f>Q14</f>
        <v>2411601.2400000002</v>
      </c>
      <c r="R16" s="384">
        <f>SUM(R14:R15)</f>
        <v>472300</v>
      </c>
      <c r="S16" s="376">
        <f>S14</f>
        <v>2011601.2400000002</v>
      </c>
      <c r="T16" s="391">
        <f>SUM(T14:T15)</f>
        <v>460300</v>
      </c>
      <c r="U16" s="376">
        <f>U14</f>
        <v>1611601.2400000002</v>
      </c>
      <c r="V16" s="391">
        <f>SUM(V14:V15)</f>
        <v>448300</v>
      </c>
      <c r="W16" s="376">
        <f>W14</f>
        <v>1211601.2400000002</v>
      </c>
      <c r="X16" s="392">
        <f>SUM(X14:X15)</f>
        <v>436300</v>
      </c>
      <c r="Y16" s="376">
        <f>Y14</f>
        <v>811601.24000000022</v>
      </c>
      <c r="Z16" s="392">
        <f>SUM(Z14:Z15)</f>
        <v>424300</v>
      </c>
      <c r="AA16" s="376">
        <f>AA14</f>
        <v>411601.24000000022</v>
      </c>
      <c r="AB16" s="375">
        <f>SUM(AB14:AB15)</f>
        <v>423901.24</v>
      </c>
      <c r="AC16" s="376">
        <f>AC14</f>
        <v>0</v>
      </c>
      <c r="AD16" s="377"/>
      <c r="AE16" s="378"/>
      <c r="AF16" s="393">
        <v>0</v>
      </c>
      <c r="AG16" s="394">
        <v>0</v>
      </c>
    </row>
    <row r="17" spans="1:33" ht="13.5" thickBot="1" x14ac:dyDescent="0.25">
      <c r="A17" s="687" t="s">
        <v>976</v>
      </c>
      <c r="B17" s="687"/>
      <c r="C17" s="421" t="s">
        <v>970</v>
      </c>
      <c r="D17" s="422">
        <f>D8+D11+D5+D14</f>
        <v>13100001.24</v>
      </c>
      <c r="E17" s="423" t="e">
        <f>#REF!+E8+E11</f>
        <v>#REF!</v>
      </c>
      <c r="F17" s="424" t="e">
        <f>#REF!+F8+F11</f>
        <v>#REF!</v>
      </c>
      <c r="G17" s="423">
        <f>G11+G8+G14+G5</f>
        <v>1676800</v>
      </c>
      <c r="H17" s="422">
        <f>H5+H8+H11+H14</f>
        <v>11423201.24</v>
      </c>
      <c r="I17" s="421" t="s">
        <v>970</v>
      </c>
      <c r="J17" s="425">
        <f>J5+J8+J11+J14</f>
        <v>9746401.2400000002</v>
      </c>
      <c r="K17" s="423">
        <f>K11+K8+K14+K5</f>
        <v>1676800</v>
      </c>
      <c r="L17" s="426"/>
      <c r="M17" s="422">
        <f>M5+M11+M14+M8</f>
        <v>8069601.2400000002</v>
      </c>
      <c r="N17" s="423">
        <f>N11+N8+N14+N5</f>
        <v>1676800</v>
      </c>
      <c r="O17" s="422">
        <f>+O11+O14+O5+O8</f>
        <v>6392801.2400000002</v>
      </c>
      <c r="P17" s="423">
        <f>P11+P8+P5+P14</f>
        <v>1676800</v>
      </c>
      <c r="Q17" s="422">
        <f>Q5+Q8+Q11+Q14</f>
        <v>4716001.24</v>
      </c>
      <c r="R17" s="423">
        <f>+R5+R8+R11+R14</f>
        <v>944800</v>
      </c>
      <c r="S17" s="428">
        <f t="shared" ref="S17:AF17" si="0">S5+S8+S11+S14</f>
        <v>3771201.24</v>
      </c>
      <c r="T17" s="638">
        <f t="shared" si="0"/>
        <v>944800</v>
      </c>
      <c r="U17" s="428">
        <f t="shared" si="0"/>
        <v>2826401.24</v>
      </c>
      <c r="V17" s="638">
        <f t="shared" si="0"/>
        <v>944800</v>
      </c>
      <c r="W17" s="428">
        <f t="shared" si="0"/>
        <v>1881601.2400000002</v>
      </c>
      <c r="X17" s="709">
        <f t="shared" si="0"/>
        <v>945000</v>
      </c>
      <c r="Y17" s="428">
        <f t="shared" si="0"/>
        <v>936601.24000000022</v>
      </c>
      <c r="Z17" s="709">
        <f t="shared" si="0"/>
        <v>525000</v>
      </c>
      <c r="AA17" s="428">
        <f t="shared" si="0"/>
        <v>411601.24000000022</v>
      </c>
      <c r="AB17" s="429">
        <f t="shared" si="0"/>
        <v>411601.24</v>
      </c>
      <c r="AC17" s="428">
        <f t="shared" si="0"/>
        <v>0</v>
      </c>
      <c r="AD17" s="428">
        <f t="shared" si="0"/>
        <v>0</v>
      </c>
      <c r="AE17" s="428">
        <f t="shared" si="0"/>
        <v>0</v>
      </c>
      <c r="AF17" s="430">
        <f t="shared" si="0"/>
        <v>0</v>
      </c>
      <c r="AG17" s="431">
        <v>0</v>
      </c>
    </row>
    <row r="18" spans="1:33" ht="13.5" thickBot="1" x14ac:dyDescent="0.25">
      <c r="A18" s="687"/>
      <c r="B18" s="687"/>
      <c r="C18" s="432" t="s">
        <v>971</v>
      </c>
      <c r="D18" s="433"/>
      <c r="E18" s="434" t="e">
        <f>#REF!+E9+E12</f>
        <v>#REF!</v>
      </c>
      <c r="F18" s="435"/>
      <c r="G18" s="434">
        <f>G12+G6+G15+G9</f>
        <v>390350</v>
      </c>
      <c r="H18" s="433"/>
      <c r="I18" s="432" t="s">
        <v>971</v>
      </c>
      <c r="J18" s="436"/>
      <c r="K18" s="434">
        <f>K6+K12+K15+K9</f>
        <v>287000</v>
      </c>
      <c r="L18" s="437"/>
      <c r="M18" s="433"/>
      <c r="N18" s="434">
        <f>N6+N9+N12+N15</f>
        <v>235600</v>
      </c>
      <c r="O18" s="433"/>
      <c r="P18" s="434">
        <f>P6+P9+P12+P15</f>
        <v>183750</v>
      </c>
      <c r="Q18" s="433"/>
      <c r="R18" s="434">
        <f>+R6+R9+R12+R15</f>
        <v>131900</v>
      </c>
      <c r="S18" s="438"/>
      <c r="T18" s="704">
        <f>T6+T9+T12+T15</f>
        <v>105800</v>
      </c>
      <c r="U18" s="438"/>
      <c r="V18" s="704">
        <f>V6+V9+V12+V15</f>
        <v>79700</v>
      </c>
      <c r="W18" s="438"/>
      <c r="X18" s="710">
        <f>X6+X9+X12+X15</f>
        <v>53600</v>
      </c>
      <c r="Y18" s="438"/>
      <c r="Z18" s="710">
        <f>Z6+Z9+Z12+Z15</f>
        <v>27500</v>
      </c>
      <c r="AA18" s="438"/>
      <c r="AB18" s="710">
        <f>+AB6+AB9+AB12+AB15</f>
        <v>12300</v>
      </c>
      <c r="AC18" s="438"/>
      <c r="AD18" s="377"/>
      <c r="AE18" s="378"/>
      <c r="AF18" s="393"/>
      <c r="AG18" s="439"/>
    </row>
    <row r="19" spans="1:33" ht="13.5" thickBot="1" x14ac:dyDescent="0.25">
      <c r="A19" s="687"/>
      <c r="B19" s="687"/>
      <c r="C19" s="440" t="s">
        <v>972</v>
      </c>
      <c r="D19" s="441">
        <f>D17</f>
        <v>13100001.24</v>
      </c>
      <c r="E19" s="442" t="e">
        <f>E17+E18</f>
        <v>#REF!</v>
      </c>
      <c r="F19" s="443" t="e">
        <f>F17</f>
        <v>#REF!</v>
      </c>
      <c r="G19" s="442">
        <f>G17+G18</f>
        <v>2067150</v>
      </c>
      <c r="H19" s="441">
        <f>H17</f>
        <v>11423201.24</v>
      </c>
      <c r="I19" s="440" t="s">
        <v>972</v>
      </c>
      <c r="J19" s="444">
        <f>J17</f>
        <v>9746401.2400000002</v>
      </c>
      <c r="K19" s="442">
        <f>K17+K18</f>
        <v>1963800</v>
      </c>
      <c r="L19" s="445"/>
      <c r="M19" s="441">
        <f>M17</f>
        <v>8069601.2400000002</v>
      </c>
      <c r="N19" s="442">
        <f>N17+N18</f>
        <v>1912400</v>
      </c>
      <c r="O19" s="441">
        <f>O17</f>
        <v>6392801.2400000002</v>
      </c>
      <c r="P19" s="442">
        <f>P17+P18</f>
        <v>1860550</v>
      </c>
      <c r="Q19" s="441">
        <f>Q17</f>
        <v>4716001.24</v>
      </c>
      <c r="R19" s="442">
        <f>SUM(R17:R18)</f>
        <v>1076700</v>
      </c>
      <c r="S19" s="446">
        <f>S17</f>
        <v>3771201.24</v>
      </c>
      <c r="T19" s="640">
        <f>SUM(T17:T18)</f>
        <v>1050600</v>
      </c>
      <c r="U19" s="446">
        <f>U17</f>
        <v>2826401.24</v>
      </c>
      <c r="V19" s="640">
        <f>SUM(V17:V18)</f>
        <v>1024500</v>
      </c>
      <c r="W19" s="446">
        <f>W17</f>
        <v>1881601.2400000002</v>
      </c>
      <c r="X19" s="711">
        <f>SUM(X17:X18)</f>
        <v>998600</v>
      </c>
      <c r="Y19" s="446">
        <f>Y17</f>
        <v>936601.24000000022</v>
      </c>
      <c r="Z19" s="711">
        <f>SUM(Z17:Z18)</f>
        <v>552500</v>
      </c>
      <c r="AA19" s="446">
        <f>AA17</f>
        <v>411601.24000000022</v>
      </c>
      <c r="AB19" s="447">
        <f>SUM(AB17:AB18)</f>
        <v>423901.24</v>
      </c>
      <c r="AC19" s="446">
        <f>AC17</f>
        <v>0</v>
      </c>
      <c r="AD19" s="446">
        <f t="shared" ref="AD19:AF19" si="1">AD17</f>
        <v>0</v>
      </c>
      <c r="AE19" s="446">
        <f t="shared" si="1"/>
        <v>0</v>
      </c>
      <c r="AF19" s="448">
        <f t="shared" si="1"/>
        <v>0</v>
      </c>
      <c r="AG19" s="449">
        <v>0</v>
      </c>
    </row>
    <row r="20" spans="1:33" ht="15.75" customHeight="1" thickBot="1" x14ac:dyDescent="0.25">
      <c r="A20" s="688" t="s">
        <v>977</v>
      </c>
      <c r="B20" s="691" t="s">
        <v>978</v>
      </c>
      <c r="C20" s="450" t="s">
        <v>970</v>
      </c>
      <c r="D20" s="451"/>
      <c r="E20" s="452"/>
      <c r="F20" s="453">
        <v>159188</v>
      </c>
      <c r="G20" s="452"/>
      <c r="H20" s="451"/>
      <c r="I20" s="450" t="s">
        <v>970</v>
      </c>
      <c r="J20" s="454"/>
      <c r="K20" s="452"/>
      <c r="L20" s="455">
        <v>3300000</v>
      </c>
      <c r="M20" s="451">
        <f>L20</f>
        <v>3300000</v>
      </c>
      <c r="N20" s="452">
        <v>360000</v>
      </c>
      <c r="O20" s="451">
        <f>M20-N20</f>
        <v>2940000</v>
      </c>
      <c r="P20" s="452">
        <v>360000</v>
      </c>
      <c r="Q20" s="451">
        <f>O20-P20</f>
        <v>2580000</v>
      </c>
      <c r="R20" s="452">
        <v>360000</v>
      </c>
      <c r="S20" s="456">
        <f>Q20-R20</f>
        <v>2220000</v>
      </c>
      <c r="T20" s="705">
        <v>360000</v>
      </c>
      <c r="U20" s="456">
        <f>S20-T20</f>
        <v>1860000</v>
      </c>
      <c r="V20" s="705">
        <v>360000</v>
      </c>
      <c r="W20" s="456">
        <f>U20-V20</f>
        <v>1500000</v>
      </c>
      <c r="X20" s="712">
        <v>360000</v>
      </c>
      <c r="Y20" s="456">
        <f>W20-X20</f>
        <v>1140000</v>
      </c>
      <c r="Z20" s="712">
        <v>360000</v>
      </c>
      <c r="AA20" s="456">
        <f>Y20-Z20</f>
        <v>780000</v>
      </c>
      <c r="AB20" s="712">
        <v>360000</v>
      </c>
      <c r="AC20" s="456">
        <f>AA20-AB20</f>
        <v>420000</v>
      </c>
      <c r="AD20" s="457"/>
      <c r="AE20" s="458">
        <f>AC20-AD20</f>
        <v>420000</v>
      </c>
      <c r="AF20" s="714">
        <v>420000</v>
      </c>
      <c r="AG20" s="459">
        <v>0</v>
      </c>
    </row>
    <row r="21" spans="1:33" ht="13.5" thickBot="1" x14ac:dyDescent="0.25">
      <c r="A21" s="689"/>
      <c r="B21" s="692"/>
      <c r="C21" s="450" t="s">
        <v>971</v>
      </c>
      <c r="D21" s="460">
        <v>0.03</v>
      </c>
      <c r="E21" s="452">
        <v>3500</v>
      </c>
      <c r="F21" s="453"/>
      <c r="G21" s="452"/>
      <c r="H21" s="451"/>
      <c r="I21" s="450" t="s">
        <v>971</v>
      </c>
      <c r="J21" s="461">
        <v>2.7E-2</v>
      </c>
      <c r="K21" s="452">
        <v>29000</v>
      </c>
      <c r="L21" s="455"/>
      <c r="M21" s="462"/>
      <c r="N21" s="452">
        <v>106300</v>
      </c>
      <c r="O21" s="451"/>
      <c r="P21" s="452">
        <v>79000</v>
      </c>
      <c r="Q21" s="451"/>
      <c r="R21" s="452">
        <v>69660</v>
      </c>
      <c r="S21" s="456"/>
      <c r="T21" s="705">
        <v>59940</v>
      </c>
      <c r="U21" s="456"/>
      <c r="V21" s="705">
        <v>50000</v>
      </c>
      <c r="W21" s="456"/>
      <c r="X21" s="712">
        <v>40000</v>
      </c>
      <c r="Y21" s="456"/>
      <c r="Z21" s="712">
        <v>30700</v>
      </c>
      <c r="AA21" s="456"/>
      <c r="AB21" s="712">
        <v>21000</v>
      </c>
      <c r="AC21" s="456"/>
      <c r="AD21" s="463"/>
      <c r="AE21" s="378"/>
      <c r="AF21" s="714">
        <v>11300</v>
      </c>
      <c r="AG21" s="459"/>
    </row>
    <row r="22" spans="1:33" ht="13.5" thickBot="1" x14ac:dyDescent="0.25">
      <c r="A22" s="690"/>
      <c r="B22" s="693"/>
      <c r="C22" s="450" t="s">
        <v>972</v>
      </c>
      <c r="D22" s="451"/>
      <c r="E22" s="452">
        <f>SUM(E20:E21)</f>
        <v>3500</v>
      </c>
      <c r="F22" s="453">
        <f>SUM(F20)</f>
        <v>159188</v>
      </c>
      <c r="G22" s="452">
        <f>SUM(G20:G21)</f>
        <v>0</v>
      </c>
      <c r="H22" s="451">
        <f>H20</f>
        <v>0</v>
      </c>
      <c r="I22" s="450" t="s">
        <v>972</v>
      </c>
      <c r="J22" s="454"/>
      <c r="K22" s="452">
        <f>SUM(K20:K21)</f>
        <v>29000</v>
      </c>
      <c r="L22" s="455"/>
      <c r="M22" s="451">
        <f>M20</f>
        <v>3300000</v>
      </c>
      <c r="N22" s="452">
        <f>SUM(N20:N21)</f>
        <v>466300</v>
      </c>
      <c r="O22" s="451">
        <f>O20</f>
        <v>2940000</v>
      </c>
      <c r="P22" s="452">
        <f>SUM(P20:P21)</f>
        <v>439000</v>
      </c>
      <c r="Q22" s="451">
        <f>Q20</f>
        <v>2580000</v>
      </c>
      <c r="R22" s="452">
        <f>SUM(R20:R21)</f>
        <v>429660</v>
      </c>
      <c r="S22" s="456">
        <f>S20</f>
        <v>2220000</v>
      </c>
      <c r="T22" s="705">
        <f>SUM(T20:T21)</f>
        <v>419940</v>
      </c>
      <c r="U22" s="456">
        <f>U20</f>
        <v>1860000</v>
      </c>
      <c r="V22" s="705">
        <f>SUM(V20:V21)</f>
        <v>410000</v>
      </c>
      <c r="W22" s="456">
        <f>W20</f>
        <v>1500000</v>
      </c>
      <c r="X22" s="712">
        <f>SUM(X20:X21)</f>
        <v>400000</v>
      </c>
      <c r="Y22" s="456">
        <f>SUM(Y20)</f>
        <v>1140000</v>
      </c>
      <c r="Z22" s="712">
        <f>SUM(Z20:Z21)</f>
        <v>390700</v>
      </c>
      <c r="AA22" s="456">
        <f>SUM(AA20)</f>
        <v>780000</v>
      </c>
      <c r="AB22" s="712">
        <f>AB20+AB21</f>
        <v>381000</v>
      </c>
      <c r="AC22" s="456">
        <v>0</v>
      </c>
      <c r="AD22" s="463">
        <f>AD20+AD21</f>
        <v>0</v>
      </c>
      <c r="AE22" s="464">
        <f>AE20</f>
        <v>420000</v>
      </c>
      <c r="AF22" s="714">
        <f>SUM(AF20:AF21)</f>
        <v>431300</v>
      </c>
      <c r="AG22" s="459">
        <v>0</v>
      </c>
    </row>
    <row r="23" spans="1:33" ht="22.5" customHeight="1" x14ac:dyDescent="0.2">
      <c r="A23" s="694" t="s">
        <v>979</v>
      </c>
      <c r="B23" s="695"/>
      <c r="C23" s="465" t="s">
        <v>970</v>
      </c>
      <c r="D23" s="466">
        <f>D20</f>
        <v>0</v>
      </c>
      <c r="E23" s="467" t="e">
        <f>E20+#REF!+#REF!</f>
        <v>#REF!</v>
      </c>
      <c r="F23" s="468" t="e">
        <f>F20+#REF!+#REF!</f>
        <v>#REF!</v>
      </c>
      <c r="G23" s="423">
        <f>G20</f>
        <v>0</v>
      </c>
      <c r="H23" s="422">
        <f t="shared" ref="H23:M23" si="2">H20</f>
        <v>0</v>
      </c>
      <c r="I23" s="465" t="s">
        <v>970</v>
      </c>
      <c r="J23" s="425"/>
      <c r="K23" s="469">
        <f>K20</f>
        <v>0</v>
      </c>
      <c r="L23" s="470">
        <f>L20</f>
        <v>3300000</v>
      </c>
      <c r="M23" s="422">
        <f t="shared" si="2"/>
        <v>3300000</v>
      </c>
      <c r="N23" s="427">
        <f>N20</f>
        <v>360000</v>
      </c>
      <c r="O23" s="422">
        <f t="shared" ref="O23:AA23" si="3">O20</f>
        <v>2940000</v>
      </c>
      <c r="P23" s="427">
        <f t="shared" si="3"/>
        <v>360000</v>
      </c>
      <c r="Q23" s="422">
        <f t="shared" si="3"/>
        <v>2580000</v>
      </c>
      <c r="R23" s="423">
        <f t="shared" si="3"/>
        <v>360000</v>
      </c>
      <c r="S23" s="422">
        <f t="shared" si="3"/>
        <v>2220000</v>
      </c>
      <c r="T23" s="706">
        <f t="shared" si="3"/>
        <v>360000</v>
      </c>
      <c r="U23" s="422">
        <f t="shared" si="3"/>
        <v>1860000</v>
      </c>
      <c r="V23" s="706">
        <f t="shared" si="3"/>
        <v>360000</v>
      </c>
      <c r="W23" s="422">
        <f t="shared" si="3"/>
        <v>1500000</v>
      </c>
      <c r="X23" s="706">
        <f t="shared" si="3"/>
        <v>360000</v>
      </c>
      <c r="Y23" s="422">
        <f t="shared" si="3"/>
        <v>1140000</v>
      </c>
      <c r="Z23" s="706">
        <f t="shared" si="3"/>
        <v>360000</v>
      </c>
      <c r="AA23" s="422">
        <f t="shared" si="3"/>
        <v>780000</v>
      </c>
      <c r="AB23" s="706">
        <f>+AB20</f>
        <v>360000</v>
      </c>
      <c r="AC23" s="428">
        <f>AC20</f>
        <v>420000</v>
      </c>
      <c r="AD23" s="471">
        <f>AD20</f>
        <v>0</v>
      </c>
      <c r="AE23" s="472">
        <f>AE20</f>
        <v>420000</v>
      </c>
      <c r="AF23" s="470">
        <f>AF20</f>
        <v>420000</v>
      </c>
      <c r="AG23" s="473">
        <f>AG20</f>
        <v>0</v>
      </c>
    </row>
    <row r="24" spans="1:33" ht="18" customHeight="1" x14ac:dyDescent="0.2">
      <c r="A24" s="696"/>
      <c r="B24" s="697"/>
      <c r="C24" s="382" t="s">
        <v>971</v>
      </c>
      <c r="D24" s="383"/>
      <c r="E24" s="384" t="e">
        <f>E21+#REF!+#REF!+#REF!</f>
        <v>#REF!</v>
      </c>
      <c r="F24" s="385"/>
      <c r="G24" s="434">
        <f>G21</f>
        <v>0</v>
      </c>
      <c r="H24" s="433"/>
      <c r="I24" s="382" t="s">
        <v>971</v>
      </c>
      <c r="J24" s="436"/>
      <c r="K24" s="474">
        <v>29000</v>
      </c>
      <c r="L24" s="475"/>
      <c r="M24" s="476"/>
      <c r="N24" s="434">
        <f>N21</f>
        <v>106300</v>
      </c>
      <c r="O24" s="433"/>
      <c r="P24" s="434">
        <f>P21</f>
        <v>79000</v>
      </c>
      <c r="Q24" s="433"/>
      <c r="R24" s="434">
        <f>R21</f>
        <v>69660</v>
      </c>
      <c r="S24" s="477"/>
      <c r="T24" s="704">
        <f>T21</f>
        <v>59940</v>
      </c>
      <c r="U24" s="477"/>
      <c r="V24" s="704">
        <f>V21</f>
        <v>50000</v>
      </c>
      <c r="W24" s="477"/>
      <c r="X24" s="710">
        <f>X21</f>
        <v>40000</v>
      </c>
      <c r="Y24" s="477"/>
      <c r="Z24" s="710">
        <f>Z21</f>
        <v>30700</v>
      </c>
      <c r="AA24" s="438"/>
      <c r="AB24" s="710">
        <f>AB21</f>
        <v>21000</v>
      </c>
      <c r="AC24" s="477"/>
      <c r="AD24" s="478">
        <f>AD21</f>
        <v>0</v>
      </c>
      <c r="AE24" s="378"/>
      <c r="AF24" s="715">
        <f>AF21</f>
        <v>11300</v>
      </c>
      <c r="AG24" s="394"/>
    </row>
    <row r="25" spans="1:33" ht="18.75" customHeight="1" thickBot="1" x14ac:dyDescent="0.25">
      <c r="A25" s="698"/>
      <c r="B25" s="699"/>
      <c r="C25" s="479" t="s">
        <v>972</v>
      </c>
      <c r="D25" s="441"/>
      <c r="E25" s="442" t="e">
        <f>SUM(E23:E24)</f>
        <v>#REF!</v>
      </c>
      <c r="F25" s="443" t="e">
        <f>F23</f>
        <v>#REF!</v>
      </c>
      <c r="G25" s="442">
        <f>SUM(G23:G24)</f>
        <v>0</v>
      </c>
      <c r="H25" s="441">
        <f>SUM(H23)</f>
        <v>0</v>
      </c>
      <c r="I25" s="479" t="s">
        <v>972</v>
      </c>
      <c r="J25" s="444"/>
      <c r="K25" s="480">
        <f>SUM(K23:K24)</f>
        <v>29000</v>
      </c>
      <c r="L25" s="481">
        <f>L23</f>
        <v>3300000</v>
      </c>
      <c r="M25" s="441">
        <f>M23</f>
        <v>3300000</v>
      </c>
      <c r="N25" s="442">
        <f>SUM(N23:N24)</f>
        <v>466300</v>
      </c>
      <c r="O25" s="441">
        <f>O23</f>
        <v>2940000</v>
      </c>
      <c r="P25" s="442">
        <f>SUM(P23:P24)</f>
        <v>439000</v>
      </c>
      <c r="Q25" s="441">
        <f>Q23</f>
        <v>2580000</v>
      </c>
      <c r="R25" s="442">
        <f>R23+R24</f>
        <v>429660</v>
      </c>
      <c r="S25" s="446">
        <f>SUM(S23)</f>
        <v>2220000</v>
      </c>
      <c r="T25" s="640">
        <f>SUM(T23:T24)</f>
        <v>419940</v>
      </c>
      <c r="U25" s="446">
        <f>SUM(U23)</f>
        <v>1860000</v>
      </c>
      <c r="V25" s="640">
        <f>SUM(V23:V24)</f>
        <v>410000</v>
      </c>
      <c r="W25" s="446">
        <f>W23</f>
        <v>1500000</v>
      </c>
      <c r="X25" s="711">
        <f>SUM(X23:X24)</f>
        <v>400000</v>
      </c>
      <c r="Y25" s="446">
        <f>Y23</f>
        <v>1140000</v>
      </c>
      <c r="Z25" s="711">
        <f>SUM(Z23:Z24)</f>
        <v>390700</v>
      </c>
      <c r="AA25" s="446">
        <f>AA23</f>
        <v>780000</v>
      </c>
      <c r="AB25" s="711">
        <f>AB23+AB24</f>
        <v>381000</v>
      </c>
      <c r="AC25" s="446">
        <f>AC23</f>
        <v>420000</v>
      </c>
      <c r="AD25" s="482">
        <f>SUM(AD23:AD24)</f>
        <v>0</v>
      </c>
      <c r="AE25" s="483">
        <f>AE23</f>
        <v>420000</v>
      </c>
      <c r="AF25" s="716">
        <f>AF23+AF24</f>
        <v>431300</v>
      </c>
      <c r="AG25" s="484">
        <f>AG23+AG24</f>
        <v>0</v>
      </c>
    </row>
    <row r="26" spans="1:33" s="357" customFormat="1" ht="21.75" customHeight="1" thickBot="1" x14ac:dyDescent="0.25">
      <c r="A26" s="485"/>
      <c r="B26" s="683" t="s">
        <v>980</v>
      </c>
      <c r="C26" s="382" t="s">
        <v>970</v>
      </c>
      <c r="D26" s="386">
        <f>D17+D23</f>
        <v>13100001.24</v>
      </c>
      <c r="E26" s="384" t="e">
        <f>E17+E23</f>
        <v>#REF!</v>
      </c>
      <c r="F26" s="385" t="e">
        <f>F17+F23</f>
        <v>#REF!</v>
      </c>
      <c r="G26" s="384">
        <f>G23+G17</f>
        <v>1676800</v>
      </c>
      <c r="H26" s="386">
        <f>H17+H23</f>
        <v>11423201.24</v>
      </c>
      <c r="I26" s="382" t="s">
        <v>970</v>
      </c>
      <c r="J26" s="395">
        <f>J17+J23</f>
        <v>9746401.2400000002</v>
      </c>
      <c r="K26" s="486">
        <f>K23+K17</f>
        <v>1676800</v>
      </c>
      <c r="L26" s="487">
        <f>L23+L17</f>
        <v>3300000</v>
      </c>
      <c r="M26" s="386">
        <f>M23+M17</f>
        <v>11369601.24</v>
      </c>
      <c r="N26" s="384">
        <f>N17+N23</f>
        <v>2036800</v>
      </c>
      <c r="O26" s="386">
        <f>O17+O23</f>
        <v>9332801.2400000002</v>
      </c>
      <c r="P26" s="384">
        <f>P17+P23</f>
        <v>2036800</v>
      </c>
      <c r="Q26" s="386">
        <f t="shared" ref="Q26:V26" si="4">Q23+Q17</f>
        <v>7296001.2400000002</v>
      </c>
      <c r="R26" s="384">
        <f t="shared" si="4"/>
        <v>1304800</v>
      </c>
      <c r="S26" s="376">
        <f t="shared" si="4"/>
        <v>5991201.2400000002</v>
      </c>
      <c r="T26" s="391">
        <f t="shared" si="4"/>
        <v>1304800</v>
      </c>
      <c r="U26" s="376">
        <f>U23+U17</f>
        <v>4686401.24</v>
      </c>
      <c r="V26" s="391">
        <f t="shared" si="4"/>
        <v>1304800</v>
      </c>
      <c r="W26" s="376">
        <f>W17+W20</f>
        <v>3381601.24</v>
      </c>
      <c r="X26" s="392">
        <f>X23+X17</f>
        <v>1305000</v>
      </c>
      <c r="Y26" s="376">
        <f>Y17+Y23</f>
        <v>2076601.2400000002</v>
      </c>
      <c r="Z26" s="392">
        <f>Z23+Z17</f>
        <v>885000</v>
      </c>
      <c r="AA26" s="376">
        <f>AA23+AA17</f>
        <v>1191601.2400000002</v>
      </c>
      <c r="AB26" s="375">
        <f>AB17+AB23</f>
        <v>771601.24</v>
      </c>
      <c r="AC26" s="376">
        <f>AC23</f>
        <v>420000</v>
      </c>
      <c r="AD26" s="488">
        <f>AD23</f>
        <v>0</v>
      </c>
      <c r="AE26" s="464">
        <f>AE23</f>
        <v>420000</v>
      </c>
      <c r="AF26" s="717">
        <f>AF23+AF17</f>
        <v>420000</v>
      </c>
      <c r="AG26" s="394">
        <f>AC26-AF26</f>
        <v>0</v>
      </c>
    </row>
    <row r="27" spans="1:33" s="357" customFormat="1" ht="22.5" customHeight="1" thickBot="1" x14ac:dyDescent="0.25">
      <c r="A27" s="381"/>
      <c r="B27" s="684"/>
      <c r="C27" s="382" t="s">
        <v>971</v>
      </c>
      <c r="D27" s="386"/>
      <c r="E27" s="384" t="e">
        <f>E18+E24</f>
        <v>#REF!</v>
      </c>
      <c r="F27" s="385"/>
      <c r="G27" s="384">
        <f>G18+G24</f>
        <v>390350</v>
      </c>
      <c r="H27" s="386"/>
      <c r="I27" s="382" t="s">
        <v>971</v>
      </c>
      <c r="J27" s="395"/>
      <c r="K27" s="486">
        <f>K18+K24</f>
        <v>316000</v>
      </c>
      <c r="L27" s="487"/>
      <c r="M27" s="389"/>
      <c r="N27" s="384">
        <f>N18+N24</f>
        <v>341900</v>
      </c>
      <c r="O27" s="386"/>
      <c r="P27" s="384">
        <f>P18+P24</f>
        <v>262750</v>
      </c>
      <c r="Q27" s="386"/>
      <c r="R27" s="384">
        <f>R24+R18</f>
        <v>201560</v>
      </c>
      <c r="S27" s="489"/>
      <c r="T27" s="391">
        <f>T24+T18</f>
        <v>165740</v>
      </c>
      <c r="U27" s="489"/>
      <c r="V27" s="391">
        <f>V24+V18</f>
        <v>129700</v>
      </c>
      <c r="W27" s="489"/>
      <c r="X27" s="392">
        <f>X24+X18</f>
        <v>93600</v>
      </c>
      <c r="Y27" s="489"/>
      <c r="Z27" s="392">
        <f>Z24+Z18</f>
        <v>58200</v>
      </c>
      <c r="AA27" s="489"/>
      <c r="AB27" s="392">
        <f>AB18+AB24</f>
        <v>33300</v>
      </c>
      <c r="AC27" s="489"/>
      <c r="AD27" s="488">
        <f>AD24</f>
        <v>0</v>
      </c>
      <c r="AE27" s="378"/>
      <c r="AF27" s="717">
        <f>AF18+AF24</f>
        <v>11300</v>
      </c>
      <c r="AG27" s="394"/>
    </row>
    <row r="28" spans="1:33" s="357" customFormat="1" ht="26.25" customHeight="1" thickBot="1" x14ac:dyDescent="0.25">
      <c r="A28" s="381"/>
      <c r="B28" s="685"/>
      <c r="C28" s="382" t="s">
        <v>972</v>
      </c>
      <c r="D28" s="386">
        <f>D26</f>
        <v>13100001.24</v>
      </c>
      <c r="E28" s="384" t="e">
        <f>SUM(E26:E27)</f>
        <v>#REF!</v>
      </c>
      <c r="F28" s="385" t="e">
        <f>F26</f>
        <v>#REF!</v>
      </c>
      <c r="G28" s="384">
        <f>SUM(G26:G27)</f>
        <v>2067150</v>
      </c>
      <c r="H28" s="386">
        <f>SUM(H26)</f>
        <v>11423201.24</v>
      </c>
      <c r="I28" s="382" t="s">
        <v>972</v>
      </c>
      <c r="J28" s="395">
        <f>J26</f>
        <v>9746401.2400000002</v>
      </c>
      <c r="K28" s="486">
        <f>SUM(K26:K27)</f>
        <v>1992800</v>
      </c>
      <c r="L28" s="490">
        <f>SUM(L26:L27)</f>
        <v>3300000</v>
      </c>
      <c r="M28" s="386">
        <f>M26</f>
        <v>11369601.24</v>
      </c>
      <c r="N28" s="384">
        <f>SUM(N26:N27)</f>
        <v>2378700</v>
      </c>
      <c r="O28" s="386">
        <f>O26</f>
        <v>9332801.2400000002</v>
      </c>
      <c r="P28" s="384">
        <f>SUM(P26:P27)</f>
        <v>2299550</v>
      </c>
      <c r="Q28" s="386">
        <f>Q26</f>
        <v>7296001.2400000002</v>
      </c>
      <c r="R28" s="384">
        <f>R26+R27</f>
        <v>1506360</v>
      </c>
      <c r="S28" s="376">
        <f>S26</f>
        <v>5991201.2400000002</v>
      </c>
      <c r="T28" s="391">
        <f>T26+T27</f>
        <v>1470540</v>
      </c>
      <c r="U28" s="376">
        <f>U26</f>
        <v>4686401.24</v>
      </c>
      <c r="V28" s="391">
        <f>V26+V27</f>
        <v>1434500</v>
      </c>
      <c r="W28" s="376">
        <f>W26</f>
        <v>3381601.24</v>
      </c>
      <c r="X28" s="392">
        <f>SUM(X26:X27)</f>
        <v>1398600</v>
      </c>
      <c r="Y28" s="376">
        <f>Y26</f>
        <v>2076601.2400000002</v>
      </c>
      <c r="Z28" s="392">
        <f>SUM(Z26:Z27)</f>
        <v>943200</v>
      </c>
      <c r="AA28" s="376">
        <f>AA26</f>
        <v>1191601.2400000002</v>
      </c>
      <c r="AB28" s="375">
        <f>AB26+AB27</f>
        <v>804901.24</v>
      </c>
      <c r="AC28" s="376">
        <f>AC26</f>
        <v>420000</v>
      </c>
      <c r="AD28" s="488">
        <f>AD25</f>
        <v>0</v>
      </c>
      <c r="AE28" s="464">
        <f>AE26</f>
        <v>420000</v>
      </c>
      <c r="AF28" s="717">
        <f>AF19+AF25</f>
        <v>431300</v>
      </c>
      <c r="AG28" s="394">
        <v>0</v>
      </c>
    </row>
    <row r="29" spans="1:33" ht="18" customHeight="1" thickBot="1" x14ac:dyDescent="0.25">
      <c r="A29" s="491" t="s">
        <v>981</v>
      </c>
      <c r="B29" s="492" t="s">
        <v>982</v>
      </c>
      <c r="C29" s="493"/>
      <c r="D29" s="494"/>
      <c r="E29" s="495"/>
      <c r="F29" s="496"/>
      <c r="G29" s="495"/>
      <c r="H29" s="494"/>
      <c r="I29" s="493"/>
      <c r="J29" s="497"/>
      <c r="K29" s="495"/>
      <c r="L29" s="498"/>
      <c r="M29" s="499"/>
      <c r="N29" s="495"/>
      <c r="O29" s="494"/>
      <c r="P29" s="495"/>
      <c r="Q29" s="494"/>
      <c r="R29" s="495"/>
      <c r="S29" s="500"/>
      <c r="T29" s="707"/>
      <c r="U29" s="500"/>
      <c r="V29" s="707"/>
      <c r="W29" s="500"/>
      <c r="X29" s="713"/>
      <c r="Y29" s="500"/>
      <c r="Z29" s="713"/>
      <c r="AA29" s="500"/>
      <c r="AB29" s="501"/>
      <c r="AC29" s="500"/>
      <c r="AD29" s="502"/>
      <c r="AE29" s="503"/>
      <c r="AF29" s="718"/>
      <c r="AG29" s="504"/>
    </row>
    <row r="30" spans="1:33" ht="14.25" customHeight="1" x14ac:dyDescent="0.2">
      <c r="A30" s="505" t="s">
        <v>983</v>
      </c>
      <c r="B30" s="506" t="s">
        <v>984</v>
      </c>
      <c r="C30" s="507" t="s">
        <v>970</v>
      </c>
      <c r="D30" s="386"/>
      <c r="E30" s="384"/>
      <c r="F30" s="385"/>
      <c r="G30" s="384"/>
      <c r="H30" s="386"/>
      <c r="I30" s="507" t="s">
        <v>970</v>
      </c>
      <c r="J30" s="395"/>
      <c r="K30" s="384"/>
      <c r="L30" s="388"/>
      <c r="M30" s="389"/>
      <c r="N30" s="384"/>
      <c r="O30" s="386"/>
      <c r="P30" s="384"/>
      <c r="Q30" s="386"/>
      <c r="R30" s="384"/>
      <c r="S30" s="489"/>
      <c r="T30" s="391"/>
      <c r="U30" s="489"/>
      <c r="V30" s="391"/>
      <c r="W30" s="489"/>
      <c r="X30" s="392"/>
      <c r="Y30" s="489"/>
      <c r="Z30" s="392"/>
      <c r="AA30" s="489"/>
      <c r="AB30" s="508"/>
      <c r="AC30" s="489"/>
      <c r="AD30" s="377"/>
      <c r="AE30" s="378"/>
      <c r="AF30" s="717"/>
      <c r="AG30" s="394"/>
    </row>
    <row r="31" spans="1:33" x14ac:dyDescent="0.2">
      <c r="A31" s="509"/>
      <c r="B31" s="506"/>
      <c r="C31" s="382" t="s">
        <v>971</v>
      </c>
      <c r="D31" s="386"/>
      <c r="E31" s="384">
        <v>30800</v>
      </c>
      <c r="F31" s="385"/>
      <c r="G31" s="384">
        <v>6850</v>
      </c>
      <c r="H31" s="386"/>
      <c r="I31" s="382" t="s">
        <v>971</v>
      </c>
      <c r="J31" s="395"/>
      <c r="K31" s="384">
        <v>10000</v>
      </c>
      <c r="L31" s="388"/>
      <c r="M31" s="389"/>
      <c r="N31" s="384"/>
      <c r="O31" s="386"/>
      <c r="P31" s="384"/>
      <c r="Q31" s="386"/>
      <c r="R31" s="384"/>
      <c r="S31" s="489"/>
      <c r="T31" s="391"/>
      <c r="U31" s="489"/>
      <c r="V31" s="391"/>
      <c r="W31" s="489"/>
      <c r="X31" s="392"/>
      <c r="Y31" s="489"/>
      <c r="Z31" s="392"/>
      <c r="AA31" s="489"/>
      <c r="AB31" s="508"/>
      <c r="AC31" s="489"/>
      <c r="AD31" s="377"/>
      <c r="AE31" s="378"/>
      <c r="AF31" s="717"/>
      <c r="AG31" s="394"/>
    </row>
    <row r="32" spans="1:33" ht="13.5" thickBot="1" x14ac:dyDescent="0.25">
      <c r="A32" s="509"/>
      <c r="B32" s="506"/>
      <c r="C32" s="382" t="s">
        <v>972</v>
      </c>
      <c r="D32" s="386"/>
      <c r="E32" s="384"/>
      <c r="F32" s="385"/>
      <c r="G32" s="384"/>
      <c r="H32" s="386"/>
      <c r="I32" s="382" t="s">
        <v>972</v>
      </c>
      <c r="J32" s="395"/>
      <c r="K32" s="384"/>
      <c r="L32" s="388"/>
      <c r="M32" s="389"/>
      <c r="N32" s="384"/>
      <c r="O32" s="386"/>
      <c r="P32" s="384"/>
      <c r="Q32" s="386"/>
      <c r="R32" s="384"/>
      <c r="S32" s="489"/>
      <c r="T32" s="391"/>
      <c r="U32" s="489"/>
      <c r="V32" s="391"/>
      <c r="W32" s="489"/>
      <c r="X32" s="392"/>
      <c r="Y32" s="489"/>
      <c r="Z32" s="392"/>
      <c r="AA32" s="489"/>
      <c r="AB32" s="508"/>
      <c r="AC32" s="489"/>
      <c r="AD32" s="377"/>
      <c r="AE32" s="378"/>
      <c r="AF32" s="717"/>
      <c r="AG32" s="394"/>
    </row>
    <row r="33" spans="1:33" ht="27.75" customHeight="1" thickBot="1" x14ac:dyDescent="0.25">
      <c r="A33" s="465"/>
      <c r="B33" s="684" t="s">
        <v>985</v>
      </c>
      <c r="C33" s="421" t="s">
        <v>970</v>
      </c>
      <c r="D33" s="422">
        <f t="shared" ref="D33:AC33" si="5">D26</f>
        <v>13100001.24</v>
      </c>
      <c r="E33" s="423" t="e">
        <f t="shared" si="5"/>
        <v>#REF!</v>
      </c>
      <c r="F33" s="424" t="e">
        <f t="shared" si="5"/>
        <v>#REF!</v>
      </c>
      <c r="G33" s="423">
        <f t="shared" si="5"/>
        <v>1676800</v>
      </c>
      <c r="H33" s="422">
        <f t="shared" si="5"/>
        <v>11423201.24</v>
      </c>
      <c r="I33" s="421" t="s">
        <v>970</v>
      </c>
      <c r="J33" s="425">
        <f>J26+J30</f>
        <v>9746401.2400000002</v>
      </c>
      <c r="K33" s="641">
        <f t="shared" si="5"/>
        <v>1676800</v>
      </c>
      <c r="L33" s="638">
        <f t="shared" si="5"/>
        <v>3300000</v>
      </c>
      <c r="M33" s="422">
        <f t="shared" si="5"/>
        <v>11369601.24</v>
      </c>
      <c r="N33" s="423">
        <f t="shared" si="5"/>
        <v>2036800</v>
      </c>
      <c r="O33" s="422">
        <f t="shared" si="5"/>
        <v>9332801.2400000002</v>
      </c>
      <c r="P33" s="423">
        <f t="shared" si="5"/>
        <v>2036800</v>
      </c>
      <c r="Q33" s="422">
        <f t="shared" si="5"/>
        <v>7296001.2400000002</v>
      </c>
      <c r="R33" s="423">
        <f t="shared" si="5"/>
        <v>1304800</v>
      </c>
      <c r="S33" s="428">
        <f t="shared" si="5"/>
        <v>5991201.2400000002</v>
      </c>
      <c r="T33" s="638">
        <f t="shared" si="5"/>
        <v>1304800</v>
      </c>
      <c r="U33" s="428">
        <f t="shared" si="5"/>
        <v>4686401.24</v>
      </c>
      <c r="V33" s="638">
        <f t="shared" si="5"/>
        <v>1304800</v>
      </c>
      <c r="W33" s="428">
        <f t="shared" si="5"/>
        <v>3381601.24</v>
      </c>
      <c r="X33" s="709">
        <f t="shared" si="5"/>
        <v>1305000</v>
      </c>
      <c r="Y33" s="428">
        <f t="shared" si="5"/>
        <v>2076601.2400000002</v>
      </c>
      <c r="Z33" s="709">
        <f t="shared" si="5"/>
        <v>885000</v>
      </c>
      <c r="AA33" s="428">
        <f t="shared" si="5"/>
        <v>1191601.2400000002</v>
      </c>
      <c r="AB33" s="429">
        <f t="shared" si="5"/>
        <v>771601.24</v>
      </c>
      <c r="AC33" s="428">
        <f t="shared" si="5"/>
        <v>420000</v>
      </c>
      <c r="AD33" s="471">
        <f>AD26</f>
        <v>0</v>
      </c>
      <c r="AE33" s="510">
        <f>AE26</f>
        <v>420000</v>
      </c>
      <c r="AF33" s="719">
        <f>AF26</f>
        <v>420000</v>
      </c>
      <c r="AG33" s="473">
        <f>AC33-AF33</f>
        <v>0</v>
      </c>
    </row>
    <row r="34" spans="1:33" ht="22.5" customHeight="1" thickBot="1" x14ac:dyDescent="0.25">
      <c r="A34" s="382"/>
      <c r="B34" s="684"/>
      <c r="C34" s="432" t="s">
        <v>971</v>
      </c>
      <c r="D34" s="433"/>
      <c r="E34" s="434" t="e">
        <f>E27+E31</f>
        <v>#REF!</v>
      </c>
      <c r="F34" s="435"/>
      <c r="G34" s="434">
        <f>G27+G30+G31</f>
        <v>397200</v>
      </c>
      <c r="H34" s="433"/>
      <c r="I34" s="432" t="s">
        <v>971</v>
      </c>
      <c r="J34" s="436"/>
      <c r="K34" s="642">
        <f>K27+K31</f>
        <v>326000</v>
      </c>
      <c r="L34" s="639"/>
      <c r="M34" s="433"/>
      <c r="N34" s="434">
        <f>N27</f>
        <v>341900</v>
      </c>
      <c r="O34" s="433"/>
      <c r="P34" s="434">
        <f>P27</f>
        <v>262750</v>
      </c>
      <c r="Q34" s="433"/>
      <c r="R34" s="434">
        <f>R27</f>
        <v>201560</v>
      </c>
      <c r="S34" s="438"/>
      <c r="T34" s="704">
        <f>T27</f>
        <v>165740</v>
      </c>
      <c r="U34" s="438"/>
      <c r="V34" s="704">
        <f>V27</f>
        <v>129700</v>
      </c>
      <c r="W34" s="438"/>
      <c r="X34" s="710">
        <f>X27</f>
        <v>93600</v>
      </c>
      <c r="Y34" s="438"/>
      <c r="Z34" s="710">
        <f>Z27</f>
        <v>58200</v>
      </c>
      <c r="AA34" s="438"/>
      <c r="AB34" s="710">
        <f>AB27</f>
        <v>33300</v>
      </c>
      <c r="AC34" s="438"/>
      <c r="AD34" s="478">
        <f>AD27</f>
        <v>0</v>
      </c>
      <c r="AE34" s="511"/>
      <c r="AF34" s="715">
        <f>AF27</f>
        <v>11300</v>
      </c>
      <c r="AG34" s="512"/>
    </row>
    <row r="35" spans="1:33" ht="28.5" customHeight="1" thickBot="1" x14ac:dyDescent="0.25">
      <c r="A35" s="479"/>
      <c r="B35" s="684"/>
      <c r="C35" s="440" t="s">
        <v>972</v>
      </c>
      <c r="D35" s="441">
        <f>D33</f>
        <v>13100001.24</v>
      </c>
      <c r="E35" s="442" t="e">
        <f>SUM(E33:E34)</f>
        <v>#REF!</v>
      </c>
      <c r="F35" s="443" t="e">
        <f>F33</f>
        <v>#REF!</v>
      </c>
      <c r="G35" s="442">
        <f>G33+G34</f>
        <v>2074000</v>
      </c>
      <c r="H35" s="441">
        <f>H33</f>
        <v>11423201.24</v>
      </c>
      <c r="I35" s="440" t="s">
        <v>972</v>
      </c>
      <c r="J35" s="444">
        <f>J33</f>
        <v>9746401.2400000002</v>
      </c>
      <c r="K35" s="643">
        <f>SUM(K33:K34)</f>
        <v>2002800</v>
      </c>
      <c r="L35" s="640">
        <f>SUM(L33:L34)</f>
        <v>3300000</v>
      </c>
      <c r="M35" s="441">
        <f>M33</f>
        <v>11369601.24</v>
      </c>
      <c r="N35" s="442">
        <f>SUM(N33:N34)</f>
        <v>2378700</v>
      </c>
      <c r="O35" s="441">
        <f>O33</f>
        <v>9332801.2400000002</v>
      </c>
      <c r="P35" s="442">
        <f>SUM(P33:P34)</f>
        <v>2299550</v>
      </c>
      <c r="Q35" s="441">
        <f>Q33</f>
        <v>7296001.2400000002</v>
      </c>
      <c r="R35" s="442">
        <f>SUM(R33:R34)</f>
        <v>1506360</v>
      </c>
      <c r="S35" s="446">
        <f>S33</f>
        <v>5991201.2400000002</v>
      </c>
      <c r="T35" s="640">
        <f>T33+T34</f>
        <v>1470540</v>
      </c>
      <c r="U35" s="446">
        <f>U33</f>
        <v>4686401.24</v>
      </c>
      <c r="V35" s="640">
        <f>SUM(V33:V34)</f>
        <v>1434500</v>
      </c>
      <c r="W35" s="446">
        <f>W33</f>
        <v>3381601.24</v>
      </c>
      <c r="X35" s="711">
        <f>SUM(X33:X34)</f>
        <v>1398600</v>
      </c>
      <c r="Y35" s="446">
        <f>Y33</f>
        <v>2076601.2400000002</v>
      </c>
      <c r="Z35" s="711">
        <f>SUM(Z33:Z34)</f>
        <v>943200</v>
      </c>
      <c r="AA35" s="446">
        <f>AA33</f>
        <v>1191601.2400000002</v>
      </c>
      <c r="AB35" s="447">
        <f>SUM(AB33:AB34)</f>
        <v>804901.24</v>
      </c>
      <c r="AC35" s="446">
        <f>AC33</f>
        <v>420000</v>
      </c>
      <c r="AD35" s="482">
        <f>AD33+AD34</f>
        <v>0</v>
      </c>
      <c r="AE35" s="513">
        <f>AE28</f>
        <v>420000</v>
      </c>
      <c r="AF35" s="716">
        <f>AF28</f>
        <v>431300</v>
      </c>
      <c r="AG35" s="484">
        <v>0</v>
      </c>
    </row>
    <row r="36" spans="1:33" hidden="1" x14ac:dyDescent="0.2">
      <c r="B36" s="514"/>
    </row>
    <row r="37" spans="1:33" hidden="1" x14ac:dyDescent="0.2">
      <c r="B37" s="514" t="s">
        <v>986</v>
      </c>
      <c r="G37" s="515">
        <v>467200</v>
      </c>
      <c r="H37" s="515"/>
      <c r="J37" s="515"/>
      <c r="K37" s="515">
        <v>338200</v>
      </c>
      <c r="L37" s="515"/>
      <c r="M37" s="515"/>
      <c r="N37" s="515">
        <v>276625</v>
      </c>
      <c r="O37" s="515"/>
      <c r="P37" s="515">
        <v>214450</v>
      </c>
      <c r="Q37" s="515"/>
      <c r="R37" s="515">
        <v>152975</v>
      </c>
      <c r="S37" s="515"/>
      <c r="T37" s="515">
        <v>121900</v>
      </c>
      <c r="U37" s="515"/>
      <c r="V37" s="515">
        <v>90825</v>
      </c>
      <c r="W37" s="515"/>
      <c r="X37" s="515">
        <v>46550</v>
      </c>
      <c r="Y37" s="515"/>
      <c r="Z37" s="515">
        <v>25175</v>
      </c>
      <c r="AA37" s="515"/>
      <c r="AB37" s="515">
        <v>12300</v>
      </c>
      <c r="AC37" s="515"/>
      <c r="AD37" s="515"/>
      <c r="AE37" s="515"/>
      <c r="AF37" s="515">
        <v>0</v>
      </c>
      <c r="AG37" s="515"/>
    </row>
    <row r="38" spans="1:33" hidden="1" x14ac:dyDescent="0.2">
      <c r="B38" s="514"/>
      <c r="G38" s="515">
        <f>G34-G37</f>
        <v>-70000</v>
      </c>
      <c r="H38" s="515"/>
      <c r="J38" s="515"/>
      <c r="K38" s="515">
        <f t="shared" ref="K38" si="6">K34-K37</f>
        <v>-12200</v>
      </c>
      <c r="L38" s="515"/>
      <c r="M38" s="515"/>
      <c r="N38" s="515">
        <f t="shared" ref="N38" si="7">N34-N37</f>
        <v>65275</v>
      </c>
      <c r="O38" s="515"/>
      <c r="P38" s="515">
        <f t="shared" ref="P38:AG38" si="8">P34-P37</f>
        <v>48300</v>
      </c>
      <c r="Q38" s="515">
        <f t="shared" si="8"/>
        <v>0</v>
      </c>
      <c r="R38" s="515">
        <f t="shared" si="8"/>
        <v>48585</v>
      </c>
      <c r="S38" s="515">
        <f t="shared" si="8"/>
        <v>0</v>
      </c>
      <c r="T38" s="515">
        <f t="shared" si="8"/>
        <v>43840</v>
      </c>
      <c r="U38" s="515">
        <f t="shared" si="8"/>
        <v>0</v>
      </c>
      <c r="V38" s="515">
        <f t="shared" si="8"/>
        <v>38875</v>
      </c>
      <c r="W38" s="515">
        <f t="shared" si="8"/>
        <v>0</v>
      </c>
      <c r="X38" s="515">
        <f t="shared" si="8"/>
        <v>47050</v>
      </c>
      <c r="Y38" s="515">
        <f t="shared" si="8"/>
        <v>0</v>
      </c>
      <c r="Z38" s="515">
        <f t="shared" si="8"/>
        <v>33025</v>
      </c>
      <c r="AA38" s="515">
        <f t="shared" si="8"/>
        <v>0</v>
      </c>
      <c r="AB38" s="515">
        <f t="shared" si="8"/>
        <v>21000</v>
      </c>
      <c r="AC38" s="515">
        <f t="shared" si="8"/>
        <v>0</v>
      </c>
      <c r="AD38" s="515">
        <f t="shared" si="8"/>
        <v>0</v>
      </c>
      <c r="AE38" s="515">
        <f t="shared" si="8"/>
        <v>0</v>
      </c>
      <c r="AF38" s="515">
        <f t="shared" si="8"/>
        <v>11300</v>
      </c>
      <c r="AG38" s="515">
        <f t="shared" si="8"/>
        <v>0</v>
      </c>
    </row>
    <row r="39" spans="1:33" x14ac:dyDescent="0.2">
      <c r="G39" s="515"/>
      <c r="H39" s="515"/>
      <c r="J39" s="515"/>
      <c r="K39" s="515"/>
      <c r="L39" s="515"/>
      <c r="M39" s="515"/>
      <c r="N39" s="515"/>
      <c r="O39" s="515"/>
      <c r="P39" s="515"/>
      <c r="Q39" s="515"/>
      <c r="R39" s="515"/>
      <c r="S39" s="515"/>
      <c r="T39" s="515"/>
      <c r="U39" s="515"/>
      <c r="V39" s="515"/>
      <c r="W39" s="515"/>
      <c r="X39" s="515"/>
      <c r="Y39" s="515"/>
      <c r="Z39" s="515"/>
      <c r="AA39" s="515"/>
      <c r="AB39" s="515"/>
      <c r="AC39" s="515"/>
      <c r="AD39" s="515"/>
      <c r="AE39" s="515"/>
      <c r="AF39" s="515"/>
      <c r="AG39" s="515"/>
    </row>
    <row r="40" spans="1:33" x14ac:dyDescent="0.2">
      <c r="G40" s="515"/>
      <c r="H40" s="515"/>
      <c r="J40" s="515"/>
      <c r="K40" s="515"/>
      <c r="L40" s="515"/>
      <c r="M40" s="515"/>
      <c r="N40" s="515"/>
      <c r="O40" s="515"/>
      <c r="P40" s="515"/>
      <c r="Q40" s="515"/>
      <c r="R40" s="515"/>
      <c r="S40" s="515"/>
      <c r="T40" s="515"/>
      <c r="U40" s="515"/>
      <c r="V40" s="515"/>
      <c r="W40" s="515"/>
      <c r="X40" s="515"/>
      <c r="Y40" s="515"/>
      <c r="Z40" s="515"/>
      <c r="AA40" s="515"/>
      <c r="AB40" s="515"/>
      <c r="AC40" s="515"/>
      <c r="AD40" s="515"/>
      <c r="AE40" s="515"/>
      <c r="AF40" s="515"/>
      <c r="AG40" s="515"/>
    </row>
  </sheetData>
  <sheetProtection selectLockedCells="1" selectUnlockedCells="1"/>
  <mergeCells count="30">
    <mergeCell ref="B26:B28"/>
    <mergeCell ref="B33:B35"/>
    <mergeCell ref="B11:B13"/>
    <mergeCell ref="B14:B16"/>
    <mergeCell ref="A17:B19"/>
    <mergeCell ref="A20:A22"/>
    <mergeCell ref="B20:B22"/>
    <mergeCell ref="A23:B25"/>
    <mergeCell ref="Z3:AA3"/>
    <mergeCell ref="AB3:AC3"/>
    <mergeCell ref="AD3:AE3"/>
    <mergeCell ref="AF3:AG3"/>
    <mergeCell ref="B5:B7"/>
    <mergeCell ref="V3:W3"/>
    <mergeCell ref="X3:Y3"/>
    <mergeCell ref="B8:B10"/>
    <mergeCell ref="N3:O3"/>
    <mergeCell ref="P3:Q3"/>
    <mergeCell ref="R3:S3"/>
    <mergeCell ref="T3:U3"/>
    <mergeCell ref="G1:M1"/>
    <mergeCell ref="A3:A4"/>
    <mergeCell ref="B3:B4"/>
    <mergeCell ref="C3:C4"/>
    <mergeCell ref="D3:D4"/>
    <mergeCell ref="E3:F3"/>
    <mergeCell ref="G3:H3"/>
    <mergeCell ref="I3:I4"/>
    <mergeCell ref="J3:J4"/>
    <mergeCell ref="K3:M3"/>
  </mergeCells>
  <pageMargins left="0.98425196850393704" right="0" top="1.1023622047244095" bottom="0.11811023622047245" header="0.59055118110236227" footer="3.937007874015748E-2"/>
  <pageSetup paperSize="9" firstPageNumber="0" fitToWidth="0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Zał. Nr 1</vt:lpstr>
      <vt:lpstr>Zał. Nr 2</vt:lpstr>
      <vt:lpstr> prognoza zadłużenia 2017 -2026</vt:lpstr>
      <vt:lpstr>' prognoza zadłużenia 2017 -2026'!Excel_BuiltIn_Print_Titles_1</vt:lpstr>
      <vt:lpstr>' prognoza zadłużenia 2017 -2026'!Tytuły_wydruku</vt:lpstr>
      <vt:lpstr>'Zał. Nr 1'!Tytuły_wydruku</vt:lpstr>
      <vt:lpstr>'Zał. Nr 2'!Tytuły_wydruku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2016-11-08T09:20:56Z</cp:lastPrinted>
  <dcterms:created xsi:type="dcterms:W3CDTF">2016-10-28T07:44:33Z</dcterms:created>
  <dcterms:modified xsi:type="dcterms:W3CDTF">2016-11-08T09:38:24Z</dcterms:modified>
</cp:coreProperties>
</file>