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activeTab="1"/>
  </bookViews>
  <sheets>
    <sheet name=" Zał.1 Dochody  " sheetId="1" r:id="rId1"/>
    <sheet name="Zał. 2 Wydatki   " sheetId="2" r:id="rId2"/>
    <sheet name=" prognoza zadłużenia 2015) " sheetId="3" r:id="rId3"/>
  </sheets>
  <externalReferences>
    <externalReference r:id="rId4"/>
  </externalReferences>
  <definedNames>
    <definedName name="_xlnm._FilterDatabase" localSheetId="1" hidden="1">'Zał. 2 Wydatki   '!$A$3:$N$549</definedName>
    <definedName name="Excel_BuiltIn_Print_Titles_1" localSheetId="2">' prognoza zadłużenia 2015) '!$A:$B</definedName>
    <definedName name="Excel_BuiltIn_Print_Titles_2" localSheetId="2">#REF!</definedName>
    <definedName name="Excel_BuiltIn_Print_Titles_2" localSheetId="0">#REF!</definedName>
    <definedName name="Excel_BuiltIn_Print_Titles_2" localSheetId="1">#REF!</definedName>
    <definedName name="Excel_BuiltIn_Print_Titles_2">#REF!</definedName>
    <definedName name="Excel_BuiltIn_Print_Titles_2_1" localSheetId="2">#REF!</definedName>
    <definedName name="Excel_BuiltIn_Print_Titles_2_1" localSheetId="0">#REF!</definedName>
    <definedName name="Excel_BuiltIn_Print_Titles_2_1" localSheetId="1">#REF!</definedName>
    <definedName name="Excel_BuiltIn_Print_Titles_2_1">#REF!</definedName>
    <definedName name="Excel_BuiltIn_Print_Titles_2_1_1" localSheetId="2">#REF!</definedName>
    <definedName name="Excel_BuiltIn_Print_Titles_2_1_1" localSheetId="0">#REF!</definedName>
    <definedName name="Excel_BuiltIn_Print_Titles_2_1_1" localSheetId="1">#REF!</definedName>
    <definedName name="Excel_BuiltIn_Print_Titles_2_1_1">#REF!</definedName>
    <definedName name="Excel_BuiltIn_Print_Titles_3_1" localSheetId="2">#REF!</definedName>
    <definedName name="Excel_BuiltIn_Print_Titles_3_1" localSheetId="0">#REF!</definedName>
    <definedName name="Excel_BuiltIn_Print_Titles_3_1" localSheetId="1">#REF!</definedName>
    <definedName name="Excel_BuiltIn_Print_Titles_3_1">#REF!</definedName>
    <definedName name="Excel_BuiltIn_Print_Titles_5" localSheetId="2">#REF!</definedName>
    <definedName name="Excel_BuiltIn_Print_Titles_5" localSheetId="0">#REF!</definedName>
    <definedName name="Excel_BuiltIn_Print_Titles_5" localSheetId="1">#REF!</definedName>
    <definedName name="Excel_BuiltIn_Print_Titles_5">#REF!</definedName>
    <definedName name="Excel_BuiltIn_Print_Titles_5_1" localSheetId="2">#REF!</definedName>
    <definedName name="Excel_BuiltIn_Print_Titles_5_1" localSheetId="0">#REF!</definedName>
    <definedName name="Excel_BuiltIn_Print_Titles_5_1" localSheetId="1">#REF!</definedName>
    <definedName name="Excel_BuiltIn_Print_Titles_5_1">#REF!</definedName>
    <definedName name="Excel_BuiltIn_Print_Titles_6" localSheetId="2">#REF!</definedName>
    <definedName name="Excel_BuiltIn_Print_Titles_6" localSheetId="0">#REF!</definedName>
    <definedName name="Excel_BuiltIn_Print_Titles_6" localSheetId="1">#REF!</definedName>
    <definedName name="Excel_BuiltIn_Print_Titles_6">#REF!</definedName>
    <definedName name="Excel_BuiltIn_Print_Titles_6_1" localSheetId="2">#REF!</definedName>
    <definedName name="Excel_BuiltIn_Print_Titles_6_1" localSheetId="0">#REF!</definedName>
    <definedName name="Excel_BuiltIn_Print_Titles_6_1" localSheetId="1">#REF!</definedName>
    <definedName name="Excel_BuiltIn_Print_Titles_6_1">#REF!</definedName>
    <definedName name="Excel_BuiltIn_Print_Titles_8" localSheetId="2">#REF!</definedName>
    <definedName name="Excel_BuiltIn_Print_Titles_8" localSheetId="0">#REF!</definedName>
    <definedName name="Excel_BuiltIn_Print_Titles_8" localSheetId="1">#REF!</definedName>
    <definedName name="Excel_BuiltIn_Print_Titles_8">#REF!</definedName>
    <definedName name="Excel_BuiltIn_Print_Titles_8_1" localSheetId="2">#REF!</definedName>
    <definedName name="Excel_BuiltIn_Print_Titles_8_1" localSheetId="0">#REF!</definedName>
    <definedName name="Excel_BuiltIn_Print_Titles_8_1" localSheetId="1">#REF!</definedName>
    <definedName name="Excel_BuiltIn_Print_Titles_8_1">#REF!</definedName>
    <definedName name="_xlnm.Print_Titles" localSheetId="2">' prognoza zadłużenia 2015) '!$A:$B,' prognoza zadłużenia 2015) '!$1:$1</definedName>
    <definedName name="_xlnm.Print_Titles" localSheetId="0">' Zał.1 Dochody  '!$4:$4</definedName>
    <definedName name="_xlnm.Print_Titles" localSheetId="1">'Zał. 2 Wydatki   '!$3:$3</definedName>
  </definedNames>
  <calcPr calcId="145621"/>
</workbook>
</file>

<file path=xl/calcChain.xml><?xml version="1.0" encoding="utf-8"?>
<calcChain xmlns="http://schemas.openxmlformats.org/spreadsheetml/2006/main">
  <c r="K552" i="2" l="1"/>
  <c r="K553" i="2"/>
  <c r="K551" i="2"/>
  <c r="H553" i="2"/>
  <c r="H552" i="2"/>
  <c r="H551" i="2"/>
  <c r="K544" i="2"/>
  <c r="K545" i="2"/>
  <c r="K546" i="2"/>
  <c r="K547" i="2"/>
  <c r="K548" i="2"/>
  <c r="K543" i="2"/>
  <c r="H544" i="2"/>
  <c r="H545" i="2"/>
  <c r="H546" i="2"/>
  <c r="H547" i="2"/>
  <c r="H548" i="2"/>
  <c r="G71" i="2"/>
  <c r="I545" i="2"/>
  <c r="I543" i="2" s="1"/>
  <c r="G548" i="2"/>
  <c r="I548" i="2"/>
  <c r="J548" i="2"/>
  <c r="G547" i="2"/>
  <c r="I547" i="2"/>
  <c r="J547" i="2"/>
  <c r="G546" i="2"/>
  <c r="I546" i="2"/>
  <c r="J546" i="2"/>
  <c r="G545" i="2"/>
  <c r="J545" i="2"/>
  <c r="J543" i="2" s="1"/>
  <c r="J549" i="2"/>
  <c r="I549" i="2"/>
  <c r="G544" i="2"/>
  <c r="I544" i="2"/>
  <c r="J544" i="2"/>
  <c r="G543" i="2"/>
  <c r="F547" i="2"/>
  <c r="F548" i="2"/>
  <c r="F545" i="2"/>
  <c r="F543" i="2" s="1"/>
  <c r="F546" i="2"/>
  <c r="G553" i="2"/>
  <c r="J553" i="2"/>
  <c r="L553" i="2"/>
  <c r="M553" i="2"/>
  <c r="N553" i="2"/>
  <c r="O553" i="2"/>
  <c r="P553" i="2"/>
  <c r="Q553" i="2"/>
  <c r="R553" i="2"/>
  <c r="S553" i="2"/>
  <c r="T553" i="2"/>
  <c r="U553" i="2"/>
  <c r="V553" i="2"/>
  <c r="X553" i="2"/>
  <c r="Y553" i="2"/>
  <c r="Z553" i="2"/>
  <c r="AA553" i="2"/>
  <c r="F553" i="2"/>
  <c r="G552" i="2"/>
  <c r="I552" i="2"/>
  <c r="J552" i="2"/>
  <c r="F552" i="2"/>
  <c r="G551" i="2"/>
  <c r="I551" i="2"/>
  <c r="J551" i="2"/>
  <c r="F551" i="2"/>
  <c r="I256" i="1"/>
  <c r="I255" i="1"/>
  <c r="I253" i="1"/>
  <c r="K255" i="1"/>
  <c r="H255" i="1"/>
  <c r="G255" i="1"/>
  <c r="J255" i="1"/>
  <c r="F255" i="1"/>
  <c r="H543" i="2" l="1"/>
  <c r="P549" i="2"/>
  <c r="W174" i="2"/>
  <c r="R549" i="2" l="1"/>
  <c r="T549" i="2"/>
  <c r="N350" i="2"/>
  <c r="O350" i="2"/>
  <c r="P350" i="2"/>
  <c r="Q350" i="2"/>
  <c r="R350" i="2"/>
  <c r="S350" i="2"/>
  <c r="T350" i="2"/>
  <c r="U350" i="2"/>
  <c r="V350" i="2"/>
  <c r="M350" i="2"/>
  <c r="W353" i="2"/>
  <c r="P544" i="2"/>
  <c r="Q544" i="2"/>
  <c r="S544" i="2"/>
  <c r="T544" i="2"/>
  <c r="U544" i="2"/>
  <c r="V544" i="2"/>
  <c r="Q549" i="2"/>
  <c r="S549" i="2"/>
  <c r="U549" i="2"/>
  <c r="V549" i="2"/>
  <c r="O549" i="2"/>
  <c r="O544" i="2"/>
  <c r="N549" i="2"/>
  <c r="N544" i="2"/>
  <c r="M549" i="2"/>
  <c r="M544" i="2"/>
  <c r="N29" i="2"/>
  <c r="O29" i="2"/>
  <c r="P29" i="2"/>
  <c r="Q29" i="2"/>
  <c r="R29" i="2"/>
  <c r="S29" i="2"/>
  <c r="T29" i="2"/>
  <c r="U29" i="2"/>
  <c r="V29" i="2"/>
  <c r="M29" i="2"/>
  <c r="J29" i="2"/>
  <c r="I29" i="2"/>
  <c r="G29" i="2"/>
  <c r="F29" i="2"/>
  <c r="W30" i="2"/>
  <c r="W29" i="2" s="1"/>
  <c r="K30" i="2"/>
  <c r="K29" i="2" l="1"/>
  <c r="G549" i="2"/>
  <c r="F549" i="2"/>
  <c r="K534" i="2"/>
  <c r="K535" i="2"/>
  <c r="K538" i="2"/>
  <c r="H534" i="2"/>
  <c r="H535" i="2"/>
  <c r="H536" i="2"/>
  <c r="H537" i="2"/>
  <c r="H538" i="2"/>
  <c r="H524" i="2"/>
  <c r="H525" i="2"/>
  <c r="H526" i="2"/>
  <c r="H527" i="2"/>
  <c r="H528" i="2"/>
  <c r="H529" i="2"/>
  <c r="H530" i="2"/>
  <c r="H531" i="2"/>
  <c r="K525" i="2"/>
  <c r="K526" i="2"/>
  <c r="K527" i="2"/>
  <c r="K528" i="2"/>
  <c r="K530" i="2"/>
  <c r="K531" i="2"/>
  <c r="K523" i="2"/>
  <c r="H518" i="2"/>
  <c r="H519" i="2"/>
  <c r="K518" i="2"/>
  <c r="K519" i="2"/>
  <c r="K514" i="2"/>
  <c r="K499" i="2"/>
  <c r="K501" i="2"/>
  <c r="K503" i="2"/>
  <c r="K504" i="2"/>
  <c r="K505" i="2"/>
  <c r="K506" i="2"/>
  <c r="K507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490" i="2"/>
  <c r="H491" i="2"/>
  <c r="H489" i="2"/>
  <c r="H485" i="2"/>
  <c r="H486" i="2"/>
  <c r="H480" i="2"/>
  <c r="K484" i="2"/>
  <c r="K485" i="2"/>
  <c r="K486" i="2"/>
  <c r="K479" i="2"/>
  <c r="K477" i="2"/>
  <c r="K474" i="2"/>
  <c r="K475" i="2"/>
  <c r="K473" i="2"/>
  <c r="H474" i="2"/>
  <c r="H475" i="2"/>
  <c r="K470" i="2"/>
  <c r="K471" i="2"/>
  <c r="K469" i="2"/>
  <c r="K466" i="2"/>
  <c r="K467" i="2"/>
  <c r="H466" i="2"/>
  <c r="H467" i="2"/>
  <c r="K460" i="2"/>
  <c r="K461" i="2"/>
  <c r="H459" i="2"/>
  <c r="H460" i="2"/>
  <c r="H461" i="2"/>
  <c r="K456" i="2"/>
  <c r="K455" i="2"/>
  <c r="H456" i="2"/>
  <c r="H455" i="2"/>
  <c r="K437" i="2"/>
  <c r="K438" i="2"/>
  <c r="K439" i="2"/>
  <c r="K440" i="2"/>
  <c r="K441" i="2"/>
  <c r="K442" i="2"/>
  <c r="K443" i="2"/>
  <c r="K444" i="2"/>
  <c r="K445" i="2"/>
  <c r="K446" i="2"/>
  <c r="K448" i="2"/>
  <c r="K449" i="2"/>
  <c r="K450" i="2"/>
  <c r="H437" i="2"/>
  <c r="H438" i="2"/>
  <c r="H439" i="2"/>
  <c r="H440" i="2"/>
  <c r="H441" i="2"/>
  <c r="H442" i="2"/>
  <c r="H443" i="2"/>
  <c r="H444" i="2"/>
  <c r="H445" i="2"/>
  <c r="H446" i="2"/>
  <c r="K433" i="2"/>
  <c r="H426" i="2"/>
  <c r="H427" i="2"/>
  <c r="H428" i="2"/>
  <c r="H429" i="2"/>
  <c r="H430" i="2"/>
  <c r="K426" i="2"/>
  <c r="K427" i="2"/>
  <c r="K428" i="2"/>
  <c r="K429" i="2"/>
  <c r="K430" i="2"/>
  <c r="H418" i="2"/>
  <c r="H419" i="2"/>
  <c r="H420" i="2"/>
  <c r="H421" i="2"/>
  <c r="K418" i="2"/>
  <c r="K419" i="2"/>
  <c r="K420" i="2"/>
  <c r="K421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392" i="2"/>
  <c r="K391" i="2"/>
  <c r="K385" i="2"/>
  <c r="K384" i="2"/>
  <c r="H384" i="2"/>
  <c r="K366" i="2"/>
  <c r="K367" i="2"/>
  <c r="K368" i="2"/>
  <c r="K369" i="2"/>
  <c r="K370" i="2"/>
  <c r="K371" i="2"/>
  <c r="K372" i="2"/>
  <c r="K373" i="2"/>
  <c r="K374" i="2"/>
  <c r="K376" i="2"/>
  <c r="K377" i="2"/>
  <c r="K378" i="2"/>
  <c r="K379" i="2"/>
  <c r="K380" i="2"/>
  <c r="K381" i="2"/>
  <c r="K382" i="2"/>
  <c r="H366" i="2"/>
  <c r="H367" i="2"/>
  <c r="H368" i="2"/>
  <c r="H369" i="2"/>
  <c r="H370" i="2"/>
  <c r="H371" i="2"/>
  <c r="H372" i="2"/>
  <c r="H373" i="2"/>
  <c r="H374" i="2"/>
  <c r="H376" i="2"/>
  <c r="H377" i="2"/>
  <c r="H378" i="2"/>
  <c r="H379" i="2"/>
  <c r="H380" i="2"/>
  <c r="H381" i="2"/>
  <c r="H382" i="2"/>
  <c r="H356" i="2"/>
  <c r="H357" i="2"/>
  <c r="H358" i="2"/>
  <c r="H359" i="2"/>
  <c r="H360" i="2"/>
  <c r="H361" i="2"/>
  <c r="H362" i="2"/>
  <c r="H363" i="2"/>
  <c r="H355" i="2"/>
  <c r="K356" i="2"/>
  <c r="K357" i="2"/>
  <c r="K358" i="2"/>
  <c r="K359" i="2"/>
  <c r="K360" i="2"/>
  <c r="K361" i="2"/>
  <c r="K362" i="2"/>
  <c r="K363" i="2"/>
  <c r="K355" i="2"/>
  <c r="J350" i="2"/>
  <c r="I350" i="2"/>
  <c r="G350" i="2"/>
  <c r="F350" i="2"/>
  <c r="H337" i="2"/>
  <c r="H338" i="2"/>
  <c r="H339" i="2"/>
  <c r="H340" i="2"/>
  <c r="H341" i="2"/>
  <c r="H342" i="2"/>
  <c r="H343" i="2"/>
  <c r="H344" i="2"/>
  <c r="H345" i="2"/>
  <c r="H346" i="2"/>
  <c r="K337" i="2"/>
  <c r="K338" i="2"/>
  <c r="K339" i="2"/>
  <c r="K340" i="2"/>
  <c r="K341" i="2"/>
  <c r="K342" i="2"/>
  <c r="K343" i="2"/>
  <c r="K344" i="2"/>
  <c r="K345" i="2"/>
  <c r="K346" i="2"/>
  <c r="H317" i="2"/>
  <c r="H318" i="2"/>
  <c r="H319" i="2"/>
  <c r="H320" i="2"/>
  <c r="H321" i="2"/>
  <c r="H322" i="2"/>
  <c r="H323" i="2"/>
  <c r="H324" i="2"/>
  <c r="H325" i="2"/>
  <c r="H326" i="2"/>
  <c r="H327" i="2"/>
  <c r="H329" i="2"/>
  <c r="H330" i="2"/>
  <c r="K317" i="2"/>
  <c r="K318" i="2"/>
  <c r="K319" i="2"/>
  <c r="K320" i="2"/>
  <c r="K321" i="2"/>
  <c r="K322" i="2"/>
  <c r="K323" i="2"/>
  <c r="K324" i="2"/>
  <c r="K325" i="2"/>
  <c r="K326" i="2"/>
  <c r="K327" i="2"/>
  <c r="K316" i="2"/>
  <c r="H313" i="2"/>
  <c r="H314" i="2"/>
  <c r="K313" i="2"/>
  <c r="K314" i="2"/>
  <c r="K312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K281" i="2"/>
  <c r="K282" i="2"/>
  <c r="K283" i="2"/>
  <c r="K284" i="2"/>
  <c r="K285" i="2"/>
  <c r="K286" i="2"/>
  <c r="K287" i="2"/>
  <c r="K288" i="2"/>
  <c r="K289" i="2"/>
  <c r="K290" i="2"/>
  <c r="K271" i="2"/>
  <c r="K272" i="2"/>
  <c r="K273" i="2"/>
  <c r="K274" i="2"/>
  <c r="K275" i="2"/>
  <c r="K276" i="2"/>
  <c r="K277" i="2"/>
  <c r="K278" i="2"/>
  <c r="K279" i="2"/>
  <c r="K280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46" i="2"/>
  <c r="K239" i="2"/>
  <c r="K240" i="2"/>
  <c r="K241" i="2"/>
  <c r="K242" i="2"/>
  <c r="H240" i="2"/>
  <c r="H241" i="2"/>
  <c r="H242" i="2"/>
  <c r="H239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K193" i="2"/>
  <c r="F191" i="2"/>
  <c r="K191" i="2" s="1"/>
  <c r="K188" i="2"/>
  <c r="K182" i="2"/>
  <c r="K183" i="2"/>
  <c r="K184" i="2"/>
  <c r="H182" i="2"/>
  <c r="H183" i="2"/>
  <c r="H184" i="2"/>
  <c r="H178" i="2"/>
  <c r="H179" i="2"/>
  <c r="K178" i="2"/>
  <c r="K179" i="2"/>
  <c r="K177" i="2"/>
  <c r="H162" i="2"/>
  <c r="H163" i="2"/>
  <c r="H164" i="2"/>
  <c r="H165" i="2"/>
  <c r="H166" i="2"/>
  <c r="H167" i="2"/>
  <c r="H168" i="2"/>
  <c r="H169" i="2"/>
  <c r="H170" i="2"/>
  <c r="H172" i="2"/>
  <c r="H173" i="2"/>
  <c r="H175" i="2"/>
  <c r="K162" i="2"/>
  <c r="K163" i="2"/>
  <c r="K164" i="2"/>
  <c r="K165" i="2"/>
  <c r="K166" i="2"/>
  <c r="K167" i="2"/>
  <c r="K168" i="2"/>
  <c r="K169" i="2"/>
  <c r="K170" i="2"/>
  <c r="K172" i="2"/>
  <c r="K173" i="2"/>
  <c r="K175" i="2"/>
  <c r="K161" i="2"/>
  <c r="H161" i="2"/>
  <c r="K159" i="2"/>
  <c r="K158" i="2"/>
  <c r="K150" i="2"/>
  <c r="K151" i="2"/>
  <c r="K152" i="2"/>
  <c r="K153" i="2"/>
  <c r="K154" i="2"/>
  <c r="K155" i="2"/>
  <c r="H150" i="2"/>
  <c r="H151" i="2"/>
  <c r="H152" i="2"/>
  <c r="H153" i="2"/>
  <c r="H154" i="2"/>
  <c r="H155" i="2"/>
  <c r="H149" i="2"/>
  <c r="K149" i="2"/>
  <c r="K142" i="2"/>
  <c r="K143" i="2"/>
  <c r="K144" i="2"/>
  <c r="K145" i="2"/>
  <c r="K146" i="2"/>
  <c r="K147" i="2"/>
  <c r="K141" i="2"/>
  <c r="H141" i="2"/>
  <c r="H138" i="2"/>
  <c r="H139" i="2"/>
  <c r="K138" i="2"/>
  <c r="K139" i="2"/>
  <c r="H133" i="2"/>
  <c r="H134" i="2"/>
  <c r="K133" i="2"/>
  <c r="K134" i="2"/>
  <c r="K129" i="2"/>
  <c r="K130" i="2"/>
  <c r="K126" i="2"/>
  <c r="H126" i="2"/>
  <c r="K104" i="2"/>
  <c r="K106" i="2"/>
  <c r="K107" i="2"/>
  <c r="K108" i="2"/>
  <c r="K109" i="2"/>
  <c r="K110" i="2"/>
  <c r="K112" i="2"/>
  <c r="K113" i="2"/>
  <c r="K114" i="2"/>
  <c r="K115" i="2"/>
  <c r="K116" i="2"/>
  <c r="K119" i="2"/>
  <c r="K120" i="2"/>
  <c r="K121" i="2"/>
  <c r="K122" i="2"/>
  <c r="K123" i="2"/>
  <c r="K124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9" i="2"/>
  <c r="H120" i="2"/>
  <c r="H121" i="2"/>
  <c r="H122" i="2"/>
  <c r="H123" i="2"/>
  <c r="H124" i="2"/>
  <c r="K101" i="2"/>
  <c r="H101" i="2"/>
  <c r="H98" i="2"/>
  <c r="H97" i="2"/>
  <c r="K98" i="2"/>
  <c r="K97" i="2"/>
  <c r="K94" i="2"/>
  <c r="K93" i="2"/>
  <c r="H82" i="2"/>
  <c r="H83" i="2"/>
  <c r="H84" i="2"/>
  <c r="K82" i="2"/>
  <c r="K83" i="2"/>
  <c r="K84" i="2"/>
  <c r="H74" i="2"/>
  <c r="H75" i="2"/>
  <c r="H76" i="2"/>
  <c r="H77" i="2"/>
  <c r="H78" i="2"/>
  <c r="H79" i="2"/>
  <c r="K74" i="2"/>
  <c r="K75" i="2"/>
  <c r="K76" i="2"/>
  <c r="K77" i="2"/>
  <c r="K78" i="2"/>
  <c r="K79" i="2"/>
  <c r="K53" i="2"/>
  <c r="K54" i="2"/>
  <c r="K55" i="2"/>
  <c r="K56" i="2"/>
  <c r="K57" i="2"/>
  <c r="K58" i="2"/>
  <c r="K59" i="2"/>
  <c r="K60" i="2"/>
  <c r="K61" i="2"/>
  <c r="K62" i="2"/>
  <c r="K63" i="2"/>
  <c r="K64" i="2"/>
  <c r="K52" i="2"/>
  <c r="H53" i="2"/>
  <c r="H54" i="2"/>
  <c r="H55" i="2"/>
  <c r="H56" i="2"/>
  <c r="H57" i="2"/>
  <c r="H58" i="2"/>
  <c r="H59" i="2"/>
  <c r="H60" i="2"/>
  <c r="H61" i="2"/>
  <c r="H62" i="2"/>
  <c r="H63" i="2"/>
  <c r="H64" i="2"/>
  <c r="K44" i="2"/>
  <c r="K45" i="2"/>
  <c r="K46" i="2"/>
  <c r="K47" i="2"/>
  <c r="H44" i="2"/>
  <c r="H45" i="2"/>
  <c r="H46" i="2"/>
  <c r="H47" i="2"/>
  <c r="K36" i="2"/>
  <c r="K37" i="2"/>
  <c r="K38" i="2"/>
  <c r="K39" i="2"/>
  <c r="K40" i="2"/>
  <c r="H36" i="2"/>
  <c r="H37" i="2"/>
  <c r="H38" i="2"/>
  <c r="H39" i="2"/>
  <c r="H40" i="2"/>
  <c r="K33" i="2"/>
  <c r="H32" i="2"/>
  <c r="H28" i="2"/>
  <c r="K32" i="2"/>
  <c r="H27" i="2"/>
  <c r="K22" i="2"/>
  <c r="K23" i="2"/>
  <c r="K24" i="2"/>
  <c r="H11" i="2"/>
  <c r="H12" i="2"/>
  <c r="H13" i="2"/>
  <c r="H14" i="2"/>
  <c r="H15" i="2"/>
  <c r="H16" i="2"/>
  <c r="H17" i="2"/>
  <c r="H18" i="2"/>
  <c r="K11" i="2"/>
  <c r="K12" i="2"/>
  <c r="K13" i="2"/>
  <c r="K14" i="2"/>
  <c r="K15" i="2"/>
  <c r="K16" i="2"/>
  <c r="K17" i="2"/>
  <c r="K18" i="2"/>
  <c r="K6" i="2"/>
  <c r="K256" i="1"/>
  <c r="K253" i="1"/>
  <c r="K248" i="1"/>
  <c r="K249" i="1"/>
  <c r="K250" i="1"/>
  <c r="K251" i="1"/>
  <c r="K252" i="1"/>
  <c r="K247" i="1"/>
  <c r="K196" i="1"/>
  <c r="K194" i="1"/>
  <c r="K189" i="1"/>
  <c r="K187" i="1"/>
  <c r="K186" i="1"/>
  <c r="K182" i="1"/>
  <c r="K181" i="1"/>
  <c r="K176" i="1"/>
  <c r="K175" i="1"/>
  <c r="K160" i="1"/>
  <c r="K159" i="1"/>
  <c r="K158" i="1"/>
  <c r="K157" i="1"/>
  <c r="K147" i="1"/>
  <c r="K141" i="1"/>
  <c r="K142" i="1"/>
  <c r="K133" i="1"/>
  <c r="K132" i="1"/>
  <c r="K129" i="1"/>
  <c r="K130" i="1"/>
  <c r="K116" i="1"/>
  <c r="K117" i="1"/>
  <c r="K120" i="1"/>
  <c r="K121" i="1"/>
  <c r="K122" i="1"/>
  <c r="K123" i="1"/>
  <c r="K112" i="1"/>
  <c r="K110" i="1"/>
  <c r="K85" i="1"/>
  <c r="K86" i="1"/>
  <c r="K74" i="1"/>
  <c r="K75" i="1"/>
  <c r="K76" i="1"/>
  <c r="K77" i="1"/>
  <c r="K78" i="1"/>
  <c r="K79" i="1"/>
  <c r="K81" i="1"/>
  <c r="K82" i="1"/>
  <c r="K65" i="1"/>
  <c r="K66" i="1"/>
  <c r="K67" i="1"/>
  <c r="K68" i="1"/>
  <c r="K69" i="1"/>
  <c r="K70" i="1"/>
  <c r="K71" i="1"/>
  <c r="K55" i="1"/>
  <c r="K32" i="1"/>
  <c r="K33" i="1"/>
  <c r="K34" i="1"/>
  <c r="K36" i="1"/>
  <c r="K37" i="1"/>
  <c r="K38" i="1"/>
  <c r="K39" i="1"/>
  <c r="K31" i="1"/>
  <c r="K20" i="1"/>
  <c r="K15" i="1"/>
  <c r="K16" i="1"/>
  <c r="K10" i="1"/>
  <c r="K9" i="1"/>
  <c r="H256" i="1"/>
  <c r="H253" i="1"/>
  <c r="H248" i="1"/>
  <c r="H249" i="1"/>
  <c r="H250" i="1"/>
  <c r="H251" i="1"/>
  <c r="H252" i="1"/>
  <c r="H247" i="1"/>
  <c r="H189" i="1"/>
  <c r="H187" i="1"/>
  <c r="H186" i="1"/>
  <c r="H182" i="1"/>
  <c r="H181" i="1"/>
  <c r="H175" i="1"/>
  <c r="H176" i="1"/>
  <c r="H174" i="1"/>
  <c r="H173" i="1"/>
  <c r="H141" i="1"/>
  <c r="H142" i="1"/>
  <c r="H136" i="1"/>
  <c r="H137" i="1"/>
  <c r="H138" i="1"/>
  <c r="H130" i="1"/>
  <c r="H85" i="1"/>
  <c r="H86" i="1"/>
  <c r="H74" i="1"/>
  <c r="H75" i="1"/>
  <c r="H76" i="1"/>
  <c r="H77" i="1"/>
  <c r="H78" i="1"/>
  <c r="H79" i="1"/>
  <c r="H81" i="1"/>
  <c r="H82" i="1"/>
  <c r="H65" i="1"/>
  <c r="H66" i="1"/>
  <c r="H67" i="1"/>
  <c r="H68" i="1"/>
  <c r="H69" i="1"/>
  <c r="H70" i="1"/>
  <c r="H71" i="1"/>
  <c r="H55" i="1"/>
  <c r="H46" i="1"/>
  <c r="H48" i="1"/>
  <c r="H36" i="1"/>
  <c r="H37" i="1"/>
  <c r="H38" i="1"/>
  <c r="H39" i="1"/>
  <c r="H32" i="1"/>
  <c r="H33" i="1"/>
  <c r="H34" i="1"/>
  <c r="H15" i="1"/>
  <c r="H16" i="1"/>
  <c r="H10" i="1"/>
  <c r="H31" i="1"/>
  <c r="H110" i="1"/>
  <c r="H147" i="1"/>
  <c r="G256" i="1"/>
  <c r="J256" i="1"/>
  <c r="G253" i="1"/>
  <c r="J253" i="1"/>
  <c r="F253" i="1"/>
  <c r="W25" i="3"/>
  <c r="S25" i="3"/>
  <c r="O25" i="3"/>
  <c r="K25" i="3"/>
  <c r="AC24" i="3"/>
  <c r="AC27" i="3" s="1"/>
  <c r="AC34" i="3" s="1"/>
  <c r="AA24" i="3"/>
  <c r="AA25" i="3" s="1"/>
  <c r="G24" i="3"/>
  <c r="G25" i="3" s="1"/>
  <c r="E24" i="3"/>
  <c r="AC23" i="3"/>
  <c r="AC26" i="3" s="1"/>
  <c r="AC33" i="3" s="1"/>
  <c r="AC35" i="3" s="1"/>
  <c r="AA23" i="3"/>
  <c r="Y23" i="3"/>
  <c r="Y26" i="3" s="1"/>
  <c r="W23" i="3"/>
  <c r="U23" i="3"/>
  <c r="U26" i="3" s="1"/>
  <c r="S23" i="3"/>
  <c r="Q23" i="3"/>
  <c r="Q26" i="3" s="1"/>
  <c r="O23" i="3"/>
  <c r="M23" i="3"/>
  <c r="M25" i="3" s="1"/>
  <c r="K23" i="3"/>
  <c r="I23" i="3"/>
  <c r="I26" i="3" s="1"/>
  <c r="H23" i="3"/>
  <c r="H25" i="3" s="1"/>
  <c r="G23" i="3"/>
  <c r="F23" i="3"/>
  <c r="F25" i="3" s="1"/>
  <c r="E23" i="3"/>
  <c r="E25" i="3" s="1"/>
  <c r="D23" i="3"/>
  <c r="AC22" i="3"/>
  <c r="AA22" i="3"/>
  <c r="Y22" i="3"/>
  <c r="W22" i="3"/>
  <c r="U22" i="3"/>
  <c r="S22" i="3"/>
  <c r="Q22" i="3"/>
  <c r="O22" i="3"/>
  <c r="M22" i="3"/>
  <c r="K22" i="3"/>
  <c r="I22" i="3"/>
  <c r="H22" i="3"/>
  <c r="G22" i="3"/>
  <c r="F22" i="3"/>
  <c r="E22" i="3"/>
  <c r="J20" i="3"/>
  <c r="J23" i="3" s="1"/>
  <c r="J25" i="3" s="1"/>
  <c r="Y19" i="3"/>
  <c r="U19" i="3"/>
  <c r="Q19" i="3"/>
  <c r="M19" i="3"/>
  <c r="I19" i="3"/>
  <c r="E19" i="3"/>
  <c r="AA18" i="3"/>
  <c r="AA27" i="3" s="1"/>
  <c r="AA34" i="3" s="1"/>
  <c r="Y18" i="3"/>
  <c r="Y27" i="3" s="1"/>
  <c r="Y34" i="3" s="1"/>
  <c r="W18" i="3"/>
  <c r="W27" i="3" s="1"/>
  <c r="W34" i="3" s="1"/>
  <c r="U18" i="3"/>
  <c r="U27" i="3" s="1"/>
  <c r="U34" i="3" s="1"/>
  <c r="S18" i="3"/>
  <c r="S27" i="3" s="1"/>
  <c r="S34" i="3" s="1"/>
  <c r="Q18" i="3"/>
  <c r="Q27" i="3" s="1"/>
  <c r="Q34" i="3" s="1"/>
  <c r="O18" i="3"/>
  <c r="O27" i="3" s="1"/>
  <c r="O34" i="3" s="1"/>
  <c r="M18" i="3"/>
  <c r="M27" i="3" s="1"/>
  <c r="M34" i="3" s="1"/>
  <c r="K18" i="3"/>
  <c r="K27" i="3" s="1"/>
  <c r="K34" i="3" s="1"/>
  <c r="I18" i="3"/>
  <c r="I27" i="3" s="1"/>
  <c r="I34" i="3" s="1"/>
  <c r="G18" i="3"/>
  <c r="G27" i="3" s="1"/>
  <c r="G34" i="3" s="1"/>
  <c r="E18" i="3"/>
  <c r="E27" i="3" s="1"/>
  <c r="E34" i="3" s="1"/>
  <c r="AA17" i="3"/>
  <c r="AA19" i="3" s="1"/>
  <c r="Y17" i="3"/>
  <c r="W17" i="3"/>
  <c r="W19" i="3" s="1"/>
  <c r="U17" i="3"/>
  <c r="S17" i="3"/>
  <c r="S19" i="3" s="1"/>
  <c r="Q17" i="3"/>
  <c r="O17" i="3"/>
  <c r="O19" i="3" s="1"/>
  <c r="M17" i="3"/>
  <c r="M26" i="3" s="1"/>
  <c r="K17" i="3"/>
  <c r="K19" i="3" s="1"/>
  <c r="I17" i="3"/>
  <c r="G17" i="3"/>
  <c r="G19" i="3" s="1"/>
  <c r="E17" i="3"/>
  <c r="E26" i="3" s="1"/>
  <c r="D17" i="3"/>
  <c r="D26" i="3" s="1"/>
  <c r="AA16" i="3"/>
  <c r="Y16" i="3"/>
  <c r="W16" i="3"/>
  <c r="U16" i="3"/>
  <c r="S16" i="3"/>
  <c r="Q16" i="3"/>
  <c r="O16" i="3"/>
  <c r="M16" i="3"/>
  <c r="K16" i="3"/>
  <c r="I16" i="3"/>
  <c r="G16" i="3"/>
  <c r="F16" i="3"/>
  <c r="E16" i="3"/>
  <c r="H14" i="3"/>
  <c r="J14" i="3" s="1"/>
  <c r="F14" i="3"/>
  <c r="O13" i="3"/>
  <c r="M13" i="3"/>
  <c r="K13" i="3"/>
  <c r="I13" i="3"/>
  <c r="G13" i="3"/>
  <c r="E13" i="3"/>
  <c r="J11" i="3"/>
  <c r="L11" i="3" s="1"/>
  <c r="H11" i="3"/>
  <c r="F11" i="3"/>
  <c r="F13" i="3" s="1"/>
  <c r="Y10" i="3"/>
  <c r="W10" i="3"/>
  <c r="U10" i="3"/>
  <c r="S10" i="3"/>
  <c r="Q10" i="3"/>
  <c r="O10" i="3"/>
  <c r="M10" i="3"/>
  <c r="K10" i="3"/>
  <c r="I10" i="3"/>
  <c r="G10" i="3"/>
  <c r="E10" i="3"/>
  <c r="H8" i="3"/>
  <c r="J8" i="3" s="1"/>
  <c r="L8" i="3" s="1"/>
  <c r="N8" i="3" s="1"/>
  <c r="P8" i="3" s="1"/>
  <c r="R8" i="3" s="1"/>
  <c r="T8" i="3" s="1"/>
  <c r="V8" i="3" s="1"/>
  <c r="X8" i="3" s="1"/>
  <c r="Z8" i="3" s="1"/>
  <c r="F8" i="3"/>
  <c r="F10" i="3" s="1"/>
  <c r="W7" i="3"/>
  <c r="U7" i="3"/>
  <c r="S7" i="3"/>
  <c r="Q7" i="3"/>
  <c r="O7" i="3"/>
  <c r="M7" i="3"/>
  <c r="K7" i="3"/>
  <c r="I7" i="3"/>
  <c r="H7" i="3"/>
  <c r="G7" i="3"/>
  <c r="E7" i="3"/>
  <c r="D6" i="3"/>
  <c r="J5" i="3"/>
  <c r="J17" i="3" s="1"/>
  <c r="H5" i="3"/>
  <c r="H17" i="3" s="1"/>
  <c r="F5" i="3"/>
  <c r="F7" i="3" s="1"/>
  <c r="F558" i="2"/>
  <c r="F556" i="2"/>
  <c r="W538" i="2"/>
  <c r="W537" i="2"/>
  <c r="J537" i="2"/>
  <c r="K537" i="2" s="1"/>
  <c r="W536" i="2"/>
  <c r="J536" i="2"/>
  <c r="K536" i="2" s="1"/>
  <c r="W535" i="2"/>
  <c r="W534" i="2"/>
  <c r="W533" i="2"/>
  <c r="K533" i="2"/>
  <c r="H533" i="2"/>
  <c r="V532" i="2"/>
  <c r="U532" i="2"/>
  <c r="T532" i="2"/>
  <c r="S532" i="2"/>
  <c r="R532" i="2"/>
  <c r="Q532" i="2"/>
  <c r="P532" i="2"/>
  <c r="O532" i="2"/>
  <c r="N532" i="2"/>
  <c r="M532" i="2"/>
  <c r="L532" i="2"/>
  <c r="I532" i="2"/>
  <c r="G532" i="2"/>
  <c r="F532" i="2"/>
  <c r="W531" i="2"/>
  <c r="W530" i="2"/>
  <c r="W529" i="2"/>
  <c r="J529" i="2"/>
  <c r="K529" i="2" s="1"/>
  <c r="W528" i="2"/>
  <c r="W527" i="2"/>
  <c r="W526" i="2"/>
  <c r="W525" i="2"/>
  <c r="W524" i="2"/>
  <c r="K524" i="2"/>
  <c r="W523" i="2"/>
  <c r="H523" i="2"/>
  <c r="V522" i="2"/>
  <c r="U522" i="2"/>
  <c r="T522" i="2"/>
  <c r="S522" i="2"/>
  <c r="R522" i="2"/>
  <c r="Q522" i="2"/>
  <c r="Q521" i="2" s="1"/>
  <c r="P522" i="2"/>
  <c r="O522" i="2"/>
  <c r="N522" i="2"/>
  <c r="M522" i="2"/>
  <c r="I522" i="2"/>
  <c r="G522" i="2"/>
  <c r="F522" i="2"/>
  <c r="S521" i="2"/>
  <c r="W520" i="2"/>
  <c r="W519" i="2"/>
  <c r="W518" i="2"/>
  <c r="W517" i="2"/>
  <c r="K517" i="2"/>
  <c r="H517" i="2"/>
  <c r="W516" i="2"/>
  <c r="V515" i="2"/>
  <c r="U515" i="2"/>
  <c r="T515" i="2"/>
  <c r="S515" i="2"/>
  <c r="R515" i="2"/>
  <c r="Q515" i="2"/>
  <c r="P515" i="2"/>
  <c r="O515" i="2"/>
  <c r="N515" i="2"/>
  <c r="M515" i="2"/>
  <c r="J515" i="2"/>
  <c r="I515" i="2"/>
  <c r="G515" i="2"/>
  <c r="F515" i="2"/>
  <c r="W514" i="2"/>
  <c r="H514" i="2"/>
  <c r="V513" i="2"/>
  <c r="U513" i="2"/>
  <c r="T513" i="2"/>
  <c r="S513" i="2"/>
  <c r="R513" i="2"/>
  <c r="Q513" i="2"/>
  <c r="P513" i="2"/>
  <c r="O513" i="2"/>
  <c r="N513" i="2"/>
  <c r="M513" i="2"/>
  <c r="J513" i="2"/>
  <c r="K513" i="2" s="1"/>
  <c r="I513" i="2"/>
  <c r="G513" i="2"/>
  <c r="F513" i="2"/>
  <c r="W512" i="2"/>
  <c r="K512" i="2"/>
  <c r="H512" i="2"/>
  <c r="V511" i="2"/>
  <c r="U511" i="2"/>
  <c r="T511" i="2"/>
  <c r="S511" i="2"/>
  <c r="R511" i="2"/>
  <c r="Q511" i="2"/>
  <c r="P511" i="2"/>
  <c r="O511" i="2"/>
  <c r="N511" i="2"/>
  <c r="M511" i="2"/>
  <c r="J511" i="2"/>
  <c r="K511" i="2" s="1"/>
  <c r="I511" i="2"/>
  <c r="G511" i="2"/>
  <c r="F511" i="2"/>
  <c r="W510" i="2"/>
  <c r="K510" i="2"/>
  <c r="H510" i="2"/>
  <c r="W509" i="2"/>
  <c r="K509" i="2"/>
  <c r="H509" i="2"/>
  <c r="V508" i="2"/>
  <c r="U508" i="2"/>
  <c r="T508" i="2"/>
  <c r="S508" i="2"/>
  <c r="R508" i="2"/>
  <c r="Q508" i="2"/>
  <c r="P508" i="2"/>
  <c r="O508" i="2"/>
  <c r="N508" i="2"/>
  <c r="M508" i="2"/>
  <c r="J508" i="2"/>
  <c r="K508" i="2" s="1"/>
  <c r="I508" i="2"/>
  <c r="G508" i="2"/>
  <c r="F508" i="2"/>
  <c r="W507" i="2"/>
  <c r="W506" i="2"/>
  <c r="W505" i="2"/>
  <c r="W504" i="2"/>
  <c r="W503" i="2"/>
  <c r="W502" i="2"/>
  <c r="J502" i="2"/>
  <c r="K502" i="2" s="1"/>
  <c r="W501" i="2"/>
  <c r="W500" i="2"/>
  <c r="J500" i="2"/>
  <c r="K500" i="2" s="1"/>
  <c r="W499" i="2"/>
  <c r="W498" i="2"/>
  <c r="J498" i="2"/>
  <c r="K498" i="2" s="1"/>
  <c r="W497" i="2"/>
  <c r="J497" i="2"/>
  <c r="K497" i="2" s="1"/>
  <c r="W496" i="2"/>
  <c r="J496" i="2"/>
  <c r="K496" i="2" s="1"/>
  <c r="W495" i="2"/>
  <c r="J495" i="2"/>
  <c r="K495" i="2" s="1"/>
  <c r="W494" i="2"/>
  <c r="J494" i="2"/>
  <c r="K494" i="2" s="1"/>
  <c r="W493" i="2"/>
  <c r="K493" i="2"/>
  <c r="H493" i="2"/>
  <c r="V492" i="2"/>
  <c r="U492" i="2"/>
  <c r="T492" i="2"/>
  <c r="S492" i="2"/>
  <c r="R492" i="2"/>
  <c r="Q492" i="2"/>
  <c r="P492" i="2"/>
  <c r="O492" i="2"/>
  <c r="N492" i="2"/>
  <c r="M492" i="2"/>
  <c r="I492" i="2"/>
  <c r="G492" i="2"/>
  <c r="F492" i="2"/>
  <c r="W491" i="2"/>
  <c r="K491" i="2"/>
  <c r="W490" i="2"/>
  <c r="K490" i="2"/>
  <c r="W489" i="2"/>
  <c r="V488" i="2"/>
  <c r="U488" i="2"/>
  <c r="T488" i="2"/>
  <c r="S488" i="2"/>
  <c r="R488" i="2"/>
  <c r="Q488" i="2"/>
  <c r="P488" i="2"/>
  <c r="O488" i="2"/>
  <c r="N488" i="2"/>
  <c r="M488" i="2"/>
  <c r="J488" i="2"/>
  <c r="K488" i="2" s="1"/>
  <c r="I488" i="2"/>
  <c r="G488" i="2"/>
  <c r="F488" i="2"/>
  <c r="W486" i="2"/>
  <c r="W485" i="2"/>
  <c r="W484" i="2"/>
  <c r="H484" i="2"/>
  <c r="W483" i="2"/>
  <c r="W482" i="2"/>
  <c r="J482" i="2"/>
  <c r="K482" i="2" s="1"/>
  <c r="H482" i="2"/>
  <c r="W481" i="2"/>
  <c r="W480" i="2"/>
  <c r="J480" i="2"/>
  <c r="K480" i="2" s="1"/>
  <c r="W479" i="2"/>
  <c r="H479" i="2"/>
  <c r="V478" i="2"/>
  <c r="U478" i="2"/>
  <c r="T478" i="2"/>
  <c r="S478" i="2"/>
  <c r="R478" i="2"/>
  <c r="Q478" i="2"/>
  <c r="P478" i="2"/>
  <c r="O478" i="2"/>
  <c r="N478" i="2"/>
  <c r="M478" i="2"/>
  <c r="I478" i="2"/>
  <c r="G478" i="2"/>
  <c r="F478" i="2"/>
  <c r="W477" i="2"/>
  <c r="H477" i="2"/>
  <c r="V476" i="2"/>
  <c r="U476" i="2"/>
  <c r="T476" i="2"/>
  <c r="S476" i="2"/>
  <c r="R476" i="2"/>
  <c r="Q476" i="2"/>
  <c r="P476" i="2"/>
  <c r="O476" i="2"/>
  <c r="N476" i="2"/>
  <c r="M476" i="2"/>
  <c r="L476" i="2"/>
  <c r="J476" i="2"/>
  <c r="I476" i="2"/>
  <c r="G476" i="2"/>
  <c r="F476" i="2"/>
  <c r="W475" i="2"/>
  <c r="W474" i="2"/>
  <c r="W473" i="2"/>
  <c r="H473" i="2"/>
  <c r="V472" i="2"/>
  <c r="U472" i="2"/>
  <c r="T472" i="2"/>
  <c r="S472" i="2"/>
  <c r="R472" i="2"/>
  <c r="Q472" i="2"/>
  <c r="P472" i="2"/>
  <c r="O472" i="2"/>
  <c r="N472" i="2"/>
  <c r="M472" i="2"/>
  <c r="J472" i="2"/>
  <c r="K472" i="2" s="1"/>
  <c r="I472" i="2"/>
  <c r="G472" i="2"/>
  <c r="F472" i="2"/>
  <c r="W471" i="2"/>
  <c r="H471" i="2"/>
  <c r="W470" i="2"/>
  <c r="H470" i="2"/>
  <c r="W469" i="2"/>
  <c r="H469" i="2"/>
  <c r="V468" i="2"/>
  <c r="U468" i="2"/>
  <c r="T468" i="2"/>
  <c r="S468" i="2"/>
  <c r="R468" i="2"/>
  <c r="O468" i="2"/>
  <c r="N468" i="2"/>
  <c r="M468" i="2"/>
  <c r="J468" i="2"/>
  <c r="I468" i="2"/>
  <c r="G468" i="2"/>
  <c r="F468" i="2"/>
  <c r="W467" i="2"/>
  <c r="W466" i="2"/>
  <c r="W465" i="2"/>
  <c r="K465" i="2"/>
  <c r="H465" i="2"/>
  <c r="V464" i="2"/>
  <c r="U464" i="2"/>
  <c r="T464" i="2"/>
  <c r="S464" i="2"/>
  <c r="R464" i="2"/>
  <c r="Q464" i="2"/>
  <c r="P464" i="2"/>
  <c r="O464" i="2"/>
  <c r="N464" i="2"/>
  <c r="M464" i="2"/>
  <c r="J464" i="2"/>
  <c r="I464" i="2"/>
  <c r="G464" i="2"/>
  <c r="F464" i="2"/>
  <c r="W463" i="2"/>
  <c r="K463" i="2"/>
  <c r="H463" i="2"/>
  <c r="V462" i="2"/>
  <c r="U462" i="2"/>
  <c r="T462" i="2"/>
  <c r="S462" i="2"/>
  <c r="R462" i="2"/>
  <c r="Q462" i="2"/>
  <c r="P462" i="2"/>
  <c r="O462" i="2"/>
  <c r="N462" i="2"/>
  <c r="M462" i="2"/>
  <c r="J462" i="2"/>
  <c r="I462" i="2"/>
  <c r="G462" i="2"/>
  <c r="F462" i="2"/>
  <c r="W461" i="2"/>
  <c r="W460" i="2"/>
  <c r="W459" i="2"/>
  <c r="J459" i="2"/>
  <c r="K459" i="2" s="1"/>
  <c r="W458" i="2"/>
  <c r="K458" i="2"/>
  <c r="H458" i="2"/>
  <c r="V457" i="2"/>
  <c r="U457" i="2"/>
  <c r="T457" i="2"/>
  <c r="S457" i="2"/>
  <c r="R457" i="2"/>
  <c r="Q457" i="2"/>
  <c r="P457" i="2"/>
  <c r="O457" i="2"/>
  <c r="N457" i="2"/>
  <c r="M457" i="2"/>
  <c r="I457" i="2"/>
  <c r="G457" i="2"/>
  <c r="F457" i="2"/>
  <c r="W456" i="2"/>
  <c r="W455" i="2"/>
  <c r="V454" i="2"/>
  <c r="U454" i="2"/>
  <c r="T454" i="2"/>
  <c r="S454" i="2"/>
  <c r="R454" i="2"/>
  <c r="Q454" i="2"/>
  <c r="P454" i="2"/>
  <c r="O454" i="2"/>
  <c r="N454" i="2"/>
  <c r="M454" i="2"/>
  <c r="J454" i="2"/>
  <c r="K454" i="2" s="1"/>
  <c r="I454" i="2"/>
  <c r="G454" i="2"/>
  <c r="F454" i="2"/>
  <c r="W452" i="2"/>
  <c r="K452" i="2"/>
  <c r="H452" i="2"/>
  <c r="V451" i="2"/>
  <c r="U451" i="2"/>
  <c r="T451" i="2"/>
  <c r="S451" i="2"/>
  <c r="R451" i="2"/>
  <c r="Q451" i="2"/>
  <c r="P451" i="2"/>
  <c r="O451" i="2"/>
  <c r="N451" i="2"/>
  <c r="M451" i="2"/>
  <c r="J451" i="2"/>
  <c r="K451" i="2" s="1"/>
  <c r="I451" i="2"/>
  <c r="G451" i="2"/>
  <c r="F451" i="2"/>
  <c r="W450" i="2"/>
  <c r="H450" i="2"/>
  <c r="W449" i="2"/>
  <c r="H449" i="2"/>
  <c r="W448" i="2"/>
  <c r="H448" i="2"/>
  <c r="V447" i="2"/>
  <c r="U447" i="2"/>
  <c r="T447" i="2"/>
  <c r="S447" i="2"/>
  <c r="R447" i="2"/>
  <c r="Q447" i="2"/>
  <c r="P447" i="2"/>
  <c r="O447" i="2"/>
  <c r="N447" i="2"/>
  <c r="M447" i="2"/>
  <c r="J447" i="2"/>
  <c r="K447" i="2" s="1"/>
  <c r="I447" i="2"/>
  <c r="G447" i="2"/>
  <c r="F447" i="2"/>
  <c r="W446" i="2"/>
  <c r="W445" i="2"/>
  <c r="W444" i="2"/>
  <c r="W443" i="2"/>
  <c r="W442" i="2"/>
  <c r="W441" i="2"/>
  <c r="W440" i="2"/>
  <c r="W439" i="2"/>
  <c r="W438" i="2"/>
  <c r="W437" i="2"/>
  <c r="W436" i="2"/>
  <c r="K436" i="2"/>
  <c r="H436" i="2"/>
  <c r="V435" i="2"/>
  <c r="U435" i="2"/>
  <c r="T435" i="2"/>
  <c r="S435" i="2"/>
  <c r="R435" i="2"/>
  <c r="Q435" i="2"/>
  <c r="P435" i="2"/>
  <c r="O435" i="2"/>
  <c r="N435" i="2"/>
  <c r="M435" i="2"/>
  <c r="J435" i="2"/>
  <c r="I435" i="2"/>
  <c r="G435" i="2"/>
  <c r="F435" i="2"/>
  <c r="W433" i="2"/>
  <c r="H433" i="2"/>
  <c r="V432" i="2"/>
  <c r="V431" i="2" s="1"/>
  <c r="U432" i="2"/>
  <c r="U431" i="2" s="1"/>
  <c r="T432" i="2"/>
  <c r="T431" i="2" s="1"/>
  <c r="S432" i="2"/>
  <c r="S431" i="2" s="1"/>
  <c r="R432" i="2"/>
  <c r="R431" i="2" s="1"/>
  <c r="Q432" i="2"/>
  <c r="Q431" i="2" s="1"/>
  <c r="P432" i="2"/>
  <c r="P431" i="2" s="1"/>
  <c r="O432" i="2"/>
  <c r="O431" i="2" s="1"/>
  <c r="N432" i="2"/>
  <c r="M432" i="2"/>
  <c r="M431" i="2" s="1"/>
  <c r="J432" i="2"/>
  <c r="J431" i="2" s="1"/>
  <c r="I432" i="2"/>
  <c r="I431" i="2" s="1"/>
  <c r="G432" i="2"/>
  <c r="G431" i="2" s="1"/>
  <c r="F432" i="2"/>
  <c r="F431" i="2" s="1"/>
  <c r="W430" i="2"/>
  <c r="W429" i="2"/>
  <c r="W428" i="2"/>
  <c r="W427" i="2"/>
  <c r="W426" i="2"/>
  <c r="W425" i="2"/>
  <c r="K425" i="2"/>
  <c r="H425" i="2"/>
  <c r="V424" i="2"/>
  <c r="U424" i="2"/>
  <c r="T424" i="2"/>
  <c r="S424" i="2"/>
  <c r="R424" i="2"/>
  <c r="Q424" i="2"/>
  <c r="P424" i="2"/>
  <c r="O424" i="2"/>
  <c r="N424" i="2"/>
  <c r="M424" i="2"/>
  <c r="J424" i="2"/>
  <c r="K424" i="2" s="1"/>
  <c r="I424" i="2"/>
  <c r="G424" i="2"/>
  <c r="F424" i="2"/>
  <c r="W423" i="2"/>
  <c r="K423" i="2"/>
  <c r="H423" i="2"/>
  <c r="V422" i="2"/>
  <c r="U422" i="2"/>
  <c r="T422" i="2"/>
  <c r="S422" i="2"/>
  <c r="R422" i="2"/>
  <c r="Q422" i="2"/>
  <c r="P422" i="2"/>
  <c r="O422" i="2"/>
  <c r="N422" i="2"/>
  <c r="M422" i="2"/>
  <c r="J422" i="2"/>
  <c r="I422" i="2"/>
  <c r="G422" i="2"/>
  <c r="F422" i="2"/>
  <c r="U421" i="2"/>
  <c r="W421" i="2" s="1"/>
  <c r="W420" i="2"/>
  <c r="W419" i="2"/>
  <c r="W418" i="2"/>
  <c r="W417" i="2"/>
  <c r="K417" i="2"/>
  <c r="H417" i="2"/>
  <c r="V416" i="2"/>
  <c r="U416" i="2"/>
  <c r="T416" i="2"/>
  <c r="S416" i="2"/>
  <c r="R416" i="2"/>
  <c r="Q416" i="2"/>
  <c r="P416" i="2"/>
  <c r="O416" i="2"/>
  <c r="N416" i="2"/>
  <c r="M416" i="2"/>
  <c r="J416" i="2"/>
  <c r="I416" i="2"/>
  <c r="G416" i="2"/>
  <c r="F416" i="2"/>
  <c r="W415" i="2"/>
  <c r="H415" i="2"/>
  <c r="W414" i="2"/>
  <c r="W413" i="2"/>
  <c r="W412" i="2"/>
  <c r="W411" i="2"/>
  <c r="W410" i="2"/>
  <c r="W409" i="2"/>
  <c r="W408" i="2"/>
  <c r="W407" i="2"/>
  <c r="W406" i="2"/>
  <c r="W405" i="2"/>
  <c r="W404" i="2"/>
  <c r="W403" i="2"/>
  <c r="W402" i="2"/>
  <c r="W401" i="2"/>
  <c r="W400" i="2"/>
  <c r="W399" i="2"/>
  <c r="W398" i="2"/>
  <c r="W397" i="2"/>
  <c r="W396" i="2"/>
  <c r="W395" i="2"/>
  <c r="W394" i="2"/>
  <c r="K394" i="2"/>
  <c r="H394" i="2"/>
  <c r="V393" i="2"/>
  <c r="U393" i="2"/>
  <c r="T393" i="2"/>
  <c r="S393" i="2"/>
  <c r="R393" i="2"/>
  <c r="Q393" i="2"/>
  <c r="P393" i="2"/>
  <c r="O393" i="2"/>
  <c r="N393" i="2"/>
  <c r="M393" i="2"/>
  <c r="L393" i="2"/>
  <c r="J393" i="2"/>
  <c r="I393" i="2"/>
  <c r="G393" i="2"/>
  <c r="F393" i="2"/>
  <c r="W392" i="2"/>
  <c r="H392" i="2"/>
  <c r="W391" i="2"/>
  <c r="H391" i="2"/>
  <c r="V390" i="2"/>
  <c r="U390" i="2"/>
  <c r="T390" i="2"/>
  <c r="S390" i="2"/>
  <c r="R390" i="2"/>
  <c r="Q390" i="2"/>
  <c r="P390" i="2"/>
  <c r="O390" i="2"/>
  <c r="N390" i="2"/>
  <c r="M390" i="2"/>
  <c r="J390" i="2"/>
  <c r="K390" i="2" s="1"/>
  <c r="I390" i="2"/>
  <c r="G390" i="2"/>
  <c r="F390" i="2"/>
  <c r="O389" i="2"/>
  <c r="W389" i="2" s="1"/>
  <c r="J389" i="2"/>
  <c r="K389" i="2" s="1"/>
  <c r="H389" i="2"/>
  <c r="V388" i="2"/>
  <c r="U388" i="2"/>
  <c r="T388" i="2"/>
  <c r="S388" i="2"/>
  <c r="R388" i="2"/>
  <c r="Q388" i="2"/>
  <c r="P388" i="2"/>
  <c r="N388" i="2"/>
  <c r="M388" i="2"/>
  <c r="L388" i="2"/>
  <c r="I388" i="2"/>
  <c r="G388" i="2"/>
  <c r="F388" i="2"/>
  <c r="W387" i="2"/>
  <c r="K387" i="2"/>
  <c r="H387" i="2"/>
  <c r="V386" i="2"/>
  <c r="U386" i="2"/>
  <c r="T386" i="2"/>
  <c r="S386" i="2"/>
  <c r="R386" i="2"/>
  <c r="Q386" i="2"/>
  <c r="P386" i="2"/>
  <c r="O386" i="2"/>
  <c r="N386" i="2"/>
  <c r="M386" i="2"/>
  <c r="J386" i="2"/>
  <c r="I386" i="2"/>
  <c r="G386" i="2"/>
  <c r="F386" i="2"/>
  <c r="K386" i="2" s="1"/>
  <c r="W385" i="2"/>
  <c r="H385" i="2"/>
  <c r="W384" i="2"/>
  <c r="V383" i="2"/>
  <c r="U383" i="2"/>
  <c r="T383" i="2"/>
  <c r="S383" i="2"/>
  <c r="R383" i="2"/>
  <c r="Q383" i="2"/>
  <c r="P383" i="2"/>
  <c r="O383" i="2"/>
  <c r="N383" i="2"/>
  <c r="M383" i="2"/>
  <c r="J383" i="2"/>
  <c r="I383" i="2"/>
  <c r="G383" i="2"/>
  <c r="F383" i="2"/>
  <c r="W382" i="2"/>
  <c r="W381" i="2"/>
  <c r="W380" i="2"/>
  <c r="W379" i="2"/>
  <c r="W378" i="2"/>
  <c r="W377" i="2"/>
  <c r="W376" i="2"/>
  <c r="W375" i="2"/>
  <c r="W374" i="2"/>
  <c r="W373" i="2"/>
  <c r="W372" i="2"/>
  <c r="W371" i="2"/>
  <c r="W370" i="2"/>
  <c r="W369" i="2"/>
  <c r="W368" i="2"/>
  <c r="W367" i="2"/>
  <c r="W366" i="2"/>
  <c r="W365" i="2"/>
  <c r="K365" i="2"/>
  <c r="H365" i="2"/>
  <c r="V364" i="2"/>
  <c r="U364" i="2"/>
  <c r="T364" i="2"/>
  <c r="S364" i="2"/>
  <c r="R364" i="2"/>
  <c r="Q364" i="2"/>
  <c r="P364" i="2"/>
  <c r="O364" i="2"/>
  <c r="N364" i="2"/>
  <c r="M364" i="2"/>
  <c r="J364" i="2"/>
  <c r="K364" i="2" s="1"/>
  <c r="I364" i="2"/>
  <c r="G364" i="2"/>
  <c r="F364" i="2"/>
  <c r="W363" i="2"/>
  <c r="W362" i="2"/>
  <c r="W361" i="2"/>
  <c r="W360" i="2"/>
  <c r="W359" i="2"/>
  <c r="W358" i="2"/>
  <c r="W357" i="2"/>
  <c r="W356" i="2"/>
  <c r="W355" i="2"/>
  <c r="V354" i="2"/>
  <c r="U354" i="2"/>
  <c r="T354" i="2"/>
  <c r="S354" i="2"/>
  <c r="R354" i="2"/>
  <c r="Q354" i="2"/>
  <c r="P354" i="2"/>
  <c r="O354" i="2"/>
  <c r="N354" i="2"/>
  <c r="M354" i="2"/>
  <c r="J354" i="2"/>
  <c r="K354" i="2" s="1"/>
  <c r="I354" i="2"/>
  <c r="G354" i="2"/>
  <c r="F354" i="2"/>
  <c r="W352" i="2"/>
  <c r="K352" i="2"/>
  <c r="H352" i="2"/>
  <c r="W351" i="2"/>
  <c r="K351" i="2"/>
  <c r="H351" i="2"/>
  <c r="W348" i="2"/>
  <c r="K348" i="2"/>
  <c r="H348" i="2"/>
  <c r="V347" i="2"/>
  <c r="U347" i="2"/>
  <c r="T347" i="2"/>
  <c r="S347" i="2"/>
  <c r="R347" i="2"/>
  <c r="Q347" i="2"/>
  <c r="P347" i="2"/>
  <c r="O347" i="2"/>
  <c r="N347" i="2"/>
  <c r="M347" i="2"/>
  <c r="J347" i="2"/>
  <c r="I347" i="2"/>
  <c r="G347" i="2"/>
  <c r="F347" i="2"/>
  <c r="W346" i="2"/>
  <c r="W345" i="2"/>
  <c r="W344" i="2"/>
  <c r="W343" i="2"/>
  <c r="W342" i="2"/>
  <c r="W341" i="2"/>
  <c r="W340" i="2"/>
  <c r="W339" i="2"/>
  <c r="I339" i="2"/>
  <c r="W338" i="2"/>
  <c r="I338" i="2"/>
  <c r="W337" i="2"/>
  <c r="I337" i="2"/>
  <c r="W336" i="2"/>
  <c r="K336" i="2"/>
  <c r="H336" i="2"/>
  <c r="V335" i="2"/>
  <c r="U335" i="2"/>
  <c r="T335" i="2"/>
  <c r="S335" i="2"/>
  <c r="R335" i="2"/>
  <c r="Q335" i="2"/>
  <c r="P335" i="2"/>
  <c r="O335" i="2"/>
  <c r="N335" i="2"/>
  <c r="M335" i="2"/>
  <c r="J335" i="2"/>
  <c r="K335" i="2" s="1"/>
  <c r="G335" i="2"/>
  <c r="F335" i="2"/>
  <c r="W334" i="2"/>
  <c r="K334" i="2"/>
  <c r="H334" i="2"/>
  <c r="W333" i="2"/>
  <c r="K333" i="2"/>
  <c r="H333" i="2"/>
  <c r="V332" i="2"/>
  <c r="U332" i="2"/>
  <c r="T332" i="2"/>
  <c r="S332" i="2"/>
  <c r="R332" i="2"/>
  <c r="Q332" i="2"/>
  <c r="P332" i="2"/>
  <c r="O332" i="2"/>
  <c r="N332" i="2"/>
  <c r="M332" i="2"/>
  <c r="J332" i="2"/>
  <c r="K332" i="2" s="1"/>
  <c r="I332" i="2"/>
  <c r="G332" i="2"/>
  <c r="F332" i="2"/>
  <c r="W330" i="2"/>
  <c r="K330" i="2"/>
  <c r="W329" i="2"/>
  <c r="K329" i="2"/>
  <c r="V328" i="2"/>
  <c r="U328" i="2"/>
  <c r="T328" i="2"/>
  <c r="S328" i="2"/>
  <c r="R328" i="2"/>
  <c r="Q328" i="2"/>
  <c r="P328" i="2"/>
  <c r="O328" i="2"/>
  <c r="N328" i="2"/>
  <c r="M328" i="2"/>
  <c r="J328" i="2"/>
  <c r="I328" i="2"/>
  <c r="G328" i="2"/>
  <c r="H328" i="2" s="1"/>
  <c r="F328" i="2"/>
  <c r="W327" i="2"/>
  <c r="W326" i="2"/>
  <c r="W325" i="2"/>
  <c r="W324" i="2"/>
  <c r="W323" i="2"/>
  <c r="W322" i="2"/>
  <c r="W321" i="2"/>
  <c r="W320" i="2"/>
  <c r="W319" i="2"/>
  <c r="W318" i="2"/>
  <c r="W317" i="2"/>
  <c r="W316" i="2"/>
  <c r="H316" i="2"/>
  <c r="V315" i="2"/>
  <c r="U315" i="2"/>
  <c r="T315" i="2"/>
  <c r="S315" i="2"/>
  <c r="R315" i="2"/>
  <c r="Q315" i="2"/>
  <c r="P315" i="2"/>
  <c r="O315" i="2"/>
  <c r="N315" i="2"/>
  <c r="M315" i="2"/>
  <c r="J315" i="2"/>
  <c r="K315" i="2" s="1"/>
  <c r="I315" i="2"/>
  <c r="G315" i="2"/>
  <c r="F315" i="2"/>
  <c r="W314" i="2"/>
  <c r="W313" i="2"/>
  <c r="W312" i="2"/>
  <c r="H312" i="2"/>
  <c r="V311" i="2"/>
  <c r="U311" i="2"/>
  <c r="T311" i="2"/>
  <c r="S311" i="2"/>
  <c r="R311" i="2"/>
  <c r="Q311" i="2"/>
  <c r="P311" i="2"/>
  <c r="O311" i="2"/>
  <c r="N311" i="2"/>
  <c r="M311" i="2"/>
  <c r="J311" i="2"/>
  <c r="I311" i="2"/>
  <c r="G311" i="2"/>
  <c r="F311" i="2"/>
  <c r="W310" i="2"/>
  <c r="W309" i="2"/>
  <c r="W308" i="2"/>
  <c r="W307" i="2"/>
  <c r="W306" i="2"/>
  <c r="W305" i="2"/>
  <c r="W304" i="2"/>
  <c r="W303" i="2"/>
  <c r="W302" i="2"/>
  <c r="W301" i="2"/>
  <c r="W300" i="2"/>
  <c r="W299" i="2"/>
  <c r="W298" i="2"/>
  <c r="W297" i="2"/>
  <c r="W296" i="2"/>
  <c r="K296" i="2"/>
  <c r="H296" i="2"/>
  <c r="V295" i="2"/>
  <c r="U295" i="2"/>
  <c r="T295" i="2"/>
  <c r="S295" i="2"/>
  <c r="R295" i="2"/>
  <c r="Q295" i="2"/>
  <c r="P295" i="2"/>
  <c r="O295" i="2"/>
  <c r="N295" i="2"/>
  <c r="M295" i="2"/>
  <c r="J295" i="2"/>
  <c r="I295" i="2"/>
  <c r="G295" i="2"/>
  <c r="F295" i="2"/>
  <c r="W294" i="2"/>
  <c r="K294" i="2"/>
  <c r="H294" i="2"/>
  <c r="W293" i="2"/>
  <c r="W292" i="2"/>
  <c r="V291" i="2"/>
  <c r="U291" i="2"/>
  <c r="T291" i="2"/>
  <c r="S291" i="2"/>
  <c r="R291" i="2"/>
  <c r="Q291" i="2"/>
  <c r="P291" i="2"/>
  <c r="O291" i="2"/>
  <c r="N291" i="2"/>
  <c r="M291" i="2"/>
  <c r="J291" i="2"/>
  <c r="K291" i="2" s="1"/>
  <c r="I291" i="2"/>
  <c r="G291" i="2"/>
  <c r="F291" i="2"/>
  <c r="W290" i="2"/>
  <c r="W289" i="2"/>
  <c r="W288" i="2"/>
  <c r="W287" i="2"/>
  <c r="W286" i="2"/>
  <c r="W285" i="2"/>
  <c r="W284" i="2"/>
  <c r="W283" i="2"/>
  <c r="W282" i="2"/>
  <c r="W281" i="2"/>
  <c r="W280" i="2"/>
  <c r="W279" i="2"/>
  <c r="W278" i="2"/>
  <c r="W277" i="2"/>
  <c r="W276" i="2"/>
  <c r="W275" i="2"/>
  <c r="W274" i="2"/>
  <c r="W273" i="2"/>
  <c r="W272" i="2"/>
  <c r="W271" i="2"/>
  <c r="W270" i="2"/>
  <c r="K270" i="2"/>
  <c r="H270" i="2"/>
  <c r="V269" i="2"/>
  <c r="U269" i="2"/>
  <c r="T269" i="2"/>
  <c r="S269" i="2"/>
  <c r="R269" i="2"/>
  <c r="Q269" i="2"/>
  <c r="P269" i="2"/>
  <c r="O269" i="2"/>
  <c r="N269" i="2"/>
  <c r="M269" i="2"/>
  <c r="J269" i="2"/>
  <c r="I269" i="2"/>
  <c r="G269" i="2"/>
  <c r="F269" i="2"/>
  <c r="W268" i="2"/>
  <c r="W267" i="2"/>
  <c r="W266" i="2"/>
  <c r="W265" i="2"/>
  <c r="W264" i="2"/>
  <c r="W263" i="2"/>
  <c r="W262" i="2"/>
  <c r="W261" i="2"/>
  <c r="W260" i="2"/>
  <c r="W259" i="2"/>
  <c r="W258" i="2"/>
  <c r="W257" i="2"/>
  <c r="W256" i="2"/>
  <c r="W255" i="2"/>
  <c r="W254" i="2"/>
  <c r="W253" i="2"/>
  <c r="W252" i="2"/>
  <c r="W251" i="2"/>
  <c r="W250" i="2"/>
  <c r="W249" i="2"/>
  <c r="W248" i="2"/>
  <c r="K248" i="2"/>
  <c r="H248" i="2"/>
  <c r="W247" i="2"/>
  <c r="J247" i="2"/>
  <c r="J243" i="2" s="1"/>
  <c r="W246" i="2"/>
  <c r="H246" i="2"/>
  <c r="W245" i="2"/>
  <c r="K245" i="2"/>
  <c r="H245" i="2"/>
  <c r="W244" i="2"/>
  <c r="W243" i="2"/>
  <c r="F243" i="2"/>
  <c r="H243" i="2" s="1"/>
  <c r="W242" i="2"/>
  <c r="W241" i="2"/>
  <c r="W240" i="2"/>
  <c r="W239" i="2"/>
  <c r="W238" i="2"/>
  <c r="K238" i="2"/>
  <c r="H238" i="2"/>
  <c r="W237" i="2"/>
  <c r="W236" i="2"/>
  <c r="J236" i="2"/>
  <c r="F236" i="2"/>
  <c r="V235" i="2"/>
  <c r="U235" i="2"/>
  <c r="T235" i="2"/>
  <c r="S235" i="2"/>
  <c r="R235" i="2"/>
  <c r="Q235" i="2"/>
  <c r="P235" i="2"/>
  <c r="O235" i="2"/>
  <c r="N235" i="2"/>
  <c r="M235" i="2"/>
  <c r="I235" i="2"/>
  <c r="G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H220" i="2"/>
  <c r="V219" i="2"/>
  <c r="U219" i="2"/>
  <c r="T219" i="2"/>
  <c r="S219" i="2"/>
  <c r="R219" i="2"/>
  <c r="Q219" i="2"/>
  <c r="P219" i="2"/>
  <c r="O219" i="2"/>
  <c r="N219" i="2"/>
  <c r="M219" i="2"/>
  <c r="J219" i="2"/>
  <c r="K219" i="2" s="1"/>
  <c r="I219" i="2"/>
  <c r="G219" i="2"/>
  <c r="F219" i="2"/>
  <c r="W218" i="2"/>
  <c r="W217" i="2"/>
  <c r="W216" i="2"/>
  <c r="W215" i="2"/>
  <c r="W214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H199" i="2"/>
  <c r="W198" i="2"/>
  <c r="K198" i="2"/>
  <c r="H198" i="2"/>
  <c r="W197" i="2"/>
  <c r="V196" i="2"/>
  <c r="U196" i="2"/>
  <c r="T196" i="2"/>
  <c r="S196" i="2"/>
  <c r="R196" i="2"/>
  <c r="Q196" i="2"/>
  <c r="P196" i="2"/>
  <c r="O196" i="2"/>
  <c r="N196" i="2"/>
  <c r="M196" i="2"/>
  <c r="J196" i="2"/>
  <c r="I196" i="2"/>
  <c r="G196" i="2"/>
  <c r="F196" i="2"/>
  <c r="W194" i="2"/>
  <c r="W193" i="2"/>
  <c r="W192" i="2"/>
  <c r="W191" i="2"/>
  <c r="W190" i="2"/>
  <c r="V190" i="2"/>
  <c r="V189" i="2" s="1"/>
  <c r="U190" i="2"/>
  <c r="U189" i="2" s="1"/>
  <c r="T190" i="2"/>
  <c r="T189" i="2" s="1"/>
  <c r="S190" i="2"/>
  <c r="S189" i="2" s="1"/>
  <c r="R190" i="2"/>
  <c r="R189" i="2" s="1"/>
  <c r="Q190" i="2"/>
  <c r="Q189" i="2" s="1"/>
  <c r="P190" i="2"/>
  <c r="P189" i="2" s="1"/>
  <c r="O190" i="2"/>
  <c r="O189" i="2" s="1"/>
  <c r="N190" i="2"/>
  <c r="N189" i="2" s="1"/>
  <c r="M190" i="2"/>
  <c r="M189" i="2" s="1"/>
  <c r="J190" i="2"/>
  <c r="J189" i="2" s="1"/>
  <c r="I190" i="2"/>
  <c r="I189" i="2" s="1"/>
  <c r="G190" i="2"/>
  <c r="G189" i="2" s="1"/>
  <c r="W188" i="2"/>
  <c r="H188" i="2"/>
  <c r="V187" i="2"/>
  <c r="V186" i="2" s="1"/>
  <c r="U187" i="2"/>
  <c r="U186" i="2" s="1"/>
  <c r="T187" i="2"/>
  <c r="T186" i="2" s="1"/>
  <c r="S187" i="2"/>
  <c r="S186" i="2" s="1"/>
  <c r="R187" i="2"/>
  <c r="R186" i="2" s="1"/>
  <c r="Q187" i="2"/>
  <c r="Q186" i="2" s="1"/>
  <c r="P187" i="2"/>
  <c r="P186" i="2" s="1"/>
  <c r="O187" i="2"/>
  <c r="O186" i="2" s="1"/>
  <c r="N187" i="2"/>
  <c r="N186" i="2" s="1"/>
  <c r="M187" i="2"/>
  <c r="L187" i="2"/>
  <c r="L186" i="2" s="1"/>
  <c r="J187" i="2"/>
  <c r="J186" i="2" s="1"/>
  <c r="I187" i="2"/>
  <c r="I186" i="2" s="1"/>
  <c r="G187" i="2"/>
  <c r="G186" i="2" s="1"/>
  <c r="F187" i="2"/>
  <c r="F186" i="2" s="1"/>
  <c r="W185" i="2"/>
  <c r="W184" i="2"/>
  <c r="P183" i="2"/>
  <c r="W183" i="2" s="1"/>
  <c r="P182" i="2"/>
  <c r="W182" i="2" s="1"/>
  <c r="W181" i="2"/>
  <c r="K181" i="2"/>
  <c r="H181" i="2"/>
  <c r="V180" i="2"/>
  <c r="U180" i="2"/>
  <c r="T180" i="2"/>
  <c r="S180" i="2"/>
  <c r="R180" i="2"/>
  <c r="Q180" i="2"/>
  <c r="O180" i="2"/>
  <c r="N180" i="2"/>
  <c r="M180" i="2"/>
  <c r="J180" i="2"/>
  <c r="I180" i="2"/>
  <c r="G180" i="2"/>
  <c r="F180" i="2"/>
  <c r="W179" i="2"/>
  <c r="H177" i="2"/>
  <c r="V176" i="2"/>
  <c r="U176" i="2"/>
  <c r="T176" i="2"/>
  <c r="S176" i="2"/>
  <c r="R176" i="2"/>
  <c r="Q176" i="2"/>
  <c r="P176" i="2"/>
  <c r="O176" i="2"/>
  <c r="N176" i="2"/>
  <c r="M176" i="2"/>
  <c r="J176" i="2"/>
  <c r="I176" i="2"/>
  <c r="G176" i="2"/>
  <c r="F176" i="2"/>
  <c r="W175" i="2"/>
  <c r="W173" i="2"/>
  <c r="W172" i="2"/>
  <c r="W171" i="2"/>
  <c r="W170" i="2"/>
  <c r="W169" i="2"/>
  <c r="W168" i="2"/>
  <c r="W167" i="2"/>
  <c r="P166" i="2"/>
  <c r="W166" i="2" s="1"/>
  <c r="W165" i="2"/>
  <c r="W164" i="2"/>
  <c r="W163" i="2"/>
  <c r="W162" i="2"/>
  <c r="W161" i="2"/>
  <c r="V160" i="2"/>
  <c r="U160" i="2"/>
  <c r="T160" i="2"/>
  <c r="S160" i="2"/>
  <c r="R160" i="2"/>
  <c r="Q160" i="2"/>
  <c r="O160" i="2"/>
  <c r="N160" i="2"/>
  <c r="M160" i="2"/>
  <c r="J160" i="2"/>
  <c r="I160" i="2"/>
  <c r="G160" i="2"/>
  <c r="F160" i="2"/>
  <c r="W159" i="2"/>
  <c r="H159" i="2"/>
  <c r="W158" i="2"/>
  <c r="H158" i="2"/>
  <c r="V157" i="2"/>
  <c r="U157" i="2"/>
  <c r="T157" i="2"/>
  <c r="S157" i="2"/>
  <c r="R157" i="2"/>
  <c r="Q157" i="2"/>
  <c r="P157" i="2"/>
  <c r="O157" i="2"/>
  <c r="N157" i="2"/>
  <c r="M157" i="2"/>
  <c r="J157" i="2"/>
  <c r="I157" i="2"/>
  <c r="G157" i="2"/>
  <c r="F157" i="2"/>
  <c r="W155" i="2"/>
  <c r="W154" i="2"/>
  <c r="W153" i="2"/>
  <c r="W152" i="2"/>
  <c r="W151" i="2"/>
  <c r="W150" i="2"/>
  <c r="W149" i="2"/>
  <c r="V148" i="2"/>
  <c r="U148" i="2"/>
  <c r="T148" i="2"/>
  <c r="S148" i="2"/>
  <c r="R148" i="2"/>
  <c r="Q148" i="2"/>
  <c r="P148" i="2"/>
  <c r="O148" i="2"/>
  <c r="N148" i="2"/>
  <c r="M148" i="2"/>
  <c r="J148" i="2"/>
  <c r="I148" i="2"/>
  <c r="G148" i="2"/>
  <c r="F148" i="2"/>
  <c r="W147" i="2"/>
  <c r="H147" i="2"/>
  <c r="W146" i="2"/>
  <c r="H146" i="2"/>
  <c r="W145" i="2"/>
  <c r="H145" i="2"/>
  <c r="W144" i="2"/>
  <c r="H144" i="2"/>
  <c r="W143" i="2"/>
  <c r="H143" i="2"/>
  <c r="W142" i="2"/>
  <c r="H142" i="2"/>
  <c r="W141" i="2"/>
  <c r="V140" i="2"/>
  <c r="U140" i="2"/>
  <c r="T140" i="2"/>
  <c r="S140" i="2"/>
  <c r="R140" i="2"/>
  <c r="Q140" i="2"/>
  <c r="P140" i="2"/>
  <c r="O140" i="2"/>
  <c r="N140" i="2"/>
  <c r="M140" i="2"/>
  <c r="J140" i="2"/>
  <c r="I140" i="2"/>
  <c r="G140" i="2"/>
  <c r="F140" i="2"/>
  <c r="W139" i="2"/>
  <c r="W138" i="2"/>
  <c r="W137" i="2"/>
  <c r="K137" i="2"/>
  <c r="H137" i="2"/>
  <c r="V136" i="2"/>
  <c r="U136" i="2"/>
  <c r="T136" i="2"/>
  <c r="S136" i="2"/>
  <c r="R136" i="2"/>
  <c r="Q136" i="2"/>
  <c r="P136" i="2"/>
  <c r="O136" i="2"/>
  <c r="N136" i="2"/>
  <c r="M136" i="2"/>
  <c r="J136" i="2"/>
  <c r="I136" i="2"/>
  <c r="G136" i="2"/>
  <c r="F136" i="2"/>
  <c r="W134" i="2"/>
  <c r="W133" i="2"/>
  <c r="W132" i="2"/>
  <c r="K132" i="2"/>
  <c r="H132" i="2"/>
  <c r="V131" i="2"/>
  <c r="U131" i="2"/>
  <c r="T131" i="2"/>
  <c r="S131" i="2"/>
  <c r="R131" i="2"/>
  <c r="Q131" i="2"/>
  <c r="P131" i="2"/>
  <c r="O131" i="2"/>
  <c r="N131" i="2"/>
  <c r="M131" i="2"/>
  <c r="J131" i="2"/>
  <c r="I131" i="2"/>
  <c r="G131" i="2"/>
  <c r="F131" i="2"/>
  <c r="W130" i="2"/>
  <c r="H130" i="2"/>
  <c r="W129" i="2"/>
  <c r="H129" i="2"/>
  <c r="W128" i="2"/>
  <c r="K128" i="2"/>
  <c r="H128" i="2"/>
  <c r="V127" i="2"/>
  <c r="U127" i="2"/>
  <c r="T127" i="2"/>
  <c r="S127" i="2"/>
  <c r="R127" i="2"/>
  <c r="Q127" i="2"/>
  <c r="P127" i="2"/>
  <c r="O127" i="2"/>
  <c r="N127" i="2"/>
  <c r="M127" i="2"/>
  <c r="J127" i="2"/>
  <c r="I127" i="2"/>
  <c r="G127" i="2"/>
  <c r="F127" i="2"/>
  <c r="W126" i="2"/>
  <c r="V125" i="2"/>
  <c r="U125" i="2"/>
  <c r="T125" i="2"/>
  <c r="S125" i="2"/>
  <c r="R125" i="2"/>
  <c r="Q125" i="2"/>
  <c r="P125" i="2"/>
  <c r="O125" i="2"/>
  <c r="N125" i="2"/>
  <c r="M125" i="2"/>
  <c r="J125" i="2"/>
  <c r="I125" i="2"/>
  <c r="I71" i="2" s="1"/>
  <c r="G125" i="2"/>
  <c r="F125" i="2"/>
  <c r="W124" i="2"/>
  <c r="W123" i="2"/>
  <c r="W122" i="2"/>
  <c r="W121" i="2"/>
  <c r="W120" i="2"/>
  <c r="W119" i="2"/>
  <c r="W118" i="2"/>
  <c r="Q117" i="2"/>
  <c r="W117" i="2" s="1"/>
  <c r="J117" i="2"/>
  <c r="K117" i="2" s="1"/>
  <c r="W116" i="2"/>
  <c r="W115" i="2"/>
  <c r="W114" i="2"/>
  <c r="W113" i="2"/>
  <c r="W112" i="2"/>
  <c r="Q111" i="2"/>
  <c r="W111" i="2" s="1"/>
  <c r="J111" i="2"/>
  <c r="K111" i="2" s="1"/>
  <c r="W110" i="2"/>
  <c r="W109" i="2"/>
  <c r="W108" i="2"/>
  <c r="W107" i="2"/>
  <c r="W106" i="2"/>
  <c r="W105" i="2"/>
  <c r="J105" i="2"/>
  <c r="K105" i="2" s="1"/>
  <c r="W104" i="2"/>
  <c r="W103" i="2"/>
  <c r="K103" i="2"/>
  <c r="H103" i="2"/>
  <c r="W102" i="2"/>
  <c r="F102" i="2"/>
  <c r="H102" i="2" s="1"/>
  <c r="W101" i="2"/>
  <c r="W100" i="2"/>
  <c r="J100" i="2"/>
  <c r="G100" i="2"/>
  <c r="F100" i="2"/>
  <c r="R99" i="2"/>
  <c r="R544" i="2" s="1"/>
  <c r="I99" i="2"/>
  <c r="W98" i="2"/>
  <c r="W97" i="2"/>
  <c r="W96" i="2"/>
  <c r="J96" i="2"/>
  <c r="J95" i="2" s="1"/>
  <c r="G96" i="2"/>
  <c r="F96" i="2"/>
  <c r="F95" i="2" s="1"/>
  <c r="H95" i="2" s="1"/>
  <c r="R95" i="2"/>
  <c r="W95" i="2" s="1"/>
  <c r="I95" i="2"/>
  <c r="W94" i="2"/>
  <c r="W93" i="2"/>
  <c r="W92" i="2"/>
  <c r="J92" i="2"/>
  <c r="J91" i="2" s="1"/>
  <c r="F92" i="2"/>
  <c r="H92" i="2" s="1"/>
  <c r="R91" i="2"/>
  <c r="W91" i="2" s="1"/>
  <c r="I91" i="2"/>
  <c r="W90" i="2"/>
  <c r="J90" i="2"/>
  <c r="K90" i="2" s="1"/>
  <c r="F90" i="2"/>
  <c r="H90" i="2" s="1"/>
  <c r="W89" i="2"/>
  <c r="J89" i="2"/>
  <c r="F89" i="2"/>
  <c r="H89" i="2" s="1"/>
  <c r="R88" i="2"/>
  <c r="W88" i="2" s="1"/>
  <c r="I88" i="2"/>
  <c r="W87" i="2"/>
  <c r="K87" i="2"/>
  <c r="H87" i="2"/>
  <c r="V86" i="2"/>
  <c r="U86" i="2"/>
  <c r="T86" i="2"/>
  <c r="S86" i="2"/>
  <c r="P86" i="2"/>
  <c r="O86" i="2"/>
  <c r="N86" i="2"/>
  <c r="M86" i="2"/>
  <c r="G86" i="2"/>
  <c r="W85" i="2"/>
  <c r="W84" i="2"/>
  <c r="W83" i="2"/>
  <c r="W82" i="2"/>
  <c r="W81" i="2"/>
  <c r="K81" i="2"/>
  <c r="H81" i="2"/>
  <c r="V80" i="2"/>
  <c r="U80" i="2"/>
  <c r="T80" i="2"/>
  <c r="S80" i="2"/>
  <c r="R80" i="2"/>
  <c r="Q80" i="2"/>
  <c r="P80" i="2"/>
  <c r="O80" i="2"/>
  <c r="N80" i="2"/>
  <c r="M80" i="2"/>
  <c r="J80" i="2"/>
  <c r="I80" i="2"/>
  <c r="G80" i="2"/>
  <c r="F80" i="2"/>
  <c r="W79" i="2"/>
  <c r="W78" i="2"/>
  <c r="W77" i="2"/>
  <c r="W76" i="2"/>
  <c r="W75" i="2"/>
  <c r="W74" i="2"/>
  <c r="W73" i="2"/>
  <c r="K73" i="2"/>
  <c r="H73" i="2"/>
  <c r="V72" i="2"/>
  <c r="U72" i="2"/>
  <c r="T72" i="2"/>
  <c r="S72" i="2"/>
  <c r="R72" i="2"/>
  <c r="Q72" i="2"/>
  <c r="P72" i="2"/>
  <c r="O72" i="2"/>
  <c r="N72" i="2"/>
  <c r="M72" i="2"/>
  <c r="J72" i="2"/>
  <c r="I72" i="2"/>
  <c r="G72" i="2"/>
  <c r="F72" i="2"/>
  <c r="W70" i="2"/>
  <c r="K70" i="2"/>
  <c r="H70" i="2"/>
  <c r="V69" i="2"/>
  <c r="U69" i="2"/>
  <c r="T69" i="2"/>
  <c r="S69" i="2"/>
  <c r="R69" i="2"/>
  <c r="Q69" i="2"/>
  <c r="P69" i="2"/>
  <c r="O69" i="2"/>
  <c r="N69" i="2"/>
  <c r="M69" i="2"/>
  <c r="J69" i="2"/>
  <c r="I69" i="2"/>
  <c r="G69" i="2"/>
  <c r="F69" i="2"/>
  <c r="W68" i="2"/>
  <c r="K68" i="2"/>
  <c r="H68" i="2"/>
  <c r="W67" i="2"/>
  <c r="K67" i="2"/>
  <c r="H67" i="2"/>
  <c r="V66" i="2"/>
  <c r="V65" i="2" s="1"/>
  <c r="U66" i="2"/>
  <c r="T66" i="2"/>
  <c r="T65" i="2" s="1"/>
  <c r="S66" i="2"/>
  <c r="S65" i="2" s="1"/>
  <c r="R66" i="2"/>
  <c r="R65" i="2" s="1"/>
  <c r="Q66" i="2"/>
  <c r="P66" i="2"/>
  <c r="P65" i="2" s="1"/>
  <c r="O66" i="2"/>
  <c r="O65" i="2" s="1"/>
  <c r="N66" i="2"/>
  <c r="N65" i="2" s="1"/>
  <c r="M66" i="2"/>
  <c r="J66" i="2"/>
  <c r="I66" i="2"/>
  <c r="G66" i="2"/>
  <c r="F66" i="2"/>
  <c r="W64" i="2"/>
  <c r="W63" i="2"/>
  <c r="W62" i="2"/>
  <c r="W61" i="2"/>
  <c r="W60" i="2"/>
  <c r="W59" i="2"/>
  <c r="W58" i="2"/>
  <c r="W57" i="2"/>
  <c r="W56" i="2"/>
  <c r="W55" i="2"/>
  <c r="W54" i="2"/>
  <c r="W53" i="2"/>
  <c r="I53" i="2"/>
  <c r="I51" i="2" s="1"/>
  <c r="W52" i="2"/>
  <c r="H52" i="2"/>
  <c r="V51" i="2"/>
  <c r="U51" i="2"/>
  <c r="T51" i="2"/>
  <c r="S51" i="2"/>
  <c r="R51" i="2"/>
  <c r="Q51" i="2"/>
  <c r="P51" i="2"/>
  <c r="O51" i="2"/>
  <c r="N51" i="2"/>
  <c r="M51" i="2"/>
  <c r="J51" i="2"/>
  <c r="G51" i="2"/>
  <c r="F51" i="2"/>
  <c r="R50" i="2"/>
  <c r="W50" i="2" s="1"/>
  <c r="K50" i="2"/>
  <c r="H50" i="2"/>
  <c r="V49" i="2"/>
  <c r="U49" i="2"/>
  <c r="T49" i="2"/>
  <c r="S49" i="2"/>
  <c r="Q49" i="2"/>
  <c r="P49" i="2"/>
  <c r="O49" i="2"/>
  <c r="N49" i="2"/>
  <c r="M49" i="2"/>
  <c r="J49" i="2"/>
  <c r="I49" i="2"/>
  <c r="G49" i="2"/>
  <c r="F49" i="2"/>
  <c r="W47" i="2"/>
  <c r="W46" i="2"/>
  <c r="W45" i="2"/>
  <c r="W44" i="2"/>
  <c r="W43" i="2"/>
  <c r="K43" i="2"/>
  <c r="H43" i="2"/>
  <c r="V42" i="2"/>
  <c r="V41" i="2" s="1"/>
  <c r="U42" i="2"/>
  <c r="U41" i="2" s="1"/>
  <c r="T42" i="2"/>
  <c r="T41" i="2" s="1"/>
  <c r="S42" i="2"/>
  <c r="S41" i="2" s="1"/>
  <c r="R42" i="2"/>
  <c r="R41" i="2" s="1"/>
  <c r="Q42" i="2"/>
  <c r="Q41" i="2" s="1"/>
  <c r="P42" i="2"/>
  <c r="P41" i="2" s="1"/>
  <c r="O42" i="2"/>
  <c r="O41" i="2" s="1"/>
  <c r="N42" i="2"/>
  <c r="N41" i="2" s="1"/>
  <c r="M42" i="2"/>
  <c r="L42" i="2"/>
  <c r="L41" i="2" s="1"/>
  <c r="J42" i="2"/>
  <c r="J41" i="2" s="1"/>
  <c r="I42" i="2"/>
  <c r="I41" i="2" s="1"/>
  <c r="G42" i="2"/>
  <c r="F42" i="2"/>
  <c r="F41" i="2" s="1"/>
  <c r="W40" i="2"/>
  <c r="I40" i="2"/>
  <c r="W39" i="2"/>
  <c r="W38" i="2"/>
  <c r="W37" i="2"/>
  <c r="W36" i="2"/>
  <c r="W35" i="2"/>
  <c r="K35" i="2"/>
  <c r="H35" i="2"/>
  <c r="V34" i="2"/>
  <c r="U34" i="2"/>
  <c r="T34" i="2"/>
  <c r="S34" i="2"/>
  <c r="R34" i="2"/>
  <c r="R25" i="2" s="1"/>
  <c r="O34" i="2"/>
  <c r="N34" i="2"/>
  <c r="M34" i="2"/>
  <c r="J34" i="2"/>
  <c r="G34" i="2"/>
  <c r="G25" i="2" s="1"/>
  <c r="F34" i="2"/>
  <c r="W33" i="2"/>
  <c r="H33" i="2"/>
  <c r="W32" i="2"/>
  <c r="V31" i="2"/>
  <c r="U31" i="2"/>
  <c r="T31" i="2"/>
  <c r="S31" i="2"/>
  <c r="R31" i="2"/>
  <c r="Q31" i="2"/>
  <c r="P31" i="2"/>
  <c r="O31" i="2"/>
  <c r="N31" i="2"/>
  <c r="M31" i="2"/>
  <c r="J31" i="2"/>
  <c r="I31" i="2"/>
  <c r="G31" i="2"/>
  <c r="F31" i="2"/>
  <c r="W28" i="2"/>
  <c r="K28" i="2"/>
  <c r="W27" i="2"/>
  <c r="K27" i="2"/>
  <c r="V26" i="2"/>
  <c r="U26" i="2"/>
  <c r="T26" i="2"/>
  <c r="S26" i="2"/>
  <c r="R26" i="2"/>
  <c r="Q26" i="2"/>
  <c r="Q25" i="2" s="1"/>
  <c r="P26" i="2"/>
  <c r="O26" i="2"/>
  <c r="N26" i="2"/>
  <c r="M26" i="2"/>
  <c r="J26" i="2"/>
  <c r="I26" i="2"/>
  <c r="G26" i="2"/>
  <c r="F26" i="2"/>
  <c r="W24" i="2"/>
  <c r="H24" i="2"/>
  <c r="W23" i="2"/>
  <c r="H23" i="2"/>
  <c r="W22" i="2"/>
  <c r="H22" i="2"/>
  <c r="W21" i="2"/>
  <c r="K21" i="2"/>
  <c r="H21" i="2"/>
  <c r="V20" i="2"/>
  <c r="V19" i="2" s="1"/>
  <c r="U20" i="2"/>
  <c r="U19" i="2" s="1"/>
  <c r="T20" i="2"/>
  <c r="S20" i="2"/>
  <c r="S19" i="2" s="1"/>
  <c r="R20" i="2"/>
  <c r="R19" i="2" s="1"/>
  <c r="Q20" i="2"/>
  <c r="Q19" i="2" s="1"/>
  <c r="P20" i="2"/>
  <c r="P19" i="2" s="1"/>
  <c r="O20" i="2"/>
  <c r="O19" i="2" s="1"/>
  <c r="N20" i="2"/>
  <c r="N19" i="2" s="1"/>
  <c r="M20" i="2"/>
  <c r="J20" i="2"/>
  <c r="I20" i="2"/>
  <c r="I19" i="2" s="1"/>
  <c r="G20" i="2"/>
  <c r="F20" i="2"/>
  <c r="F19" i="2" s="1"/>
  <c r="T19" i="2"/>
  <c r="W18" i="2"/>
  <c r="W17" i="2"/>
  <c r="W16" i="2"/>
  <c r="W15" i="2"/>
  <c r="W14" i="2"/>
  <c r="W13" i="2"/>
  <c r="W12" i="2"/>
  <c r="W11" i="2"/>
  <c r="W10" i="2"/>
  <c r="K10" i="2"/>
  <c r="H10" i="2"/>
  <c r="V9" i="2"/>
  <c r="U9" i="2"/>
  <c r="T9" i="2"/>
  <c r="S9" i="2"/>
  <c r="R9" i="2"/>
  <c r="Q9" i="2"/>
  <c r="P9" i="2"/>
  <c r="O9" i="2"/>
  <c r="N9" i="2"/>
  <c r="M9" i="2"/>
  <c r="J9" i="2"/>
  <c r="I9" i="2"/>
  <c r="G9" i="2"/>
  <c r="F9" i="2"/>
  <c r="K8" i="2"/>
  <c r="H8" i="2"/>
  <c r="V7" i="2"/>
  <c r="U7" i="2"/>
  <c r="T7" i="2"/>
  <c r="S7" i="2"/>
  <c r="R7" i="2"/>
  <c r="Q7" i="2"/>
  <c r="P7" i="2"/>
  <c r="O7" i="2"/>
  <c r="N7" i="2"/>
  <c r="M7" i="2"/>
  <c r="J7" i="2"/>
  <c r="I7" i="2"/>
  <c r="G7" i="2"/>
  <c r="F7" i="2"/>
  <c r="W6" i="2"/>
  <c r="H6" i="2"/>
  <c r="V5" i="2"/>
  <c r="V4" i="2" s="1"/>
  <c r="U5" i="2"/>
  <c r="T5" i="2"/>
  <c r="T4" i="2" s="1"/>
  <c r="S5" i="2"/>
  <c r="R5" i="2"/>
  <c r="R4" i="2" s="1"/>
  <c r="Q5" i="2"/>
  <c r="P5" i="2"/>
  <c r="P4" i="2" s="1"/>
  <c r="O5" i="2"/>
  <c r="N5" i="2"/>
  <c r="N4" i="2" s="1"/>
  <c r="M5" i="2"/>
  <c r="L5" i="2"/>
  <c r="J5" i="2"/>
  <c r="I5" i="2"/>
  <c r="G5" i="2"/>
  <c r="F5" i="2"/>
  <c r="F256" i="1"/>
  <c r="J252" i="1"/>
  <c r="I252" i="1"/>
  <c r="G252" i="1"/>
  <c r="F252" i="1"/>
  <c r="J251" i="1"/>
  <c r="I251" i="1"/>
  <c r="G251" i="1"/>
  <c r="F251" i="1"/>
  <c r="I250" i="1"/>
  <c r="G250" i="1"/>
  <c r="F250" i="1"/>
  <c r="I249" i="1"/>
  <c r="G249" i="1"/>
  <c r="F249" i="1"/>
  <c r="J248" i="1"/>
  <c r="I248" i="1"/>
  <c r="G248" i="1"/>
  <c r="F248" i="1"/>
  <c r="J247" i="1"/>
  <c r="I247" i="1"/>
  <c r="G247" i="1"/>
  <c r="F247" i="1"/>
  <c r="J205" i="1"/>
  <c r="K200" i="1"/>
  <c r="J191" i="1"/>
  <c r="J190" i="1" s="1"/>
  <c r="I191" i="1"/>
  <c r="I190" i="1" s="1"/>
  <c r="G191" i="1"/>
  <c r="F191" i="1"/>
  <c r="F190" i="1" s="1"/>
  <c r="G190" i="1"/>
  <c r="J186" i="1"/>
  <c r="I186" i="1"/>
  <c r="G186" i="1"/>
  <c r="F186" i="1"/>
  <c r="K185" i="1"/>
  <c r="H185" i="1"/>
  <c r="J184" i="1"/>
  <c r="J183" i="1" s="1"/>
  <c r="I184" i="1"/>
  <c r="G184" i="1"/>
  <c r="H184" i="1" s="1"/>
  <c r="F184" i="1"/>
  <c r="F183" i="1" s="1"/>
  <c r="I183" i="1"/>
  <c r="J181" i="1"/>
  <c r="I181" i="1"/>
  <c r="G181" i="1"/>
  <c r="F181" i="1"/>
  <c r="K180" i="1"/>
  <c r="H180" i="1"/>
  <c r="J178" i="1"/>
  <c r="I178" i="1"/>
  <c r="I170" i="1" s="1"/>
  <c r="G178" i="1"/>
  <c r="F178" i="1"/>
  <c r="K174" i="1"/>
  <c r="K173" i="1" s="1"/>
  <c r="J173" i="1"/>
  <c r="I173" i="1"/>
  <c r="G173" i="1"/>
  <c r="F173" i="1"/>
  <c r="K172" i="1"/>
  <c r="H172" i="1"/>
  <c r="J171" i="1"/>
  <c r="I171" i="1"/>
  <c r="H171" i="1"/>
  <c r="G171" i="1"/>
  <c r="F171" i="1"/>
  <c r="K169" i="1"/>
  <c r="H169" i="1"/>
  <c r="K168" i="1"/>
  <c r="H168" i="1"/>
  <c r="J167" i="1"/>
  <c r="J166" i="1" s="1"/>
  <c r="I167" i="1"/>
  <c r="I166" i="1" s="1"/>
  <c r="G167" i="1"/>
  <c r="F167" i="1"/>
  <c r="F166" i="1" s="1"/>
  <c r="J164" i="1"/>
  <c r="I164" i="1"/>
  <c r="I163" i="1" s="1"/>
  <c r="G164" i="1"/>
  <c r="G163" i="1" s="1"/>
  <c r="F164" i="1"/>
  <c r="J163" i="1"/>
  <c r="F163" i="1"/>
  <c r="K162" i="1"/>
  <c r="H162" i="1"/>
  <c r="K161" i="1"/>
  <c r="H161" i="1"/>
  <c r="H160" i="1"/>
  <c r="J159" i="1"/>
  <c r="I159" i="1"/>
  <c r="G159" i="1"/>
  <c r="F159" i="1"/>
  <c r="H158" i="1"/>
  <c r="J157" i="1"/>
  <c r="I157" i="1"/>
  <c r="G157" i="1"/>
  <c r="F157" i="1"/>
  <c r="K156" i="1"/>
  <c r="H156" i="1"/>
  <c r="K155" i="1"/>
  <c r="H155" i="1"/>
  <c r="K154" i="1"/>
  <c r="H154" i="1"/>
  <c r="J153" i="1"/>
  <c r="I153" i="1"/>
  <c r="G153" i="1"/>
  <c r="F153" i="1"/>
  <c r="K153" i="1" s="1"/>
  <c r="K152" i="1"/>
  <c r="H152" i="1"/>
  <c r="J151" i="1"/>
  <c r="I151" i="1"/>
  <c r="G151" i="1"/>
  <c r="F151" i="1"/>
  <c r="K150" i="1"/>
  <c r="H150" i="1"/>
  <c r="K149" i="1"/>
  <c r="H149" i="1"/>
  <c r="J148" i="1"/>
  <c r="I148" i="1"/>
  <c r="I146" i="1" s="1"/>
  <c r="G148" i="1"/>
  <c r="F148" i="1"/>
  <c r="J146" i="1"/>
  <c r="G146" i="1"/>
  <c r="F146" i="1"/>
  <c r="K145" i="1"/>
  <c r="H145" i="1"/>
  <c r="K144" i="1"/>
  <c r="H144" i="1"/>
  <c r="J143" i="1"/>
  <c r="I143" i="1"/>
  <c r="G143" i="1"/>
  <c r="F143" i="1"/>
  <c r="K140" i="1"/>
  <c r="H140" i="1"/>
  <c r="J139" i="1"/>
  <c r="I139" i="1"/>
  <c r="G139" i="1"/>
  <c r="H139" i="1" s="1"/>
  <c r="F139" i="1"/>
  <c r="K138" i="1"/>
  <c r="K137" i="1"/>
  <c r="K136" i="1"/>
  <c r="K135" i="1"/>
  <c r="H135" i="1"/>
  <c r="J134" i="1"/>
  <c r="K134" i="1" s="1"/>
  <c r="I134" i="1"/>
  <c r="G134" i="1"/>
  <c r="H134" i="1" s="1"/>
  <c r="F134" i="1"/>
  <c r="H133" i="1"/>
  <c r="J132" i="1"/>
  <c r="I132" i="1"/>
  <c r="G132" i="1"/>
  <c r="F132" i="1"/>
  <c r="J129" i="1"/>
  <c r="H129" i="1"/>
  <c r="K128" i="1"/>
  <c r="H128" i="1"/>
  <c r="J127" i="1"/>
  <c r="I127" i="1"/>
  <c r="G127" i="1"/>
  <c r="F127" i="1"/>
  <c r="J126" i="1"/>
  <c r="K126" i="1" s="1"/>
  <c r="H126" i="1"/>
  <c r="I124" i="1"/>
  <c r="G124" i="1"/>
  <c r="F124" i="1"/>
  <c r="H123" i="1"/>
  <c r="H122" i="1"/>
  <c r="H121" i="1"/>
  <c r="H117" i="1"/>
  <c r="H116" i="1"/>
  <c r="K115" i="1"/>
  <c r="J115" i="1"/>
  <c r="J114" i="1" s="1"/>
  <c r="H115" i="1"/>
  <c r="I114" i="1"/>
  <c r="G114" i="1"/>
  <c r="F114" i="1"/>
  <c r="K113" i="1"/>
  <c r="H113" i="1"/>
  <c r="J112" i="1"/>
  <c r="I112" i="1"/>
  <c r="G112" i="1"/>
  <c r="F112" i="1"/>
  <c r="H111" i="1"/>
  <c r="K108" i="1"/>
  <c r="H108" i="1"/>
  <c r="J106" i="1"/>
  <c r="I106" i="1"/>
  <c r="G106" i="1"/>
  <c r="F106" i="1"/>
  <c r="K104" i="1"/>
  <c r="H104" i="1"/>
  <c r="J103" i="1"/>
  <c r="I103" i="1"/>
  <c r="G103" i="1"/>
  <c r="F103" i="1"/>
  <c r="K102" i="1"/>
  <c r="H102" i="1"/>
  <c r="K101" i="1"/>
  <c r="H101" i="1"/>
  <c r="K100" i="1"/>
  <c r="H100" i="1"/>
  <c r="J98" i="1"/>
  <c r="K98" i="1" s="1"/>
  <c r="H98" i="1"/>
  <c r="I97" i="1"/>
  <c r="G97" i="1"/>
  <c r="F97" i="1"/>
  <c r="K96" i="1"/>
  <c r="H96" i="1"/>
  <c r="J95" i="1"/>
  <c r="I95" i="1"/>
  <c r="G95" i="1"/>
  <c r="F95" i="1"/>
  <c r="K94" i="1"/>
  <c r="H94" i="1"/>
  <c r="J93" i="1"/>
  <c r="I93" i="1"/>
  <c r="G93" i="1"/>
  <c r="F93" i="1"/>
  <c r="K91" i="1"/>
  <c r="H91" i="1"/>
  <c r="K90" i="1"/>
  <c r="H90" i="1"/>
  <c r="J89" i="1"/>
  <c r="I89" i="1"/>
  <c r="G89" i="1"/>
  <c r="F89" i="1"/>
  <c r="K84" i="1"/>
  <c r="H84" i="1"/>
  <c r="J83" i="1"/>
  <c r="I83" i="1"/>
  <c r="G83" i="1"/>
  <c r="F83" i="1"/>
  <c r="J73" i="1"/>
  <c r="H73" i="1"/>
  <c r="I72" i="1"/>
  <c r="G72" i="1"/>
  <c r="F72" i="1"/>
  <c r="J64" i="1"/>
  <c r="J63" i="1" s="1"/>
  <c r="H64" i="1"/>
  <c r="I63" i="1"/>
  <c r="G63" i="1"/>
  <c r="F63" i="1"/>
  <c r="K61" i="1"/>
  <c r="H61" i="1"/>
  <c r="J60" i="1"/>
  <c r="I60" i="1"/>
  <c r="G60" i="1"/>
  <c r="F60" i="1"/>
  <c r="J57" i="1"/>
  <c r="J56" i="1" s="1"/>
  <c r="I57" i="1"/>
  <c r="I56" i="1" s="1"/>
  <c r="G57" i="1"/>
  <c r="F57" i="1"/>
  <c r="F56" i="1" s="1"/>
  <c r="I54" i="1"/>
  <c r="G54" i="1"/>
  <c r="F54" i="1"/>
  <c r="K54" i="1" s="1"/>
  <c r="K53" i="1"/>
  <c r="H53" i="1"/>
  <c r="J52" i="1"/>
  <c r="I52" i="1"/>
  <c r="G52" i="1"/>
  <c r="F52" i="1"/>
  <c r="K51" i="1"/>
  <c r="H51" i="1"/>
  <c r="J50" i="1"/>
  <c r="I50" i="1"/>
  <c r="G50" i="1"/>
  <c r="F50" i="1"/>
  <c r="K48" i="1"/>
  <c r="K46" i="1"/>
  <c r="K45" i="1"/>
  <c r="H45" i="1"/>
  <c r="J44" i="1"/>
  <c r="I44" i="1"/>
  <c r="G44" i="1"/>
  <c r="F44" i="1"/>
  <c r="K42" i="1"/>
  <c r="H42" i="1"/>
  <c r="J41" i="1"/>
  <c r="I41" i="1"/>
  <c r="G41" i="1"/>
  <c r="F41" i="1"/>
  <c r="J32" i="1"/>
  <c r="K29" i="1"/>
  <c r="H29" i="1"/>
  <c r="I28" i="1"/>
  <c r="I27" i="1" s="1"/>
  <c r="G28" i="1"/>
  <c r="G27" i="1" s="1"/>
  <c r="F28" i="1"/>
  <c r="F27" i="1" s="1"/>
  <c r="K26" i="1"/>
  <c r="H26" i="1"/>
  <c r="K25" i="1"/>
  <c r="H25" i="1"/>
  <c r="H24" i="1" s="1"/>
  <c r="H23" i="1" s="1"/>
  <c r="J24" i="1"/>
  <c r="J23" i="1" s="1"/>
  <c r="I24" i="1"/>
  <c r="I23" i="1" s="1"/>
  <c r="G24" i="1"/>
  <c r="G23" i="1" s="1"/>
  <c r="F24" i="1"/>
  <c r="F23" i="1" s="1"/>
  <c r="K22" i="1"/>
  <c r="H22" i="1"/>
  <c r="J21" i="1"/>
  <c r="J20" i="1" s="1"/>
  <c r="I21" i="1"/>
  <c r="I20" i="1" s="1"/>
  <c r="G21" i="1"/>
  <c r="G20" i="1" s="1"/>
  <c r="F21" i="1"/>
  <c r="F20" i="1" s="1"/>
  <c r="K19" i="1"/>
  <c r="H19" i="1"/>
  <c r="J18" i="1"/>
  <c r="J17" i="1" s="1"/>
  <c r="I18" i="1"/>
  <c r="I17" i="1" s="1"/>
  <c r="G18" i="1"/>
  <c r="G17" i="1" s="1"/>
  <c r="F18" i="1"/>
  <c r="F17" i="1" s="1"/>
  <c r="K14" i="1"/>
  <c r="H14" i="1"/>
  <c r="K12" i="1"/>
  <c r="H12" i="1"/>
  <c r="J11" i="1"/>
  <c r="I11" i="1"/>
  <c r="G11" i="1"/>
  <c r="F11" i="1"/>
  <c r="J9" i="1"/>
  <c r="I9" i="1"/>
  <c r="G9" i="1"/>
  <c r="H9" i="1" s="1"/>
  <c r="F9" i="1"/>
  <c r="J6" i="1"/>
  <c r="I6" i="1"/>
  <c r="G6" i="1"/>
  <c r="F6" i="1"/>
  <c r="H549" i="2" l="1"/>
  <c r="U25" i="2"/>
  <c r="J25" i="2"/>
  <c r="H180" i="2"/>
  <c r="H20" i="2"/>
  <c r="S25" i="2"/>
  <c r="N48" i="2"/>
  <c r="P25" i="2"/>
  <c r="F25" i="2"/>
  <c r="N25" i="2"/>
  <c r="T25" i="2"/>
  <c r="K311" i="2"/>
  <c r="I335" i="2"/>
  <c r="K347" i="2"/>
  <c r="K383" i="2"/>
  <c r="K416" i="2"/>
  <c r="K431" i="2"/>
  <c r="K435" i="2"/>
  <c r="K462" i="2"/>
  <c r="K468" i="2"/>
  <c r="K476" i="2"/>
  <c r="K515" i="2"/>
  <c r="K269" i="2"/>
  <c r="K295" i="2"/>
  <c r="K422" i="2"/>
  <c r="I553" i="2"/>
  <c r="O25" i="2"/>
  <c r="V25" i="2"/>
  <c r="H136" i="2"/>
  <c r="M25" i="2"/>
  <c r="H49" i="2"/>
  <c r="K432" i="2"/>
  <c r="W549" i="2"/>
  <c r="W350" i="2"/>
  <c r="W553" i="2"/>
  <c r="K549" i="2"/>
  <c r="K127" i="2"/>
  <c r="K136" i="2"/>
  <c r="H140" i="2"/>
  <c r="K176" i="2"/>
  <c r="K393" i="2"/>
  <c r="O521" i="2"/>
  <c r="F521" i="2"/>
  <c r="K186" i="2"/>
  <c r="K196" i="2"/>
  <c r="O453" i="2"/>
  <c r="O487" i="2"/>
  <c r="K350" i="2"/>
  <c r="K89" i="2"/>
  <c r="I195" i="2"/>
  <c r="Q86" i="2"/>
  <c r="K125" i="2"/>
  <c r="K131" i="2"/>
  <c r="U156" i="2"/>
  <c r="H424" i="2"/>
  <c r="J65" i="2"/>
  <c r="H125" i="2"/>
  <c r="K140" i="2"/>
  <c r="P135" i="2"/>
  <c r="T156" i="2"/>
  <c r="H386" i="2"/>
  <c r="M349" i="2"/>
  <c r="K34" i="2"/>
  <c r="K180" i="2"/>
  <c r="H186" i="2"/>
  <c r="S195" i="2"/>
  <c r="H311" i="2"/>
  <c r="W311" i="2"/>
  <c r="T331" i="2"/>
  <c r="W364" i="2"/>
  <c r="U349" i="2"/>
  <c r="H388" i="2"/>
  <c r="H393" i="2"/>
  <c r="H422" i="2"/>
  <c r="N434" i="2"/>
  <c r="R434" i="2"/>
  <c r="V434" i="2"/>
  <c r="I453" i="2"/>
  <c r="O48" i="2"/>
  <c r="W69" i="2"/>
  <c r="K72" i="2"/>
  <c r="K160" i="2"/>
  <c r="P434" i="2"/>
  <c r="J48" i="2"/>
  <c r="J156" i="2"/>
  <c r="H160" i="2"/>
  <c r="N453" i="2"/>
  <c r="R453" i="2"/>
  <c r="V453" i="2"/>
  <c r="J457" i="2"/>
  <c r="K457" i="2" s="1"/>
  <c r="H462" i="2"/>
  <c r="Q453" i="2"/>
  <c r="W468" i="2"/>
  <c r="K5" i="2"/>
  <c r="K20" i="2"/>
  <c r="K26" i="2"/>
  <c r="H42" i="2"/>
  <c r="K51" i="2"/>
  <c r="H66" i="2"/>
  <c r="Q156" i="2"/>
  <c r="P195" i="2"/>
  <c r="K328" i="2"/>
  <c r="J434" i="2"/>
  <c r="T434" i="2"/>
  <c r="H447" i="2"/>
  <c r="H451" i="2"/>
  <c r="F65" i="2"/>
  <c r="K65" i="2" s="1"/>
  <c r="K7" i="2"/>
  <c r="K9" i="2"/>
  <c r="W51" i="2"/>
  <c r="N71" i="2"/>
  <c r="S71" i="2"/>
  <c r="F88" i="2"/>
  <c r="H88" i="2" s="1"/>
  <c r="K96" i="2"/>
  <c r="W127" i="2"/>
  <c r="N135" i="2"/>
  <c r="R135" i="2"/>
  <c r="V135" i="2"/>
  <c r="K148" i="2"/>
  <c r="H176" i="2"/>
  <c r="P180" i="2"/>
  <c r="W180" i="2" s="1"/>
  <c r="M195" i="2"/>
  <c r="Q195" i="2"/>
  <c r="U195" i="2"/>
  <c r="F453" i="2"/>
  <c r="P453" i="2"/>
  <c r="T453" i="2"/>
  <c r="H464" i="2"/>
  <c r="H472" i="2"/>
  <c r="K157" i="2"/>
  <c r="K187" i="2"/>
  <c r="H7" i="2"/>
  <c r="K31" i="2"/>
  <c r="K41" i="2"/>
  <c r="F48" i="2"/>
  <c r="K48" i="2" s="1"/>
  <c r="K69" i="2"/>
  <c r="K80" i="2"/>
  <c r="I434" i="2"/>
  <c r="S453" i="2"/>
  <c r="W508" i="2"/>
  <c r="J19" i="2"/>
  <c r="K19" i="2" s="1"/>
  <c r="H25" i="2"/>
  <c r="P71" i="2"/>
  <c r="I156" i="2"/>
  <c r="W34" i="2"/>
  <c r="M71" i="2"/>
  <c r="Q71" i="2"/>
  <c r="U71" i="2"/>
  <c r="W157" i="2"/>
  <c r="S156" i="2"/>
  <c r="H295" i="2"/>
  <c r="G331" i="2"/>
  <c r="R331" i="2"/>
  <c r="H335" i="2"/>
  <c r="I331" i="2"/>
  <c r="H347" i="2"/>
  <c r="J388" i="2"/>
  <c r="K388" i="2" s="1"/>
  <c r="O388" i="2"/>
  <c r="O349" i="2" s="1"/>
  <c r="F434" i="2"/>
  <c r="H468" i="2"/>
  <c r="H476" i="2"/>
  <c r="W478" i="2"/>
  <c r="F487" i="2"/>
  <c r="W488" i="2"/>
  <c r="Q487" i="2"/>
  <c r="U487" i="2"/>
  <c r="W492" i="2"/>
  <c r="H508" i="2"/>
  <c r="S487" i="2"/>
  <c r="I521" i="2"/>
  <c r="P521" i="2"/>
  <c r="T521" i="2"/>
  <c r="J532" i="2"/>
  <c r="K532" i="2" s="1"/>
  <c r="I4" i="2"/>
  <c r="G4" i="2"/>
  <c r="H9" i="2"/>
  <c r="S48" i="2"/>
  <c r="G48" i="2"/>
  <c r="H48" i="2" s="1"/>
  <c r="H69" i="2"/>
  <c r="I86" i="2"/>
  <c r="H100" i="2"/>
  <c r="F99" i="2"/>
  <c r="W131" i="2"/>
  <c r="T135" i="2"/>
  <c r="F156" i="2"/>
  <c r="K156" i="2" s="1"/>
  <c r="H187" i="2"/>
  <c r="J331" i="2"/>
  <c r="P331" i="2"/>
  <c r="F349" i="2"/>
  <c r="Q349" i="2"/>
  <c r="H354" i="2"/>
  <c r="H364" i="2"/>
  <c r="H390" i="2"/>
  <c r="W451" i="2"/>
  <c r="M453" i="2"/>
  <c r="U453" i="2"/>
  <c r="K464" i="2"/>
  <c r="H478" i="2"/>
  <c r="I487" i="2"/>
  <c r="H492" i="2"/>
  <c r="N521" i="2"/>
  <c r="R521" i="2"/>
  <c r="V521" i="2"/>
  <c r="H532" i="2"/>
  <c r="M521" i="2"/>
  <c r="U521" i="2"/>
  <c r="K92" i="2"/>
  <c r="W80" i="2"/>
  <c r="J349" i="2"/>
  <c r="W393" i="2"/>
  <c r="K42" i="2"/>
  <c r="K49" i="2"/>
  <c r="K66" i="2"/>
  <c r="K102" i="2"/>
  <c r="F4" i="2"/>
  <c r="W20" i="2"/>
  <c r="W26" i="2"/>
  <c r="I34" i="2"/>
  <c r="I25" i="2" s="1"/>
  <c r="W42" i="2"/>
  <c r="U48" i="2"/>
  <c r="H5" i="2"/>
  <c r="W5" i="2"/>
  <c r="Q4" i="2"/>
  <c r="U4" i="2"/>
  <c r="O4" i="2"/>
  <c r="S4" i="2"/>
  <c r="G19" i="2"/>
  <c r="H19" i="2" s="1"/>
  <c r="H31" i="2"/>
  <c r="K25" i="2"/>
  <c r="G41" i="2"/>
  <c r="H41" i="2" s="1"/>
  <c r="M48" i="2"/>
  <c r="Q48" i="2"/>
  <c r="V48" i="2"/>
  <c r="P48" i="2"/>
  <c r="T48" i="2"/>
  <c r="T71" i="2"/>
  <c r="H131" i="2"/>
  <c r="F135" i="2"/>
  <c r="M135" i="2"/>
  <c r="Q135" i="2"/>
  <c r="U135" i="2"/>
  <c r="K243" i="2"/>
  <c r="W148" i="2"/>
  <c r="J4" i="2"/>
  <c r="W7" i="2"/>
  <c r="W31" i="2"/>
  <c r="H34" i="2"/>
  <c r="I48" i="2"/>
  <c r="H51" i="2"/>
  <c r="I65" i="2"/>
  <c r="H72" i="2"/>
  <c r="V71" i="2"/>
  <c r="H80" i="2"/>
  <c r="G135" i="2"/>
  <c r="H135" i="2" s="1"/>
  <c r="I135" i="2"/>
  <c r="W136" i="2"/>
  <c r="S135" i="2"/>
  <c r="H148" i="2"/>
  <c r="M156" i="2"/>
  <c r="N156" i="2"/>
  <c r="R156" i="2"/>
  <c r="V156" i="2"/>
  <c r="F190" i="2"/>
  <c r="F189" i="2" s="1"/>
  <c r="K189" i="2" s="1"/>
  <c r="N195" i="2"/>
  <c r="W196" i="2"/>
  <c r="G65" i="2"/>
  <c r="M65" i="2"/>
  <c r="Q65" i="2"/>
  <c r="U65" i="2"/>
  <c r="H96" i="2"/>
  <c r="K100" i="2"/>
  <c r="W125" i="2"/>
  <c r="H127" i="2"/>
  <c r="J135" i="2"/>
  <c r="H157" i="2"/>
  <c r="W176" i="2"/>
  <c r="T195" i="2"/>
  <c r="W219" i="2"/>
  <c r="H269" i="2"/>
  <c r="W291" i="2"/>
  <c r="H315" i="2"/>
  <c r="N331" i="2"/>
  <c r="V331" i="2"/>
  <c r="W347" i="2"/>
  <c r="W386" i="2"/>
  <c r="W390" i="2"/>
  <c r="H416" i="2"/>
  <c r="W422" i="2"/>
  <c r="O434" i="2"/>
  <c r="S434" i="2"/>
  <c r="H457" i="2"/>
  <c r="W462" i="2"/>
  <c r="J478" i="2"/>
  <c r="M487" i="2"/>
  <c r="P487" i="2"/>
  <c r="T487" i="2"/>
  <c r="J492" i="2"/>
  <c r="H513" i="2"/>
  <c r="W513" i="2"/>
  <c r="H515" i="2"/>
  <c r="G521" i="2"/>
  <c r="H431" i="2"/>
  <c r="R195" i="2"/>
  <c r="V195" i="2"/>
  <c r="H219" i="2"/>
  <c r="F235" i="2"/>
  <c r="H235" i="2" s="1"/>
  <c r="W269" i="2"/>
  <c r="H291" i="2"/>
  <c r="W295" i="2"/>
  <c r="W315" i="2"/>
  <c r="W328" i="2"/>
  <c r="F331" i="2"/>
  <c r="H331" i="2" s="1"/>
  <c r="M331" i="2"/>
  <c r="Q331" i="2"/>
  <c r="U331" i="2"/>
  <c r="H350" i="2"/>
  <c r="N349" i="2"/>
  <c r="R349" i="2"/>
  <c r="V349" i="2"/>
  <c r="W383" i="2"/>
  <c r="W416" i="2"/>
  <c r="W424" i="2"/>
  <c r="W432" i="2"/>
  <c r="G434" i="2"/>
  <c r="W435" i="2"/>
  <c r="Q434" i="2"/>
  <c r="U434" i="2"/>
  <c r="H454" i="2"/>
  <c r="W454" i="2"/>
  <c r="W457" i="2"/>
  <c r="W464" i="2"/>
  <c r="G487" i="2"/>
  <c r="H487" i="2" s="1"/>
  <c r="N487" i="2"/>
  <c r="R487" i="2"/>
  <c r="V487" i="2"/>
  <c r="H511" i="2"/>
  <c r="W511" i="2"/>
  <c r="W515" i="2"/>
  <c r="W522" i="2"/>
  <c r="W354" i="2"/>
  <c r="S349" i="2"/>
  <c r="W388" i="2"/>
  <c r="H435" i="2"/>
  <c r="W447" i="2"/>
  <c r="W472" i="2"/>
  <c r="W476" i="2"/>
  <c r="W532" i="2"/>
  <c r="F40" i="1"/>
  <c r="F170" i="1"/>
  <c r="K106" i="1"/>
  <c r="J28" i="1"/>
  <c r="J27" i="1" s="1"/>
  <c r="K63" i="1"/>
  <c r="H52" i="1"/>
  <c r="H63" i="1"/>
  <c r="H83" i="1"/>
  <c r="K93" i="1"/>
  <c r="K146" i="1"/>
  <c r="K41" i="1"/>
  <c r="H44" i="1"/>
  <c r="H54" i="1"/>
  <c r="F131" i="1"/>
  <c r="H148" i="1"/>
  <c r="J170" i="1"/>
  <c r="K11" i="1"/>
  <c r="H50" i="1"/>
  <c r="I59" i="1"/>
  <c r="K89" i="1"/>
  <c r="H95" i="1"/>
  <c r="H114" i="1"/>
  <c r="H132" i="1"/>
  <c r="H143" i="1"/>
  <c r="H151" i="1"/>
  <c r="H157" i="1"/>
  <c r="H167" i="1"/>
  <c r="H178" i="1"/>
  <c r="F105" i="1"/>
  <c r="J250" i="1"/>
  <c r="H11" i="1"/>
  <c r="H17" i="1"/>
  <c r="H41" i="1"/>
  <c r="K64" i="1"/>
  <c r="H72" i="1"/>
  <c r="I92" i="1"/>
  <c r="K95" i="1"/>
  <c r="I105" i="1"/>
  <c r="H112" i="1"/>
  <c r="K114" i="1"/>
  <c r="K151" i="1"/>
  <c r="H159" i="1"/>
  <c r="K166" i="1"/>
  <c r="H27" i="1"/>
  <c r="F49" i="1"/>
  <c r="G5" i="1"/>
  <c r="J40" i="1"/>
  <c r="K40" i="1" s="1"/>
  <c r="F59" i="1"/>
  <c r="K60" i="1"/>
  <c r="F92" i="1"/>
  <c r="G105" i="1"/>
  <c r="H105" i="1" s="1"/>
  <c r="J131" i="1"/>
  <c r="K139" i="1"/>
  <c r="K148" i="1"/>
  <c r="F5" i="1"/>
  <c r="K17" i="1"/>
  <c r="K27" i="1"/>
  <c r="I40" i="1"/>
  <c r="K44" i="1"/>
  <c r="I49" i="1"/>
  <c r="K52" i="1"/>
  <c r="H60" i="1"/>
  <c r="H93" i="1"/>
  <c r="J97" i="1"/>
  <c r="K97" i="1" s="1"/>
  <c r="K103" i="1"/>
  <c r="H106" i="1"/>
  <c r="J249" i="1"/>
  <c r="J124" i="1"/>
  <c r="K127" i="1"/>
  <c r="H146" i="1"/>
  <c r="H153" i="1"/>
  <c r="K131" i="1"/>
  <c r="I5" i="1"/>
  <c r="H18" i="1"/>
  <c r="K21" i="1"/>
  <c r="H28" i="1"/>
  <c r="G40" i="1"/>
  <c r="H40" i="1" s="1"/>
  <c r="G49" i="1"/>
  <c r="H49" i="1" s="1"/>
  <c r="K83" i="1"/>
  <c r="H89" i="1"/>
  <c r="H97" i="1"/>
  <c r="H103" i="1"/>
  <c r="H124" i="1"/>
  <c r="H127" i="1"/>
  <c r="G131" i="1"/>
  <c r="H131" i="1" s="1"/>
  <c r="I131" i="1"/>
  <c r="I194" i="1" s="1"/>
  <c r="I196" i="1" s="1"/>
  <c r="K143" i="1"/>
  <c r="G170" i="1"/>
  <c r="H170" i="1" s="1"/>
  <c r="K178" i="1"/>
  <c r="K50" i="1"/>
  <c r="J49" i="1"/>
  <c r="K49" i="1" s="1"/>
  <c r="D28" i="3"/>
  <c r="D33" i="3"/>
  <c r="D35" i="3" s="1"/>
  <c r="I28" i="3"/>
  <c r="I33" i="3"/>
  <c r="I35" i="3" s="1"/>
  <c r="Q28" i="3"/>
  <c r="Q33" i="3"/>
  <c r="Q35" i="3" s="1"/>
  <c r="Y28" i="3"/>
  <c r="Y33" i="3"/>
  <c r="Y35" i="3" s="1"/>
  <c r="H26" i="3"/>
  <c r="H19" i="3"/>
  <c r="E28" i="3"/>
  <c r="E33" i="3"/>
  <c r="E35" i="3" s="1"/>
  <c r="M28" i="3"/>
  <c r="M33" i="3"/>
  <c r="M35" i="3" s="1"/>
  <c r="J19" i="3"/>
  <c r="J26" i="3"/>
  <c r="L13" i="3"/>
  <c r="N11" i="3"/>
  <c r="L14" i="3"/>
  <c r="J16" i="3"/>
  <c r="U28" i="3"/>
  <c r="U33" i="3"/>
  <c r="U35" i="3" s="1"/>
  <c r="L5" i="3"/>
  <c r="D19" i="3"/>
  <c r="I25" i="3"/>
  <c r="Q25" i="3"/>
  <c r="U25" i="3"/>
  <c r="Y25" i="3"/>
  <c r="AC25" i="3"/>
  <c r="AC28" i="3" s="1"/>
  <c r="J7" i="3"/>
  <c r="J13" i="3"/>
  <c r="F17" i="3"/>
  <c r="J22" i="3"/>
  <c r="G26" i="3"/>
  <c r="K26" i="3"/>
  <c r="O26" i="3"/>
  <c r="S26" i="3"/>
  <c r="W26" i="3"/>
  <c r="AA26" i="3"/>
  <c r="L20" i="3"/>
  <c r="H4" i="2"/>
  <c r="W65" i="2"/>
  <c r="W189" i="2"/>
  <c r="W9" i="2"/>
  <c r="R49" i="2"/>
  <c r="R48" i="2" s="1"/>
  <c r="M4" i="2"/>
  <c r="W4" i="2" s="1"/>
  <c r="H26" i="2"/>
  <c r="M41" i="2"/>
  <c r="W41" i="2" s="1"/>
  <c r="W49" i="2"/>
  <c r="O71" i="2"/>
  <c r="M19" i="2"/>
  <c r="W19" i="2" s="1"/>
  <c r="W66" i="2"/>
  <c r="W72" i="2"/>
  <c r="R86" i="2"/>
  <c r="R71" i="2" s="1"/>
  <c r="J88" i="2"/>
  <c r="F91" i="2"/>
  <c r="J99" i="2"/>
  <c r="W140" i="2"/>
  <c r="O156" i="2"/>
  <c r="O195" i="2"/>
  <c r="H196" i="2"/>
  <c r="W235" i="2"/>
  <c r="K236" i="2"/>
  <c r="J235" i="2"/>
  <c r="G349" i="2"/>
  <c r="H349" i="2" s="1"/>
  <c r="U539" i="2"/>
  <c r="U541" i="2" s="1"/>
  <c r="O135" i="2"/>
  <c r="G156" i="2"/>
  <c r="H156" i="2" s="1"/>
  <c r="P160" i="2"/>
  <c r="I349" i="2"/>
  <c r="W521" i="2"/>
  <c r="K95" i="2"/>
  <c r="W187" i="2"/>
  <c r="M186" i="2"/>
  <c r="W186" i="2" s="1"/>
  <c r="H332" i="2"/>
  <c r="P349" i="2"/>
  <c r="T349" i="2"/>
  <c r="W453" i="2"/>
  <c r="H521" i="2"/>
  <c r="W99" i="2"/>
  <c r="W544" i="2" s="1"/>
  <c r="G195" i="2"/>
  <c r="H236" i="2"/>
  <c r="O331" i="2"/>
  <c r="S331" i="2"/>
  <c r="W332" i="2"/>
  <c r="W335" i="2"/>
  <c r="H383" i="2"/>
  <c r="N431" i="2"/>
  <c r="W431" i="2" s="1"/>
  <c r="H432" i="2"/>
  <c r="M434" i="2"/>
  <c r="G453" i="2"/>
  <c r="H453" i="2" s="1"/>
  <c r="H488" i="2"/>
  <c r="H522" i="2"/>
  <c r="J522" i="2"/>
  <c r="K170" i="1"/>
  <c r="K183" i="1"/>
  <c r="H5" i="1"/>
  <c r="K23" i="1"/>
  <c r="F194" i="1"/>
  <c r="F196" i="1" s="1"/>
  <c r="H21" i="1"/>
  <c r="H20" i="1" s="1"/>
  <c r="K18" i="1"/>
  <c r="K24" i="1"/>
  <c r="K28" i="1"/>
  <c r="J5" i="1"/>
  <c r="K5" i="1" s="1"/>
  <c r="G59" i="1"/>
  <c r="H59" i="1" s="1"/>
  <c r="J72" i="1"/>
  <c r="K72" i="1" s="1"/>
  <c r="K73" i="1"/>
  <c r="G92" i="1"/>
  <c r="H92" i="1" s="1"/>
  <c r="G166" i="1"/>
  <c r="H166" i="1" s="1"/>
  <c r="G183" i="1"/>
  <c r="H183" i="1" s="1"/>
  <c r="G56" i="1"/>
  <c r="K167" i="1"/>
  <c r="K171" i="1"/>
  <c r="K184" i="1"/>
  <c r="K4" i="2" l="1"/>
  <c r="W25" i="2"/>
  <c r="J487" i="2"/>
  <c r="K487" i="2" s="1"/>
  <c r="K492" i="2"/>
  <c r="J453" i="2"/>
  <c r="K453" i="2" s="1"/>
  <c r="K478" i="2"/>
  <c r="K331" i="2"/>
  <c r="H99" i="2"/>
  <c r="F544" i="2"/>
  <c r="J521" i="2"/>
  <c r="K521" i="2" s="1"/>
  <c r="K522" i="2"/>
  <c r="J195" i="2"/>
  <c r="K235" i="2"/>
  <c r="K135" i="2"/>
  <c r="K434" i="2"/>
  <c r="K349" i="2"/>
  <c r="K190" i="2"/>
  <c r="Q539" i="2"/>
  <c r="Q541" i="2" s="1"/>
  <c r="R539" i="2"/>
  <c r="R541" i="2" s="1"/>
  <c r="I539" i="2"/>
  <c r="I541" i="2" s="1"/>
  <c r="V539" i="2"/>
  <c r="V541" i="2" s="1"/>
  <c r="W434" i="2"/>
  <c r="S539" i="2"/>
  <c r="S541" i="2" s="1"/>
  <c r="T539" i="2"/>
  <c r="T541" i="2" s="1"/>
  <c r="W135" i="2"/>
  <c r="W48" i="2"/>
  <c r="O539" i="2"/>
  <c r="O541" i="2" s="1"/>
  <c r="W349" i="2"/>
  <c r="W195" i="2"/>
  <c r="H434" i="2"/>
  <c r="H65" i="2"/>
  <c r="P156" i="2"/>
  <c r="W156" i="2" s="1"/>
  <c r="K88" i="2"/>
  <c r="G539" i="2"/>
  <c r="G541" i="2" s="1"/>
  <c r="W487" i="2"/>
  <c r="F195" i="2"/>
  <c r="H195" i="2" s="1"/>
  <c r="W71" i="2"/>
  <c r="J92" i="1"/>
  <c r="K92" i="1" s="1"/>
  <c r="K124" i="1"/>
  <c r="J105" i="1"/>
  <c r="K105" i="1" s="1"/>
  <c r="AA28" i="3"/>
  <c r="AA33" i="3"/>
  <c r="AA35" i="3" s="1"/>
  <c r="K28" i="3"/>
  <c r="K33" i="3"/>
  <c r="K35" i="3" s="1"/>
  <c r="L17" i="3"/>
  <c r="L19" i="3" s="1"/>
  <c r="L7" i="3"/>
  <c r="N5" i="3"/>
  <c r="L16" i="3"/>
  <c r="N14" i="3"/>
  <c r="N17" i="3" s="1"/>
  <c r="W28" i="3"/>
  <c r="W33" i="3"/>
  <c r="W35" i="3" s="1"/>
  <c r="G28" i="3"/>
  <c r="G33" i="3"/>
  <c r="G35" i="3" s="1"/>
  <c r="N13" i="3"/>
  <c r="P11" i="3"/>
  <c r="P13" i="3" s="1"/>
  <c r="S28" i="3"/>
  <c r="S33" i="3"/>
  <c r="S35" i="3" s="1"/>
  <c r="H28" i="3"/>
  <c r="H33" i="3"/>
  <c r="H35" i="3" s="1"/>
  <c r="L22" i="3"/>
  <c r="N20" i="3"/>
  <c r="L23" i="3"/>
  <c r="O28" i="3"/>
  <c r="O33" i="3"/>
  <c r="O35" i="3" s="1"/>
  <c r="F19" i="3"/>
  <c r="F26" i="3"/>
  <c r="J33" i="3"/>
  <c r="J35" i="3" s="1"/>
  <c r="J28" i="3"/>
  <c r="N539" i="2"/>
  <c r="N541" i="2" s="1"/>
  <c r="W331" i="2"/>
  <c r="M539" i="2"/>
  <c r="W160" i="2"/>
  <c r="V540" i="2"/>
  <c r="F557" i="2"/>
  <c r="K99" i="2"/>
  <c r="H91" i="2"/>
  <c r="F86" i="2"/>
  <c r="W86" i="2"/>
  <c r="K91" i="2"/>
  <c r="U540" i="2"/>
  <c r="J86" i="2"/>
  <c r="G194" i="1"/>
  <c r="G196" i="1" s="1"/>
  <c r="H196" i="1" s="1"/>
  <c r="J59" i="1"/>
  <c r="P539" i="2" l="1"/>
  <c r="P541" i="2" s="1"/>
  <c r="K195" i="2"/>
  <c r="J71" i="2"/>
  <c r="K86" i="2"/>
  <c r="W539" i="2"/>
  <c r="W541" i="2" s="1"/>
  <c r="N19" i="3"/>
  <c r="F33" i="3"/>
  <c r="F35" i="3" s="1"/>
  <c r="F28" i="3"/>
  <c r="L25" i="3"/>
  <c r="L26" i="3"/>
  <c r="P5" i="3"/>
  <c r="N7" i="3"/>
  <c r="N23" i="3"/>
  <c r="N25" i="3" s="1"/>
  <c r="N22" i="3"/>
  <c r="P20" i="3"/>
  <c r="P14" i="3"/>
  <c r="N16" i="3"/>
  <c r="M541" i="2"/>
  <c r="F71" i="2"/>
  <c r="H86" i="2"/>
  <c r="K59" i="1"/>
  <c r="J194" i="1"/>
  <c r="J196" i="1" s="1"/>
  <c r="H194" i="1"/>
  <c r="M540" i="2" l="1"/>
  <c r="W540" i="2" s="1"/>
  <c r="J539" i="2"/>
  <c r="K71" i="2"/>
  <c r="P16" i="3"/>
  <c r="R14" i="3"/>
  <c r="P17" i="3"/>
  <c r="P19" i="3" s="1"/>
  <c r="P7" i="3"/>
  <c r="R5" i="3"/>
  <c r="P22" i="3"/>
  <c r="P23" i="3"/>
  <c r="R20" i="3"/>
  <c r="L28" i="3"/>
  <c r="L33" i="3"/>
  <c r="L35" i="3" s="1"/>
  <c r="N26" i="3"/>
  <c r="F539" i="2"/>
  <c r="H71" i="2"/>
  <c r="J199" i="1"/>
  <c r="J202" i="1" s="1"/>
  <c r="J204" i="1" s="1"/>
  <c r="J206" i="1" s="1"/>
  <c r="K539" i="2" l="1"/>
  <c r="J541" i="2"/>
  <c r="F555" i="2"/>
  <c r="F559" i="2" s="1"/>
  <c r="F560" i="2" s="1"/>
  <c r="R23" i="3"/>
  <c r="T20" i="3"/>
  <c r="R22" i="3"/>
  <c r="P25" i="3"/>
  <c r="P26" i="3"/>
  <c r="N33" i="3"/>
  <c r="N35" i="3" s="1"/>
  <c r="N28" i="3"/>
  <c r="T14" i="3"/>
  <c r="R16" i="3"/>
  <c r="R17" i="3"/>
  <c r="R19" i="3" s="1"/>
  <c r="R7" i="3"/>
  <c r="T5" i="3"/>
  <c r="F541" i="2"/>
  <c r="H541" i="2" s="1"/>
  <c r="H539" i="2"/>
  <c r="K541" i="2" l="1"/>
  <c r="T17" i="3"/>
  <c r="T19" i="3" s="1"/>
  <c r="T7" i="3"/>
  <c r="V5" i="3"/>
  <c r="T16" i="3"/>
  <c r="V14" i="3"/>
  <c r="T22" i="3"/>
  <c r="V20" i="3"/>
  <c r="T23" i="3"/>
  <c r="P28" i="3"/>
  <c r="P33" i="3"/>
  <c r="P35" i="3" s="1"/>
  <c r="R25" i="3"/>
  <c r="R26" i="3"/>
  <c r="R33" i="3" l="1"/>
  <c r="R35" i="3" s="1"/>
  <c r="R28" i="3"/>
  <c r="T25" i="3"/>
  <c r="T26" i="3"/>
  <c r="X5" i="3"/>
  <c r="V17" i="3"/>
  <c r="V7" i="3"/>
  <c r="V23" i="3"/>
  <c r="V25" i="3" s="1"/>
  <c r="V22" i="3"/>
  <c r="X20" i="3"/>
  <c r="X14" i="3"/>
  <c r="V16" i="3"/>
  <c r="T28" i="3" l="1"/>
  <c r="T33" i="3"/>
  <c r="T35" i="3" s="1"/>
  <c r="X16" i="3"/>
  <c r="Z14" i="3"/>
  <c r="X22" i="3"/>
  <c r="X23" i="3"/>
  <c r="X25" i="3" s="1"/>
  <c r="Z20" i="3"/>
  <c r="V19" i="3"/>
  <c r="V26" i="3"/>
  <c r="X17" i="3"/>
  <c r="X7" i="3"/>
  <c r="AB14" i="3" l="1"/>
  <c r="Z16" i="3"/>
  <c r="Z17" i="3"/>
  <c r="Z19" i="3" s="1"/>
  <c r="Z23" i="3"/>
  <c r="AB20" i="3"/>
  <c r="Z22" i="3"/>
  <c r="X26" i="3"/>
  <c r="X19" i="3"/>
  <c r="V33" i="3"/>
  <c r="V35" i="3" s="1"/>
  <c r="V28" i="3"/>
  <c r="Z25" i="3" l="1"/>
  <c r="Z26" i="3"/>
  <c r="X28" i="3"/>
  <c r="X33" i="3"/>
  <c r="X35" i="3" s="1"/>
  <c r="AD20" i="3"/>
  <c r="AB23" i="3"/>
  <c r="AB17" i="3"/>
  <c r="AB19" i="3" s="1"/>
  <c r="AB16" i="3"/>
  <c r="AB25" i="3" l="1"/>
  <c r="AB26" i="3"/>
  <c r="Z33" i="3"/>
  <c r="Z35" i="3" s="1"/>
  <c r="Z28" i="3"/>
  <c r="AD23" i="3"/>
  <c r="AD22" i="3"/>
  <c r="AB28" i="3" l="1"/>
  <c r="AB33" i="3"/>
  <c r="AB35" i="3" s="1"/>
  <c r="AD25" i="3"/>
  <c r="AD26" i="3"/>
  <c r="AD33" i="3" l="1"/>
  <c r="AD28" i="3"/>
  <c r="AD35" i="3" s="1"/>
</calcChain>
</file>

<file path=xl/sharedStrings.xml><?xml version="1.0" encoding="utf-8"?>
<sst xmlns="http://schemas.openxmlformats.org/spreadsheetml/2006/main" count="1015" uniqueCount="417">
  <si>
    <t>Załącznik Nr 1 - materiały informacyjne 
do projektu budżetu 2015r.</t>
  </si>
  <si>
    <t>Plan i wykonanie dochodów budżetu Gminy Rogoźno za 2014 rok - stan na 30.09.2014r. w porównianiu z projektem planu dochodów na 2015 rok (wskaźnik procentowy) oraz przewidywane wykonanie dochodów na koniec 2014 roku</t>
  </si>
  <si>
    <t>Dział</t>
  </si>
  <si>
    <t>Rozdział</t>
  </si>
  <si>
    <t>Paragraf</t>
  </si>
  <si>
    <t>Treść</t>
  </si>
  <si>
    <t>Plan na 30.09.2014r.</t>
  </si>
  <si>
    <t>Wykonanie na 30.09.2014r.</t>
  </si>
  <si>
    <t>%
Wykonania</t>
  </si>
  <si>
    <t>Przewidywane wykonanie dochodów na koniec 2014 roku</t>
  </si>
  <si>
    <t>Plan  na 2015 rok</t>
  </si>
  <si>
    <t>% wskaźnik wzrostu/spadku do planu budżetu 2014 r.</t>
  </si>
  <si>
    <t>Uwagi</t>
  </si>
  <si>
    <t>Rolnictwo i łowiectwo</t>
  </si>
  <si>
    <t>01010</t>
  </si>
  <si>
    <t>Infrastruktura wodociągowa i sanitacyjna wsi</t>
  </si>
  <si>
    <t>0830</t>
  </si>
  <si>
    <t>Wpływy z usług</t>
  </si>
  <si>
    <t>0920</t>
  </si>
  <si>
    <t>Pozostałe odsetki</t>
  </si>
  <si>
    <t>01042</t>
  </si>
  <si>
    <t>Wyłączenie z produkcji gruntów rolnych</t>
  </si>
  <si>
    <t>Dotacja celowa otrzymana z tytułu pomocy finansowej udzielonej między jednostkami samorządu terytorialnego na dofinansowanie własnych zdań inwestycyjnych i zakupów inwestycyjnych</t>
  </si>
  <si>
    <t>Pozostała działalność</t>
  </si>
  <si>
    <t>Dochody z najmu i dzierżawy składników majątkowych Skarbu Państwa, jednostek samorządu terytorialnego lub innych jednostek zaliczanych do sektora finansów publicznych oraz innych umów o podobnym charakterze</t>
  </si>
  <si>
    <t>dzierżawa ziemi i obwody łowieckie</t>
  </si>
  <si>
    <t>Dotacje celowe otrzymane z budżetu państwa na realizację zadań bieżących z zakresu administracji rządowej oraz innych zadań zleconych gminie (związkom gmin) ustawami</t>
  </si>
  <si>
    <t>Dotacja celowa otrzymana z tytułu pomocy finansowej udzielonej między jednostkami samorzadu terytorialnego na dofinansowanie własnych zadań bieżących</t>
  </si>
  <si>
    <t>Rybołówstwo i rybactwo</t>
  </si>
  <si>
    <t>Wpływy z różnych opłat</t>
  </si>
  <si>
    <t>Transport i łączność</t>
  </si>
  <si>
    <t>Drogi publiczne gminne</t>
  </si>
  <si>
    <t>Wpływy z innych lokalnych opłat pobieranych przez jednostki samorządu terytorialnego na podstawie odrębnych ustaw</t>
  </si>
  <si>
    <t>0910</t>
  </si>
  <si>
    <t>Odsetki od nietreminowych wpłat z tytułu podatków i opłat</t>
  </si>
  <si>
    <t>0970</t>
  </si>
  <si>
    <t>Wpływy z różnych dochodów</t>
  </si>
  <si>
    <t>Turystyka</t>
  </si>
  <si>
    <t>Środki na dofinansowanie własnych inwestycji gmin (związków gmin), powiatów (związków powiatów), samorządów województw, pozyskane z innych źródeł</t>
  </si>
  <si>
    <t>Gospodarka mieszkaniowa</t>
  </si>
  <si>
    <t>Gospodarka gruntami i nieruchomościami</t>
  </si>
  <si>
    <t>Wpływy z opłat za trwały zarząd, użytkowanie, służebność i użytkowanie wieczyste nieruchomości</t>
  </si>
  <si>
    <t>Slużebność Salzgiter 38400 + wieczyste 87.000</t>
  </si>
  <si>
    <t>0730</t>
  </si>
  <si>
    <t>Wpłaty z zysku przedsiębiorstw państwowych, jednosobowych spółek Skarbu Państwa i spółek jednostek samorzadu terytorialnego</t>
  </si>
  <si>
    <t>Wpływy z tytułu przekształcenia prawa użytkowania wieczystego przysługującego osobom fizycznym w prawo własności</t>
  </si>
  <si>
    <t>Wpłaty z tytułu odpłatnego nabycia prawa własności oraz prawa użytkowania wieczystego nieruchomości</t>
  </si>
  <si>
    <t>Środki na dofinansowanie własnych zadań bieżących gmin (związków gmin), powiatów (związków powiatów), samorządów województw, pozyskane z innych źródeł</t>
  </si>
  <si>
    <t>Administracja publiczna</t>
  </si>
  <si>
    <t>Urzędy wojewódzkie</t>
  </si>
  <si>
    <t>126943-122261=4682</t>
  </si>
  <si>
    <t>Dochody jednostek samorządu terytorialnego związane z realizacją zadań z zakresu administracji rządowej oraz innych zadań zleconych ustawami</t>
  </si>
  <si>
    <t>Urzędy gmin (miast i miast na prawach powiatu)</t>
  </si>
  <si>
    <t>Grzywny, mandaty i inne kary pieniężne od osób fizycznych</t>
  </si>
  <si>
    <t>0870</t>
  </si>
  <si>
    <t>Wpływy ze sprzedaży składników majątkowych</t>
  </si>
  <si>
    <t>Urzędy naczelnych organów władzy państwowej, kontroli i ochrony prawa oraz sądownictwa</t>
  </si>
  <si>
    <t>Urzędy naczelnych organów władzy państwowej, kontroli i ochrony prawa</t>
  </si>
  <si>
    <t>Wybory do rad gmin, rad powiatów i sejmików województw, wybory wójtów, burmistrzów i prezydentów miast oraz referenda gminne, powiatowe i wojewódzkie</t>
  </si>
  <si>
    <t>Wybory do Parlamentu Europejskiego</t>
  </si>
  <si>
    <t>Ochrona przeciwpożarowa</t>
  </si>
  <si>
    <t>Dochody od osób prawnych, od osób fizycznych i od innych jednostek nieposiadających osobowości prawnej oraz wydatki związane z ich poborem</t>
  </si>
  <si>
    <t>Wpływy z podatku dochodowego od osób fizycznych</t>
  </si>
  <si>
    <t>Podatek od działalności gospodarczej osób fizycznych, opłacany w formie karty podatkowej</t>
  </si>
  <si>
    <t>Wpływy z podatku rolnego, podatku leśnego, podatku od czynności cywilnoprawnych, podatków i opłat lokalnych od osób prawnych i innych jednostek organizacyjnych</t>
  </si>
  <si>
    <t>Podatek od nieruchomości</t>
  </si>
  <si>
    <t>Podatek rolny</t>
  </si>
  <si>
    <t>Podatek leśny</t>
  </si>
  <si>
    <t>Podatek od środków transportowych</t>
  </si>
  <si>
    <t>Podatek od czynności cywilnoprawnych</t>
  </si>
  <si>
    <t>Rekompensaty utraconych dochodów w podatkach i opłatach lokalnych</t>
  </si>
  <si>
    <t>Wpływy z podatku rolnego, podatku leśnego, podatku od spadków i darowizn, podatku od czynności cywilnoprawnych oraz podatków i opłat lokalnych od osób fizycznych</t>
  </si>
  <si>
    <t>Podatek od spadków i darowizn</t>
  </si>
  <si>
    <t>Wpływy z opłaty targowej</t>
  </si>
  <si>
    <t>Zaległości z tytułu podatków i opłat zniesionych</t>
  </si>
  <si>
    <t>Wpływy z innych opłat stanowiących dochody jednostek samorządu terytorialnego na podstawie ustaw</t>
  </si>
  <si>
    <t>Wpływy z opłaty skarbowej</t>
  </si>
  <si>
    <t>Wpływy z opłat za zezwolenia na sprzedaż alkoholu</t>
  </si>
  <si>
    <t>Udziały gmin w podatkach stanowiących dochód budżetu państwa</t>
  </si>
  <si>
    <t>Podatek dochodowy od osób fizycznych</t>
  </si>
  <si>
    <t>Podatek dochodowy od osób prawnych</t>
  </si>
  <si>
    <t>Różne rozliczenia</t>
  </si>
  <si>
    <t xml:space="preserve">Część oświatowa subwencji ogólnej dla jednostek samorządu terytorialnego </t>
  </si>
  <si>
    <t>Subwencje ogólne z budżetu państwa</t>
  </si>
  <si>
    <t>Część wyrównawcza subwencji ogólnej dla gmin</t>
  </si>
  <si>
    <t>Różne rozliczenia finansowe</t>
  </si>
  <si>
    <t>0960</t>
  </si>
  <si>
    <t>Otrzymane spadki, zapisy i darowizny w postaci pieniężnej</t>
  </si>
  <si>
    <t>Dotacje celowe otrzymane z budżetu państwa na realizację własnych zadań bieżących gmin (związków gmin)</t>
  </si>
  <si>
    <t>Wpłaty środków finansowych z niewykorzystanych w terminie wydatków, które nie wygasają z upływem roku budżetowego</t>
  </si>
  <si>
    <t>Część równoważąca subwencji ogólnej dla gmin</t>
  </si>
  <si>
    <t>Oświata i wychowanie</t>
  </si>
  <si>
    <t>Szkoły podstawowe</t>
  </si>
  <si>
    <t>0570</t>
  </si>
  <si>
    <t>Oddziały przedszkolne w szkołach podstawowych</t>
  </si>
  <si>
    <t>Przedszkola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</si>
  <si>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</si>
  <si>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</si>
  <si>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Dotacje celowe otrzymane z gminy na zadania bieżące realizowane na podstawie porozumień (umów) między jednostkami samorządu terytorialnego</t>
  </si>
  <si>
    <t>Wpływy ze zwrotów dotacji oraz płatności, w tym wykorzystanych niezgodnie z przeznaczeniem lub wykorzystanych z naruszeniem procedur, o których mowa w art. 184 ustawy, pobranych nienależnie lub w nadmiernej wysokości</t>
  </si>
  <si>
    <t>Gimnazja</t>
  </si>
  <si>
    <t>0690</t>
  </si>
  <si>
    <t>Stołówki szkolne i przedszkolne</t>
  </si>
  <si>
    <t>Pomoc społeczna</t>
  </si>
  <si>
    <t>Wspieranie rodziny</t>
  </si>
  <si>
    <t>Świadczenia rodzinne, świadczenia z funduszu alimentacyjnego oraz składki na ubezpieczenia emerytalne i rentowe z ubezpieczenia społecznego</t>
  </si>
  <si>
    <t>5955063-5638219=-316844</t>
  </si>
  <si>
    <t>Składki na ubezpieczenie zdrowotne opłacane za osoby pobierające niektóre świadczenia z pomocy społecznej, niektóre świadczenia rodzinne oraz za osoby uczestniczące w zajęciach w centrum integracji społecznej</t>
  </si>
  <si>
    <t>16700-13705=-2995</t>
  </si>
  <si>
    <t>20100-16191=-3909</t>
  </si>
  <si>
    <t>Zasiłki i pomoc w naturze oraz składki na ubezpieczenia emerytalne i rentowe</t>
  </si>
  <si>
    <t>200000-89522=-110478</t>
  </si>
  <si>
    <t>Dodatki mieszkaniowe</t>
  </si>
  <si>
    <t>-11210</t>
  </si>
  <si>
    <t>Zasiłki stałe</t>
  </si>
  <si>
    <t>190.000-151037=-38963</t>
  </si>
  <si>
    <t>Ośrodki pomocy społecznej</t>
  </si>
  <si>
    <t>113037-130044=+17007</t>
  </si>
  <si>
    <t>Usługi opiekuńcze i specjalistyczne usługi opiekuńcze</t>
  </si>
  <si>
    <t>Usuwanie skutkow klęsk żywiołowych</t>
  </si>
  <si>
    <t>Pozostałe zadania w zakresie polityki społecznej</t>
  </si>
  <si>
    <t>Żłobki</t>
  </si>
  <si>
    <t>Edukacyjna opieka wychowawcza</t>
  </si>
  <si>
    <t>Pomoc materialna dla uczniów</t>
  </si>
  <si>
    <t>Dotacje celowe otrzymane z budżetu państwa na realizację zadań bieżących gmin z zakresu edukacyjnej opieki wychowawczej finansowanych w całości przez budżet państwa w ramach programów rządowych</t>
  </si>
  <si>
    <t>Gospodarka komunalna i ochrona środowiska</t>
  </si>
  <si>
    <t>Gospodarka ściekowa i ochrona wód</t>
  </si>
  <si>
    <t>Dotacje celowe w ramach programów finansowanych z udziałem środków europejskich oraz środków, o których mowa w art. 5 ust. 1 pkt. 3 oraz ust. 3 pkt 5 i 6 ustawy, lub płatności w ramach budżetu środków europejskich</t>
  </si>
  <si>
    <t>Gospodarka odpadami</t>
  </si>
  <si>
    <t>0490</t>
  </si>
  <si>
    <t>0750</t>
  </si>
  <si>
    <t>Wpływy i wydatki związane z gromadzeniem środków z opłat i kar za korzystanie ze środowiska</t>
  </si>
  <si>
    <t>0580</t>
  </si>
  <si>
    <t>Grzywny i inne kary pieniężne od osób prawnych i innych jendostek organizacyjnych</t>
  </si>
  <si>
    <t>Kultura i ochrona dziedzictwa narodowego</t>
  </si>
  <si>
    <t>Pozostałe zadania w zakresie kultury</t>
  </si>
  <si>
    <t>Domy i ośrodki kultury, świetlice i kluby</t>
  </si>
  <si>
    <t>Kultura fizyczna</t>
  </si>
  <si>
    <t>Razem</t>
  </si>
  <si>
    <t>z tego:</t>
  </si>
  <si>
    <t>Dochody planowane</t>
  </si>
  <si>
    <t>Pożyczka WFOŚiGW</t>
  </si>
  <si>
    <t>Kredyt Bank Pocztowy</t>
  </si>
  <si>
    <t>spłata rat kredytu</t>
  </si>
  <si>
    <t>wynik</t>
  </si>
  <si>
    <t>Wydatki planowane</t>
  </si>
  <si>
    <t>Brakująca kwota</t>
  </si>
  <si>
    <t>Rogoźno, dnia 05.11.2012 roku</t>
  </si>
  <si>
    <t>udziały w PIT</t>
  </si>
  <si>
    <t>udziały w CIT</t>
  </si>
  <si>
    <t>podatki i opłaty</t>
  </si>
  <si>
    <t>w tym:</t>
  </si>
  <si>
    <t>Załącznik Nr 2 - materiały informacyjne 
do projektu budżetu 2015r.</t>
  </si>
  <si>
    <t>Plan i wykonanie wydatków budżetu Gminy Rogoźno za 2014 rok - stan na 30.09.2014r. w porównianiu z projektem planu wydatków na 2015 rok (wskaźnik procentowy) oraz przewidywane wykonanie wydatków na koniec 2014 roku</t>
  </si>
  <si>
    <t>Plan  na dzień 30.09.2014r.</t>
  </si>
  <si>
    <t>Przewidywane wykonanie wydatków na koniec 2014 roku</t>
  </si>
  <si>
    <t>%
 wskaźnik wzrostu/spadku do planu budżetu 2014 r.</t>
  </si>
  <si>
    <t>F sołecki</t>
  </si>
  <si>
    <t>Ochrona środowiska</t>
  </si>
  <si>
    <t>WNiGN</t>
  </si>
  <si>
    <t>Straż Miejska</t>
  </si>
  <si>
    <t>WOiSO</t>
  </si>
  <si>
    <t>WF</t>
  </si>
  <si>
    <t>GPRPAiN</t>
  </si>
  <si>
    <t>WRGiP</t>
  </si>
  <si>
    <t>GOPS</t>
  </si>
  <si>
    <t>Oświata</t>
  </si>
  <si>
    <t>OGÓŁEM:</t>
  </si>
  <si>
    <t>Melioracje wodne</t>
  </si>
  <si>
    <t>Dotacja celowa z budżetu na finansowanie lub dofinansowanie zadań zleconych do realizacji pozostałym jednostkom nie zaliczanym do sektora finansów publicznych</t>
  </si>
  <si>
    <t>Izby rolnicze</t>
  </si>
  <si>
    <t>Wpłaty gmin na rzecz izb rolniczych w wysokości 2% uzyskanych wpływów z podatku rolnego</t>
  </si>
  <si>
    <t>pod.rolny 741206*2%=14.824,12+ 2% od odsetek i zaległosci podatkowych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</si>
  <si>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</si>
  <si>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</si>
  <si>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</si>
  <si>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</si>
  <si>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</si>
  <si>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ekspertyzy 1.000 zł</t>
  </si>
  <si>
    <t>Podróże służbowe krajowe</t>
  </si>
  <si>
    <t>Różne opłaty i składki</t>
  </si>
  <si>
    <t>Szkolenia pracowników niebędących członkami korpusu służby cywilnej</t>
  </si>
  <si>
    <t>Wydatki inwestycyjne jednostek budżetowych</t>
  </si>
  <si>
    <t>Odnowa i rozwój wsi - środki własne 18.000+FS 6.000 Owczegłowy</t>
  </si>
  <si>
    <t>Wynagrodzenia bezosobowe</t>
  </si>
  <si>
    <t>Zakup energii</t>
  </si>
  <si>
    <t>Lokalny transport zbiorowy</t>
  </si>
  <si>
    <t>Dotacje celowe przekazane gminie na zadania bieżące na podstawie porozumień (umów) między jednostkami samorządu terytorialnego</t>
  </si>
  <si>
    <t>Drogi publiczne powiatowe</t>
  </si>
  <si>
    <t>Dotacja celowa na pomoc finansową udzieloną między jednostkami samorządu terytorialnego na dofinansowanie własnych zadań bieżących</t>
  </si>
  <si>
    <t>Dotacja celowa na pomoc finansową udzieloną między jednostkami samorządu terytorialnego na dofinansowanie własnych zadań inwestycyjnych i zakupów inwestycyjnych</t>
  </si>
  <si>
    <t>Wydz.GN. Znaki pionowe 6.000,- + FS 13.400+ WRGIP 70.000,-</t>
  </si>
  <si>
    <t>Zakup usług remontowych</t>
  </si>
  <si>
    <t>WRG +555.000,- +FS 9.000</t>
  </si>
  <si>
    <t>za wbudowanie sieci w drogach 7.270,82+ ubezp. OC20.000</t>
  </si>
  <si>
    <t>Kary i odszkodowania wypłacane na rzecz osób fizycznych</t>
  </si>
  <si>
    <t>FS=3.122,54+ budżte 7000=10.122,54</t>
  </si>
  <si>
    <t>Zakłady gospodarki mieszkaniowej</t>
  </si>
  <si>
    <t>Dotacja przedmiotowa z budżetu dla samorządowego zakładu budżetowego</t>
  </si>
  <si>
    <t>Agrobiznes</t>
  </si>
  <si>
    <t>Zakup usług rtemontowych</t>
  </si>
  <si>
    <t>WN 130.000 budżet + Agrobiznes 12.000</t>
  </si>
  <si>
    <t>Pozostałe podatki na rzecz budżetów jednostek samorządu terytorialnego</t>
  </si>
  <si>
    <t>Opłaty na rzecz budżetów jednostek samorządu terytorialnego</t>
  </si>
  <si>
    <t>Podstek od towarów i usług (VAT)</t>
  </si>
  <si>
    <t>Kary i odszkodowania wypłacane na rzecz osób prawnych i innych jednostek organizacyjnych</t>
  </si>
  <si>
    <t>Koszty postępowania sądowego i prokuratorskiego</t>
  </si>
  <si>
    <t>Wydatki na zakupy inwestycyjne jednostek budżetowych</t>
  </si>
  <si>
    <t>II rata za Agrobiznes</t>
  </si>
  <si>
    <t>Działalność usługowa</t>
  </si>
  <si>
    <t>Opracowania geodezyjne i kartograficzne</t>
  </si>
  <si>
    <t>Cmentarze</t>
  </si>
  <si>
    <t>zlecone</t>
  </si>
  <si>
    <t>Dodatkowe wynagrodzenie roczne</t>
  </si>
  <si>
    <t>zlecone aktualizacja oprogramowania</t>
  </si>
  <si>
    <t>Rady gmin (miast i miast na prawach powiatu)</t>
  </si>
  <si>
    <t>Różne wydatki na rzecz osób fizycznych</t>
  </si>
  <si>
    <t>Nagrody o charakterze szczególnym niezaliczone do wynagrodzeń</t>
  </si>
  <si>
    <t>Podróże służbowe zagraniczne</t>
  </si>
  <si>
    <t>Wydatki osobowe niezaliczone do wynagrodzeń</t>
  </si>
  <si>
    <t>Wynagrodzenia osobowe pracowników
w tym:</t>
  </si>
  <si>
    <t xml:space="preserve"> Ogółem 2.475.478,01 minus zad zlecone</t>
  </si>
  <si>
    <t>2.301.745,11 - zad.zlecone</t>
  </si>
  <si>
    <t>Straż miejska</t>
  </si>
  <si>
    <t>Dodatkowe wynagrodzenie roczne
w tym:</t>
  </si>
  <si>
    <t>OSP</t>
  </si>
  <si>
    <t>Składki na ubezpieczenia społeczne
w tym:</t>
  </si>
  <si>
    <t>Składki na Fundusz Pracy
w tym:</t>
  </si>
  <si>
    <t>Wpłaty na Państwowy Fundusz Rehabilitacji Osób Niepełnosprawnych</t>
  </si>
  <si>
    <t>WO 9.000+ WF</t>
  </si>
  <si>
    <t xml:space="preserve">minuzs zlecone </t>
  </si>
  <si>
    <t>Zakup leków, wyrobów medycznych i produktów biobójczych</t>
  </si>
  <si>
    <t>Zakup pomocy naukowych, dydaktycznych i książek</t>
  </si>
  <si>
    <t>Zakup usług zdrowotnych</t>
  </si>
  <si>
    <t>minus zlecone -</t>
  </si>
  <si>
    <t>Zakup usług dostępu do sieci Internet</t>
  </si>
  <si>
    <t>Opłaty z tytułu zakupu usług telekomunikacyjnych świadczonych w ruchomej publicznej sieci telefonicznej</t>
  </si>
  <si>
    <t xml:space="preserve">Opłata z tytułu zakupu usług telekomunikacyjnych świadczonych w stacjonarnej publicznej sieci telefonicznej </t>
  </si>
  <si>
    <t>Zakup usług obejmujacych tłumaczenia</t>
  </si>
  <si>
    <t>Zakup usług obejmujących wykonanie ekspertyz, analiz i opinii</t>
  </si>
  <si>
    <t xml:space="preserve">WF minus zlecone </t>
  </si>
  <si>
    <t>WFskł.do stowarzyszeń 65.000+ ubezp.majątku13.000,-</t>
  </si>
  <si>
    <t>Odpisy na zakładowy fundusz świadczeń socjalnych</t>
  </si>
  <si>
    <t>WF Adm.66159+straż 4.605=70.764,-</t>
  </si>
  <si>
    <t>Zintegrowane narzedzia do backupu i odzyskiwania danych po awarii</t>
  </si>
  <si>
    <t>Promocja jednostek samorządu terytorialnego</t>
  </si>
  <si>
    <t>Wynagrodzenia agencyjno-prowizyjne</t>
  </si>
  <si>
    <t>WF oplata skarbowa + inkaso sołtysi</t>
  </si>
  <si>
    <t>ubezpieczenie sołtysów</t>
  </si>
  <si>
    <t>Bezpieczeństwo publiczne i ochrona przeciwpożarowa</t>
  </si>
  <si>
    <t>Komendy wojewódzkie Policji</t>
  </si>
  <si>
    <t>Wpłaty jednostek na państwowy fundusz celowy</t>
  </si>
  <si>
    <t>Ochotnicze straże pożarne</t>
  </si>
  <si>
    <t>Dotacja celowa z budżetu na finansowanie lub dofinansowanie zadań zleconych do realizacji stowarzyszeniom</t>
  </si>
  <si>
    <t>Wynagrodzenie bezosobowe</t>
  </si>
  <si>
    <t>FS= 12.103,07+ budżet 145.000</t>
  </si>
  <si>
    <t>Zakup usłyg remontowych</t>
  </si>
  <si>
    <t>FS= 1.500-+ budżet 70000</t>
  </si>
  <si>
    <t>Opłata z tytułu zakupu usług telekomunikacyjnych świadczonych w stacjonarnej publicznej sieci telefonicznej.</t>
  </si>
  <si>
    <t>Dotacje celowe z budżetu na finansowanie lub dofinansowanie kosztów realizacji inwestycji i zakupów inwestycyjnych jednostek nie zaliczanych do sektora finansów publicznych</t>
  </si>
  <si>
    <t>sam.OSP Parkowo</t>
  </si>
  <si>
    <t>Obrona cywilna</t>
  </si>
  <si>
    <t>Straż gminna (miejska)</t>
  </si>
  <si>
    <t>Obsługa długu publicznego</t>
  </si>
  <si>
    <t>Obsługa papierów wartościowych, kredytów i pożyczek jednostek samorządu terytorialnego</t>
  </si>
  <si>
    <t>Odsetki od samorządowych papierów wartościowych lub zaciągniętych przez jednostkę samorządu terytorialnego kredytów i pożyczek</t>
  </si>
  <si>
    <t>Rezerwy ogólne i celowe</t>
  </si>
  <si>
    <t>Rezerwy</t>
  </si>
  <si>
    <t>celowa: zarządzanie kryzysowe</t>
  </si>
  <si>
    <t>ogólna: od 0,1-1%</t>
  </si>
  <si>
    <t>Stypendia dla uczniów</t>
  </si>
  <si>
    <t>Opłata z tytułu zakupu usług telekomunikacyjnych świadczonych w stacjonarnej publicznej sieci telefonicznej</t>
  </si>
  <si>
    <t>Wydatki na zakupy inwestycyjne jednostek budzetowych</t>
  </si>
  <si>
    <t>Gmina Oborniki</t>
  </si>
  <si>
    <t>Miasto Pila</t>
  </si>
  <si>
    <t>Gmina Wągrowiec</t>
  </si>
  <si>
    <t>Miasto Wągrowiec</t>
  </si>
  <si>
    <t>Gmina Skoki</t>
  </si>
  <si>
    <t>Dotacja podmiotowa z budżetu dla niepublicznej jednostki systemu oświaty</t>
  </si>
  <si>
    <t>24*673,76*12</t>
  </si>
  <si>
    <t>100*673,76*12</t>
  </si>
  <si>
    <t>52*673,76,54*12</t>
  </si>
  <si>
    <t>Zakup środków żywności</t>
  </si>
  <si>
    <t>Dotacje celowe przekazane dla powiatu na zadania bieżące realizowane na podstawie porozumień (umów) między jednostkami samorządu terytorialnego</t>
  </si>
  <si>
    <t>Gimnazjum Nr 2 w tym 3.564 SZS</t>
  </si>
  <si>
    <t>Niepubliczne Gimnazjium przy LO</t>
  </si>
  <si>
    <t>Dowożenie uczniów do szkół</t>
  </si>
  <si>
    <t>Zespoły obsługi ekonomiczno-administracyjnej szkół</t>
  </si>
  <si>
    <t>Dokształcanie i doskonalenie nauczycieli</t>
  </si>
  <si>
    <t>SP3 zmywarko-wyparzacz</t>
  </si>
  <si>
    <t>FS Jaracz</t>
  </si>
  <si>
    <t>Ochrona zdrowia</t>
  </si>
  <si>
    <t>Zwalczanie narkomanii</t>
  </si>
  <si>
    <t>Przeciwdziałanie alkoholizmowi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</si>
  <si>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</si>
  <si>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Zadania w zakresie przeciwdziałania przemocy w rodzinie</t>
  </si>
  <si>
    <t>Zakup usług przez jednostki samorządu terytorialnego od innych jednostek samorządu teretorialnego</t>
  </si>
  <si>
    <t>Zwrot dotacji oraz płatności, w tym  wykorzystanych niezgodnie z przeznaczeniem lub wykorzystanych z naruszeniem procedur, o których mowa w art. 184 ustawy, pobranych nienależnie lub w nadmiernej wysokości</t>
  </si>
  <si>
    <t>Świadczenia społeczne</t>
  </si>
  <si>
    <t>Opłaty za administrowanie i czynsze za budynki, lokale i pomieszczenia garażowe</t>
  </si>
  <si>
    <t>Odsetki od dotacji wykorzystanych niezgodnie z przeznaczeniem lub pobranych w nadmiernej wysokości</t>
  </si>
  <si>
    <t>Składki na ubezpieczenie zdrowotne opłacane za osoby pobierajace niektóre świadczenia z pomocy społecznej, niektóre świadczenia rodzinne oraz za osoby uczestniczące w zajęciach w centrum integracji społecznej</t>
  </si>
  <si>
    <t>Składki na ubezpieczenie zdrowotne</t>
  </si>
  <si>
    <t>w tym zadanie zlecone 0,00</t>
  </si>
  <si>
    <t>Zakup usług przez jednostki samorządu terytorialnego od innych jednostek samorządu terytorialnego</t>
  </si>
  <si>
    <t>Usuwanie skutków klęsk żywiołowych</t>
  </si>
  <si>
    <t>bez dotacji na dożywianie</t>
  </si>
  <si>
    <t>Pozostałe zadania w zakresie polityki spolecznej</t>
  </si>
  <si>
    <t>Rehabilitacja zawodowa i społeczna osób niepełnosprawnych</t>
  </si>
  <si>
    <t>Świetlice szkolne</t>
  </si>
  <si>
    <t>Inne formy pomocy dla uczniów</t>
  </si>
  <si>
    <t xml:space="preserve">OŚ </t>
  </si>
  <si>
    <t>czysczenie separatorów 150.000 +OŚ 20.000 badanie wód opadowych</t>
  </si>
  <si>
    <t>OŚ</t>
  </si>
  <si>
    <t>OŚ-20.000,-+ śmieci 10.000,-</t>
  </si>
  <si>
    <t>OŚ-30.000,-+śmieci 1473500 (14.000 przesyłki+ obsł.systemu 1.456.000,-+ aktualizacja oprogramowania 3.500,-)</t>
  </si>
  <si>
    <t>egzekucja opł.śmieciowej</t>
  </si>
  <si>
    <t>Oczyszczanie miast i wsi</t>
  </si>
  <si>
    <t>Utrzymanie zieleni w miastach i gminach</t>
  </si>
  <si>
    <t>WG 51.000+FS 8.552,27+OŚ 50.000</t>
  </si>
  <si>
    <t>rondo w Rudzie i J. Melcera</t>
  </si>
  <si>
    <t xml:space="preserve">OŚ 50.000 ,-+ FS 700,-+ budżet 38.000,-(tj. obsadzenia i wywóz na wysypisko 30.000+ , rondo Piłsudskiego 8.000,-) </t>
  </si>
  <si>
    <t>Schroniska dla zwierząt</t>
  </si>
  <si>
    <t>Dotacje celowe przekazane gminie na zadania bieżące realizowane na podstawie porozumień (umów) między jednostkami samorządu terytorialnego</t>
  </si>
  <si>
    <t>WF 80 psów*1200+26psów pobyt stały w schronisku *600</t>
  </si>
  <si>
    <t>WGN</t>
  </si>
  <si>
    <t>Oświetlenie ulic, placów i dróg</t>
  </si>
  <si>
    <t xml:space="preserve">budżet gminy WRGiP </t>
  </si>
  <si>
    <t>WRGiP =zdroje uliczne 28.000 +targowiso 15.000</t>
  </si>
  <si>
    <t>remont szaletu miejskiego</t>
  </si>
  <si>
    <t>WRGiP dzierżawa gazociągów 1.500 +OŚ-</t>
  </si>
  <si>
    <t>Rózne opłaty i składki</t>
  </si>
  <si>
    <t>ubezpieczenie targowiska</t>
  </si>
  <si>
    <t>Gimn. 1 6.000+ ZS Gosciejewo 3.000+ZS Parkowo 3.000</t>
  </si>
  <si>
    <t>Dotacja podmiotowa z budżetu dla samorządowej instytucji kultury</t>
  </si>
  <si>
    <t>FS= 570,-</t>
  </si>
  <si>
    <t>FS=81,-</t>
  </si>
  <si>
    <t>FS=3.289,-</t>
  </si>
  <si>
    <t>Budżet 5.000,-+FS  61.920,29</t>
  </si>
  <si>
    <t>budżet 50.000- + FS 6.700,39</t>
  </si>
  <si>
    <t>Budżet 5.000,- + FS 3.009,76</t>
  </si>
  <si>
    <t>FS 1.325,-</t>
  </si>
  <si>
    <t>FS 1000</t>
  </si>
  <si>
    <t>targowisko dof. kwotowe</t>
  </si>
  <si>
    <t>Dotacje celowe z budżetu na finansowanie lub dofinansowanie kosztów realizacji inwestycji i zakupów inwestycyjnych innych jednostek sektora finansów publicznych</t>
  </si>
  <si>
    <t>świetlice</t>
  </si>
  <si>
    <t>Biblioteki</t>
  </si>
  <si>
    <t>FS Parkowo</t>
  </si>
  <si>
    <t>Muzea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</si>
  <si>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</si>
  <si>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</si>
  <si>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FS</t>
  </si>
  <si>
    <t>Obiekty sportowe</t>
  </si>
  <si>
    <t>SP3</t>
  </si>
  <si>
    <t>Sp3</t>
  </si>
  <si>
    <t>SP 3</t>
  </si>
  <si>
    <t>Gmina 5.000,- SP3 13.000</t>
  </si>
  <si>
    <t>SP3 11.000,- Gmina 1.000,-</t>
  </si>
  <si>
    <t>Gmina  3.000</t>
  </si>
  <si>
    <t>budżet 26.00+FS 42.092,24</t>
  </si>
  <si>
    <t>Budżet 11.000+ FS 4.600=</t>
  </si>
  <si>
    <t>Rezerwa na zarządzanie kryzysowe winna wynosić zgodnie z art. 26 ust. 4 ustawy o zarządzaniu kryzysowym 0,5% wg następującego wyliczenia:</t>
  </si>
  <si>
    <t>wydatki budżetu</t>
  </si>
  <si>
    <t>minus wydatki inwestycyjne</t>
  </si>
  <si>
    <t>munus wynagrodzenia i pochodne</t>
  </si>
  <si>
    <t>minus obsługa dłudu</t>
  </si>
  <si>
    <t>Razem podstawa naliczenia</t>
  </si>
  <si>
    <t>x 0,5%</t>
  </si>
  <si>
    <t>przyjęto:</t>
  </si>
  <si>
    <t>A.</t>
  </si>
  <si>
    <t>Zobowiązanie
zaciągnięte</t>
  </si>
  <si>
    <t>Stan zadłużenia na dzień 31.12.2014r.</t>
  </si>
  <si>
    <t>Do spłaty</t>
  </si>
  <si>
    <t>Stan zadłużenia na 31.12.</t>
  </si>
  <si>
    <t>Bank Pocztowy S.A.  Bydgoszcz</t>
  </si>
  <si>
    <t>K</t>
  </si>
  <si>
    <t>O</t>
  </si>
  <si>
    <t>R</t>
  </si>
  <si>
    <t>BS Czarnków</t>
  </si>
  <si>
    <t xml:space="preserve">ING Bank Śląski w Poznaniu
</t>
  </si>
  <si>
    <t>WFOŚ i GW w Pzonaniu</t>
  </si>
  <si>
    <t>RAZEM: A</t>
  </si>
  <si>
    <t>B.1</t>
  </si>
  <si>
    <t>Wnioskowane
zobowiązanie -kredyt</t>
  </si>
  <si>
    <t xml:space="preserve"> RAZEM: Wnioskowane 
zobowiązanie
(B1)</t>
  </si>
  <si>
    <t>OGÓŁEM: A+B</t>
  </si>
  <si>
    <t>C.</t>
  </si>
  <si>
    <t>Poręczenia i gwarancje</t>
  </si>
  <si>
    <t>D.</t>
  </si>
  <si>
    <t>Zobowiązania krótkoterminowe</t>
  </si>
  <si>
    <t>OGÓŁEM: A+B+C+D</t>
  </si>
  <si>
    <t xml:space="preserve">w tym :  </t>
  </si>
  <si>
    <t>podatek od nieruchomości</t>
  </si>
  <si>
    <t>subwencja ogólna</t>
  </si>
  <si>
    <t>w tym :</t>
  </si>
  <si>
    <t>Dochody bieżące</t>
  </si>
  <si>
    <t>Dochody majątkowe</t>
  </si>
  <si>
    <t>dotacje i środków na inwestycje</t>
  </si>
  <si>
    <t>dotacje i środki na cele bieżące</t>
  </si>
  <si>
    <t>ze sprzedaży majątku</t>
  </si>
  <si>
    <t>Wydatki bieżące</t>
  </si>
  <si>
    <t>Wydatki majątkowe</t>
  </si>
  <si>
    <t>Prognoza długu na lata 2015 - 2025
Gminy Rogoźno
Załącznik Nr 3 - materiały informacyjne
do projektu budżetu 2015 roku</t>
  </si>
  <si>
    <t>Drogi publiczne wojewódzkie</t>
  </si>
  <si>
    <t>- Przedszkole niepubliczne "MOTYLEK"</t>
  </si>
  <si>
    <t>- Przedszkole niepubliczne "PRZEMYSŁAW"</t>
  </si>
  <si>
    <t>- Przedszkole niepubliczne- "Akademia Małych Odkrywców"</t>
  </si>
  <si>
    <t>Wpłaty jednostek na państwowy fundusz celowy na finansowanie lub dofinansowanie zadań inwestycyjnych</t>
  </si>
  <si>
    <t>a) wynagrodzenia i składki od nich naliczone</t>
  </si>
  <si>
    <t>b) wydatki związane z realizacją statutowych zadań</t>
  </si>
  <si>
    <t>1. Wydatki jednostek budżetowych</t>
  </si>
  <si>
    <t>2) dotacje na zadania bieżące</t>
  </si>
  <si>
    <t>3) świadczenia na rzecz osób fizycznych</t>
  </si>
  <si>
    <r>
      <t>4)</t>
    </r>
    <r>
      <rPr>
        <i/>
        <sz val="9"/>
        <rFont val="Times New Roman"/>
        <family val="1"/>
        <charset val="238"/>
      </rPr>
      <t xml:space="preserve"> </t>
    </r>
    <r>
      <rPr>
        <i/>
        <sz val="9"/>
        <rFont val="Arial"/>
        <family val="2"/>
        <charset val="238"/>
      </rPr>
      <t>obsługę długu – odsetki od kredytów i pożyczek</t>
    </r>
  </si>
  <si>
    <t xml:space="preserve">1) wydatki na projekty finansowe z udziałem środków, o których mowa  w art.5 ust.1 pkt 2 i 3 </t>
  </si>
  <si>
    <t>2) wydatki majątkowe w formie dotacji celowych</t>
  </si>
  <si>
    <r>
      <t>3)</t>
    </r>
    <r>
      <rPr>
        <i/>
        <sz val="9"/>
        <rFont val="Times New Roman"/>
        <family val="1"/>
        <charset val="238"/>
      </rPr>
      <t> </t>
    </r>
    <r>
      <rPr>
        <i/>
        <sz val="9"/>
        <rFont val="Arial"/>
        <family val="2"/>
        <charset val="238"/>
      </rPr>
      <t>pozostałe</t>
    </r>
    <r>
      <rPr>
        <i/>
        <sz val="9"/>
        <rFont val="Times New Roman"/>
        <family val="1"/>
        <charset val="238"/>
      </rPr>
      <t xml:space="preserve"> </t>
    </r>
    <r>
      <rPr>
        <i/>
        <sz val="9"/>
        <rFont val="Arial"/>
        <family val="2"/>
        <charset val="238"/>
      </rPr>
      <t>wydatki majątkowe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</si>
</sst>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00"/>
    <numFmt numFmtId="165" formatCode="???,??0.00"/>
    <numFmt numFmtId="166" formatCode="00000"/>
    <numFmt numFmtId="167" formatCode="0000"/>
    <numFmt numFmtId="168" formatCode="??,??0.00"/>
    <numFmt numFmtId="169" formatCode="????"/>
    <numFmt numFmtId="170" formatCode="???"/>
    <numFmt numFmtId="171" formatCode="?,??0.00"/>
    <numFmt numFmtId="172" formatCode="?????"/>
    <numFmt numFmtId="173" formatCode="?,???,??0.00"/>
    <numFmt numFmtId="174" formatCode="??0.00"/>
    <numFmt numFmtId="175" formatCode="??,???,??0.00"/>
    <numFmt numFmtId="176" formatCode="?0.00"/>
  </numFmts>
  <fonts count="44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.5"/>
      <color indexed="8"/>
      <name val="Arial"/>
      <family val="2"/>
      <charset val="238"/>
    </font>
    <font>
      <sz val="7"/>
      <name val="Arial"/>
      <family val="2"/>
      <charset val="238"/>
    </font>
    <font>
      <b/>
      <sz val="8.5"/>
      <name val="Arial"/>
      <family val="2"/>
      <charset val="238"/>
    </font>
    <font>
      <sz val="7.5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 CE"/>
    </font>
    <font>
      <sz val="8"/>
      <name val="Arial"/>
      <family val="2"/>
      <charset val="238"/>
    </font>
    <font>
      <sz val="8"/>
      <color indexed="8"/>
      <name val="Arial CE"/>
      <charset val="238"/>
    </font>
    <font>
      <sz val="8"/>
      <color indexed="8"/>
      <name val="Arial CE"/>
    </font>
    <font>
      <b/>
      <sz val="8"/>
      <color indexed="8"/>
      <name val="Arial CE"/>
      <charset val="238"/>
    </font>
    <font>
      <b/>
      <sz val="10"/>
      <color indexed="8"/>
      <name val="Arial CE"/>
    </font>
    <font>
      <i/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7"/>
      <color indexed="8"/>
      <name val="Arial CE"/>
    </font>
    <font>
      <b/>
      <sz val="7"/>
      <color indexed="8"/>
      <name val="Arial CE"/>
    </font>
    <font>
      <u/>
      <sz val="10"/>
      <name val="Arial"/>
      <family val="2"/>
      <charset val="238"/>
    </font>
    <font>
      <i/>
      <sz val="8"/>
      <color indexed="8"/>
      <name val="Arial CE"/>
    </font>
    <font>
      <i/>
      <sz val="8"/>
      <name val="Arial"/>
      <family val="2"/>
      <charset val="238"/>
    </font>
    <font>
      <i/>
      <sz val="8"/>
      <color indexed="8"/>
      <name val="Arial CE"/>
      <charset val="238"/>
    </font>
    <font>
      <i/>
      <sz val="7"/>
      <name val="Arial"/>
      <family val="2"/>
      <charset val="238"/>
    </font>
    <font>
      <i/>
      <sz val="7"/>
      <color indexed="8"/>
      <name val="Arial CE"/>
    </font>
    <font>
      <sz val="7"/>
      <color rgb="FFFF000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i/>
      <sz val="9"/>
      <color indexed="8"/>
      <name val="Arial CE"/>
      <charset val="238"/>
    </font>
    <font>
      <b/>
      <sz val="11"/>
      <color indexed="8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 CE"/>
      <charset val="238"/>
    </font>
    <font>
      <i/>
      <sz val="9"/>
      <name val="Times New Roman"/>
      <family val="1"/>
      <charset val="238"/>
    </font>
    <font>
      <b/>
      <sz val="11"/>
      <color indexed="8"/>
      <name val="Arial CE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indexed="8"/>
      <name val="Arial CE"/>
    </font>
    <font>
      <b/>
      <i/>
      <sz val="10"/>
      <color indexed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</xf>
    <xf numFmtId="0" fontId="18" fillId="0" borderId="0"/>
    <xf numFmtId="0" fontId="1" fillId="0" borderId="0"/>
  </cellStyleXfs>
  <cellXfs count="1300">
    <xf numFmtId="0" fontId="0" fillId="0" borderId="0" xfId="0"/>
    <xf numFmtId="0" fontId="0" fillId="0" borderId="0" xfId="1" applyFont="1" applyAlignment="1">
      <alignment vertical="top" wrapText="1"/>
    </xf>
    <xf numFmtId="0" fontId="0" fillId="0" borderId="0" xfId="1" applyFont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/>
    </xf>
    <xf numFmtId="164" fontId="10" fillId="2" borderId="8" xfId="1" applyNumberFormat="1" applyFont="1" applyFill="1" applyBorder="1" applyAlignment="1">
      <alignment horizontal="left" vertical="top"/>
    </xf>
    <xf numFmtId="0" fontId="0" fillId="2" borderId="9" xfId="1" applyFont="1" applyFill="1" applyBorder="1"/>
    <xf numFmtId="0" fontId="0" fillId="2" borderId="0" xfId="1" applyFont="1" applyFill="1" applyBorder="1"/>
    <xf numFmtId="0" fontId="10" fillId="2" borderId="10" xfId="1" applyFont="1" applyFill="1" applyBorder="1" applyAlignment="1">
      <alignment horizontal="left" vertical="top" wrapText="1"/>
    </xf>
    <xf numFmtId="165" fontId="10" fillId="2" borderId="9" xfId="1" applyNumberFormat="1" applyFont="1" applyFill="1" applyBorder="1" applyAlignment="1">
      <alignment horizontal="right" vertical="top"/>
    </xf>
    <xf numFmtId="10" fontId="10" fillId="2" borderId="9" xfId="1" applyNumberFormat="1" applyFont="1" applyFill="1" applyBorder="1" applyAlignment="1">
      <alignment horizontal="right" vertical="top"/>
    </xf>
    <xf numFmtId="4" fontId="10" fillId="2" borderId="9" xfId="1" applyNumberFormat="1" applyFont="1" applyFill="1" applyBorder="1" applyAlignment="1">
      <alignment horizontal="right" vertical="top"/>
    </xf>
    <xf numFmtId="4" fontId="10" fillId="2" borderId="11" xfId="1" applyNumberFormat="1" applyFont="1" applyFill="1" applyBorder="1" applyAlignment="1">
      <alignment horizontal="right" vertical="top"/>
    </xf>
    <xf numFmtId="10" fontId="10" fillId="2" borderId="7" xfId="1" applyNumberFormat="1" applyFont="1" applyFill="1" applyBorder="1" applyAlignment="1">
      <alignment horizontal="right" vertical="top"/>
    </xf>
    <xf numFmtId="49" fontId="11" fillId="0" borderId="7" xfId="1" applyNumberFormat="1" applyFont="1" applyBorder="1" applyAlignment="1">
      <alignment vertical="top"/>
    </xf>
    <xf numFmtId="164" fontId="10" fillId="3" borderId="12" xfId="1" applyNumberFormat="1" applyFont="1" applyFill="1" applyBorder="1" applyAlignment="1">
      <alignment horizontal="left" vertical="top"/>
    </xf>
    <xf numFmtId="0" fontId="11" fillId="4" borderId="13" xfId="1" quotePrefix="1" applyFont="1" applyFill="1" applyBorder="1"/>
    <xf numFmtId="0" fontId="0" fillId="4" borderId="13" xfId="1" applyFont="1" applyFill="1" applyBorder="1"/>
    <xf numFmtId="0" fontId="0" fillId="4" borderId="14" xfId="1" applyFont="1" applyFill="1" applyBorder="1"/>
    <xf numFmtId="0" fontId="12" fillId="4" borderId="15" xfId="1" applyFont="1" applyFill="1" applyBorder="1" applyAlignment="1">
      <alignment horizontal="left" vertical="top" wrapText="1"/>
    </xf>
    <xf numFmtId="165" fontId="13" fillId="4" borderId="13" xfId="1" applyNumberFormat="1" applyFont="1" applyFill="1" applyBorder="1" applyAlignment="1">
      <alignment horizontal="right" vertical="top"/>
    </xf>
    <xf numFmtId="4" fontId="13" fillId="4" borderId="13" xfId="1" applyNumberFormat="1" applyFont="1" applyFill="1" applyBorder="1" applyAlignment="1">
      <alignment horizontal="right" vertical="top"/>
    </xf>
    <xf numFmtId="10" fontId="13" fillId="4" borderId="13" xfId="1" applyNumberFormat="1" applyFont="1" applyFill="1" applyBorder="1" applyAlignment="1">
      <alignment horizontal="right" vertical="top"/>
    </xf>
    <xf numFmtId="4" fontId="13" fillId="4" borderId="16" xfId="1" applyNumberFormat="1" applyFont="1" applyFill="1" applyBorder="1" applyAlignment="1">
      <alignment horizontal="right" vertical="top"/>
    </xf>
    <xf numFmtId="10" fontId="13" fillId="4" borderId="7" xfId="1" applyNumberFormat="1" applyFont="1" applyFill="1" applyBorder="1" applyAlignment="1">
      <alignment horizontal="right" vertical="top"/>
    </xf>
    <xf numFmtId="164" fontId="10" fillId="3" borderId="17" xfId="1" applyNumberFormat="1" applyFont="1" applyFill="1" applyBorder="1" applyAlignment="1">
      <alignment horizontal="left" vertical="top"/>
    </xf>
    <xf numFmtId="0" fontId="0" fillId="3" borderId="9" xfId="1" applyFont="1" applyFill="1" applyBorder="1"/>
    <xf numFmtId="0" fontId="11" fillId="3" borderId="15" xfId="1" quotePrefix="1" applyFont="1" applyFill="1" applyBorder="1" applyAlignment="1"/>
    <xf numFmtId="0" fontId="13" fillId="0" borderId="18" xfId="1" applyFont="1" applyBorder="1" applyAlignment="1">
      <alignment horizontal="left" vertical="top" wrapText="1"/>
    </xf>
    <xf numFmtId="165" fontId="13" fillId="3" borderId="15" xfId="1" applyNumberFormat="1" applyFont="1" applyFill="1" applyBorder="1" applyAlignment="1">
      <alignment horizontal="right" vertical="top"/>
    </xf>
    <xf numFmtId="4" fontId="13" fillId="3" borderId="15" xfId="1" applyNumberFormat="1" applyFont="1" applyFill="1" applyBorder="1" applyAlignment="1">
      <alignment horizontal="right" vertical="top"/>
    </xf>
    <xf numFmtId="10" fontId="13" fillId="3" borderId="15" xfId="1" applyNumberFormat="1" applyFont="1" applyFill="1" applyBorder="1" applyAlignment="1">
      <alignment horizontal="right" vertical="top"/>
    </xf>
    <xf numFmtId="4" fontId="13" fillId="3" borderId="13" xfId="1" applyNumberFormat="1" applyFont="1" applyFill="1" applyBorder="1" applyAlignment="1">
      <alignment horizontal="right" vertical="top"/>
    </xf>
    <xf numFmtId="4" fontId="13" fillId="3" borderId="16" xfId="1" applyNumberFormat="1" applyFont="1" applyFill="1" applyBorder="1" applyAlignment="1">
      <alignment horizontal="right" vertical="top"/>
    </xf>
    <xf numFmtId="10" fontId="13" fillId="3" borderId="7" xfId="1" applyNumberFormat="1" applyFont="1" applyFill="1" applyBorder="1" applyAlignment="1">
      <alignment horizontal="right" vertical="top"/>
    </xf>
    <xf numFmtId="0" fontId="11" fillId="3" borderId="18" xfId="1" quotePrefix="1" applyFont="1" applyFill="1" applyBorder="1" applyAlignment="1">
      <alignment vertical="top"/>
    </xf>
    <xf numFmtId="0" fontId="13" fillId="0" borderId="19" xfId="1" applyFont="1" applyBorder="1" applyAlignment="1">
      <alignment horizontal="left" vertical="top" wrapText="1"/>
    </xf>
    <xf numFmtId="165" fontId="13" fillId="3" borderId="18" xfId="1" applyNumberFormat="1" applyFont="1" applyFill="1" applyBorder="1" applyAlignment="1">
      <alignment horizontal="right" vertical="top"/>
    </xf>
    <xf numFmtId="4" fontId="13" fillId="3" borderId="18" xfId="1" applyNumberFormat="1" applyFont="1" applyFill="1" applyBorder="1" applyAlignment="1">
      <alignment horizontal="right" vertical="top"/>
    </xf>
    <xf numFmtId="10" fontId="13" fillId="3" borderId="18" xfId="1" applyNumberFormat="1" applyFont="1" applyFill="1" applyBorder="1" applyAlignment="1">
      <alignment horizontal="right" vertical="top"/>
    </xf>
    <xf numFmtId="4" fontId="13" fillId="3" borderId="20" xfId="1" applyNumberFormat="1" applyFont="1" applyFill="1" applyBorder="1" applyAlignment="1">
      <alignment horizontal="right" vertical="top"/>
    </xf>
    <xf numFmtId="4" fontId="13" fillId="3" borderId="21" xfId="1" applyNumberFormat="1" applyFont="1" applyFill="1" applyBorder="1" applyAlignment="1">
      <alignment horizontal="right" vertical="top"/>
    </xf>
    <xf numFmtId="10" fontId="13" fillId="3" borderId="22" xfId="1" applyNumberFormat="1" applyFont="1" applyFill="1" applyBorder="1" applyAlignment="1">
      <alignment horizontal="right" vertical="top"/>
    </xf>
    <xf numFmtId="49" fontId="11" fillId="0" borderId="22" xfId="1" applyNumberFormat="1" applyFont="1" applyBorder="1" applyAlignment="1">
      <alignment vertical="top"/>
    </xf>
    <xf numFmtId="0" fontId="13" fillId="5" borderId="5" xfId="1" applyFont="1" applyFill="1" applyBorder="1" applyAlignment="1">
      <alignment horizontal="left" vertical="top" wrapText="1"/>
    </xf>
    <xf numFmtId="165" fontId="13" fillId="5" borderId="5" xfId="1" applyNumberFormat="1" applyFont="1" applyFill="1" applyBorder="1" applyAlignment="1">
      <alignment horizontal="right" vertical="top"/>
    </xf>
    <xf numFmtId="10" fontId="13" fillId="5" borderId="5" xfId="1" applyNumberFormat="1" applyFont="1" applyFill="1" applyBorder="1" applyAlignment="1">
      <alignment horizontal="right" vertical="top"/>
    </xf>
    <xf numFmtId="4" fontId="13" fillId="5" borderId="1" xfId="1" applyNumberFormat="1" applyFont="1" applyFill="1" applyBorder="1" applyAlignment="1">
      <alignment horizontal="right" vertical="top"/>
    </xf>
    <xf numFmtId="4" fontId="13" fillId="5" borderId="6" xfId="1" applyNumberFormat="1" applyFont="1" applyFill="1" applyBorder="1" applyAlignment="1">
      <alignment horizontal="right" vertical="top"/>
    </xf>
    <xf numFmtId="10" fontId="13" fillId="5" borderId="7" xfId="1" applyNumberFormat="1" applyFont="1" applyFill="1" applyBorder="1" applyAlignment="1">
      <alignment horizontal="right" vertical="top"/>
    </xf>
    <xf numFmtId="49" fontId="11" fillId="5" borderId="5" xfId="1" applyNumberFormat="1" applyFont="1" applyFill="1" applyBorder="1" applyAlignment="1">
      <alignment vertical="top"/>
    </xf>
    <xf numFmtId="0" fontId="11" fillId="3" borderId="5" xfId="1" quotePrefix="1" applyFont="1" applyFill="1" applyBorder="1" applyAlignment="1">
      <alignment vertical="top"/>
    </xf>
    <xf numFmtId="0" fontId="13" fillId="0" borderId="0" xfId="1" applyFont="1" applyBorder="1" applyAlignment="1">
      <alignment horizontal="left" vertical="top" wrapText="1"/>
    </xf>
    <xf numFmtId="165" fontId="13" fillId="3" borderId="24" xfId="1" applyNumberFormat="1" applyFont="1" applyFill="1" applyBorder="1" applyAlignment="1">
      <alignment horizontal="right" vertical="top"/>
    </xf>
    <xf numFmtId="4" fontId="13" fillId="3" borderId="24" xfId="1" applyNumberFormat="1" applyFont="1" applyFill="1" applyBorder="1" applyAlignment="1">
      <alignment horizontal="right" vertical="top"/>
    </xf>
    <xf numFmtId="10" fontId="13" fillId="3" borderId="24" xfId="1" applyNumberFormat="1" applyFont="1" applyFill="1" applyBorder="1" applyAlignment="1">
      <alignment horizontal="right" vertical="top"/>
    </xf>
    <xf numFmtId="4" fontId="13" fillId="3" borderId="25" xfId="1" applyNumberFormat="1" applyFont="1" applyFill="1" applyBorder="1" applyAlignment="1">
      <alignment horizontal="right" vertical="top"/>
    </xf>
    <xf numFmtId="10" fontId="13" fillId="3" borderId="26" xfId="1" applyNumberFormat="1" applyFont="1" applyFill="1" applyBorder="1" applyAlignment="1">
      <alignment horizontal="right" vertical="top"/>
    </xf>
    <xf numFmtId="49" fontId="11" fillId="0" borderId="26" xfId="1" applyNumberFormat="1" applyFont="1" applyBorder="1" applyAlignment="1">
      <alignment vertical="top"/>
    </xf>
    <xf numFmtId="0" fontId="0" fillId="3" borderId="17" xfId="1" applyFont="1" applyFill="1" applyBorder="1"/>
    <xf numFmtId="166" fontId="13" fillId="6" borderId="13" xfId="1" applyNumberFormat="1" applyFont="1" applyFill="1" applyBorder="1" applyAlignment="1">
      <alignment horizontal="left" vertical="top"/>
    </xf>
    <xf numFmtId="0" fontId="0" fillId="6" borderId="13" xfId="1" applyFont="1" applyFill="1" applyBorder="1"/>
    <xf numFmtId="0" fontId="0" fillId="6" borderId="27" xfId="1" applyFont="1" applyFill="1" applyBorder="1"/>
    <xf numFmtId="0" fontId="13" fillId="6" borderId="15" xfId="1" applyFont="1" applyFill="1" applyBorder="1" applyAlignment="1">
      <alignment horizontal="left" vertical="top" wrapText="1"/>
    </xf>
    <xf numFmtId="165" fontId="13" fillId="6" borderId="13" xfId="1" applyNumberFormat="1" applyFont="1" applyFill="1" applyBorder="1" applyAlignment="1">
      <alignment horizontal="right" vertical="top"/>
    </xf>
    <xf numFmtId="10" fontId="13" fillId="6" borderId="13" xfId="1" applyNumberFormat="1" applyFont="1" applyFill="1" applyBorder="1" applyAlignment="1">
      <alignment horizontal="right" vertical="top"/>
    </xf>
    <xf numFmtId="4" fontId="13" fillId="6" borderId="13" xfId="1" applyNumberFormat="1" applyFont="1" applyFill="1" applyBorder="1" applyAlignment="1">
      <alignment horizontal="right" vertical="top"/>
    </xf>
    <xf numFmtId="4" fontId="13" fillId="6" borderId="16" xfId="1" applyNumberFormat="1" applyFont="1" applyFill="1" applyBorder="1" applyAlignment="1">
      <alignment horizontal="right" vertical="top"/>
    </xf>
    <xf numFmtId="10" fontId="10" fillId="6" borderId="7" xfId="1" applyNumberFormat="1" applyFont="1" applyFill="1" applyBorder="1" applyAlignment="1">
      <alignment horizontal="right" vertical="top"/>
    </xf>
    <xf numFmtId="0" fontId="0" fillId="0" borderId="17" xfId="1" applyFont="1" applyBorder="1"/>
    <xf numFmtId="0" fontId="0" fillId="0" borderId="9" xfId="1" applyFont="1" applyBorder="1"/>
    <xf numFmtId="0" fontId="0" fillId="0" borderId="20" xfId="1" applyFont="1" applyBorder="1"/>
    <xf numFmtId="167" fontId="13" fillId="0" borderId="12" xfId="1" applyNumberFormat="1" applyFont="1" applyBorder="1" applyAlignment="1">
      <alignment horizontal="left" vertical="top"/>
    </xf>
    <xf numFmtId="168" fontId="13" fillId="0" borderId="20" xfId="1" applyNumberFormat="1" applyFont="1" applyBorder="1" applyAlignment="1">
      <alignment horizontal="right" vertical="top"/>
    </xf>
    <xf numFmtId="4" fontId="11" fillId="0" borderId="5" xfId="1" applyNumberFormat="1" applyFont="1" applyBorder="1" applyAlignment="1">
      <alignment vertical="top"/>
    </xf>
    <xf numFmtId="10" fontId="11" fillId="0" borderId="5" xfId="1" applyNumberFormat="1" applyFont="1" applyBorder="1" applyAlignment="1">
      <alignment vertical="top"/>
    </xf>
    <xf numFmtId="4" fontId="11" fillId="0" borderId="1" xfId="1" applyNumberFormat="1" applyFont="1" applyBorder="1" applyAlignment="1">
      <alignment vertical="top"/>
    </xf>
    <xf numFmtId="4" fontId="11" fillId="0" borderId="6" xfId="1" applyNumberFormat="1" applyFont="1" applyBorder="1" applyAlignment="1">
      <alignment vertical="top"/>
    </xf>
    <xf numFmtId="10" fontId="12" fillId="0" borderId="7" xfId="1" applyNumberFormat="1" applyFont="1" applyFill="1" applyBorder="1" applyAlignment="1">
      <alignment horizontal="right" vertical="top"/>
    </xf>
    <xf numFmtId="49" fontId="11" fillId="0" borderId="7" xfId="1" applyNumberFormat="1" applyFont="1" applyBorder="1" applyAlignment="1">
      <alignment vertical="top" wrapText="1"/>
    </xf>
    <xf numFmtId="0" fontId="11" fillId="3" borderId="15" xfId="1" quotePrefix="1" applyFont="1" applyFill="1" applyBorder="1" applyAlignment="1">
      <alignment vertical="top"/>
    </xf>
    <xf numFmtId="0" fontId="13" fillId="0" borderId="5" xfId="1" applyFont="1" applyBorder="1" applyAlignment="1">
      <alignment horizontal="left" vertical="top" wrapText="1"/>
    </xf>
    <xf numFmtId="169" fontId="13" fillId="0" borderId="12" xfId="1" applyNumberFormat="1" applyFont="1" applyBorder="1" applyAlignment="1">
      <alignment horizontal="left" vertical="top"/>
    </xf>
    <xf numFmtId="165" fontId="13" fillId="0" borderId="20" xfId="1" applyNumberFormat="1" applyFont="1" applyBorder="1" applyAlignment="1">
      <alignment horizontal="right" vertical="top"/>
    </xf>
    <xf numFmtId="4" fontId="11" fillId="0" borderId="19" xfId="1" applyNumberFormat="1" applyFont="1" applyBorder="1" applyAlignment="1">
      <alignment vertical="top"/>
    </xf>
    <xf numFmtId="10" fontId="11" fillId="0" borderId="19" xfId="1" applyNumberFormat="1" applyFont="1" applyBorder="1" applyAlignment="1">
      <alignment vertical="top"/>
    </xf>
    <xf numFmtId="4" fontId="11" fillId="0" borderId="28" xfId="1" applyNumberFormat="1" applyFont="1" applyBorder="1" applyAlignment="1">
      <alignment vertical="top"/>
    </xf>
    <xf numFmtId="4" fontId="11" fillId="0" borderId="29" xfId="1" applyNumberFormat="1" applyFont="1" applyBorder="1" applyAlignment="1">
      <alignment vertical="top"/>
    </xf>
    <xf numFmtId="169" fontId="13" fillId="0" borderId="5" xfId="1" applyNumberFormat="1" applyFont="1" applyBorder="1" applyAlignment="1">
      <alignment horizontal="left" vertical="top"/>
    </xf>
    <xf numFmtId="165" fontId="13" fillId="0" borderId="5" xfId="1" applyNumberFormat="1" applyFont="1" applyBorder="1" applyAlignment="1">
      <alignment horizontal="right" vertical="top"/>
    </xf>
    <xf numFmtId="164" fontId="10" fillId="2" borderId="3" xfId="1" applyNumberFormat="1" applyFont="1" applyFill="1" applyBorder="1" applyAlignment="1">
      <alignment horizontal="left" vertical="top"/>
    </xf>
    <xf numFmtId="0" fontId="0" fillId="2" borderId="20" xfId="1" applyFont="1" applyFill="1" applyBorder="1"/>
    <xf numFmtId="0" fontId="10" fillId="2" borderId="5" xfId="1" applyFont="1" applyFill="1" applyBorder="1" applyAlignment="1">
      <alignment horizontal="left" vertical="top" wrapText="1"/>
    </xf>
    <xf numFmtId="168" fontId="10" fillId="2" borderId="0" xfId="1" applyNumberFormat="1" applyFont="1" applyFill="1" applyBorder="1" applyAlignment="1">
      <alignment horizontal="right" vertical="top"/>
    </xf>
    <xf numFmtId="0" fontId="0" fillId="6" borderId="14" xfId="1" applyFont="1" applyFill="1" applyBorder="1"/>
    <xf numFmtId="0" fontId="13" fillId="6" borderId="30" xfId="1" applyFont="1" applyFill="1" applyBorder="1" applyAlignment="1">
      <alignment horizontal="left" vertical="top" wrapText="1"/>
    </xf>
    <xf numFmtId="168" fontId="13" fillId="6" borderId="13" xfId="1" applyNumberFormat="1" applyFont="1" applyFill="1" applyBorder="1" applyAlignment="1">
      <alignment horizontal="right" vertical="top"/>
    </xf>
    <xf numFmtId="10" fontId="12" fillId="6" borderId="7" xfId="1" applyNumberFormat="1" applyFont="1" applyFill="1" applyBorder="1" applyAlignment="1">
      <alignment horizontal="right" vertical="top"/>
    </xf>
    <xf numFmtId="0" fontId="0" fillId="0" borderId="13" xfId="1" applyFont="1" applyBorder="1"/>
    <xf numFmtId="167" fontId="13" fillId="0" borderId="31" xfId="1" applyNumberFormat="1" applyFont="1" applyBorder="1" applyAlignment="1">
      <alignment horizontal="left" vertical="top"/>
    </xf>
    <xf numFmtId="0" fontId="13" fillId="0" borderId="15" xfId="1" applyFont="1" applyBorder="1" applyAlignment="1">
      <alignment horizontal="left" vertical="top" wrapText="1"/>
    </xf>
    <xf numFmtId="168" fontId="13" fillId="0" borderId="13" xfId="1" applyNumberFormat="1" applyFont="1" applyBorder="1" applyAlignment="1">
      <alignment horizontal="right" vertical="top"/>
    </xf>
    <xf numFmtId="170" fontId="10" fillId="2" borderId="3" xfId="1" applyNumberFormat="1" applyFont="1" applyFill="1" applyBorder="1" applyAlignment="1">
      <alignment horizontal="left" vertical="top"/>
    </xf>
    <xf numFmtId="0" fontId="0" fillId="2" borderId="32" xfId="1" applyFont="1" applyFill="1" applyBorder="1"/>
    <xf numFmtId="0" fontId="10" fillId="2" borderId="18" xfId="1" applyFont="1" applyFill="1" applyBorder="1" applyAlignment="1">
      <alignment horizontal="left" vertical="top" wrapText="1"/>
    </xf>
    <xf numFmtId="171" fontId="10" fillId="2" borderId="20" xfId="1" applyNumberFormat="1" applyFont="1" applyFill="1" applyBorder="1" applyAlignment="1">
      <alignment horizontal="right" vertical="top"/>
    </xf>
    <xf numFmtId="4" fontId="10" fillId="2" borderId="20" xfId="1" applyNumberFormat="1" applyFont="1" applyFill="1" applyBorder="1" applyAlignment="1">
      <alignment horizontal="right" vertical="top"/>
    </xf>
    <xf numFmtId="10" fontId="10" fillId="2" borderId="20" xfId="1" applyNumberFormat="1" applyFont="1" applyFill="1" applyBorder="1" applyAlignment="1">
      <alignment horizontal="right" vertical="top"/>
    </xf>
    <xf numFmtId="4" fontId="10" fillId="2" borderId="21" xfId="1" applyNumberFormat="1" applyFont="1" applyFill="1" applyBorder="1" applyAlignment="1">
      <alignment horizontal="right" vertical="top"/>
    </xf>
    <xf numFmtId="172" fontId="13" fillId="6" borderId="13" xfId="1" applyNumberFormat="1" applyFont="1" applyFill="1" applyBorder="1" applyAlignment="1">
      <alignment horizontal="left" vertical="top"/>
    </xf>
    <xf numFmtId="171" fontId="13" fillId="6" borderId="13" xfId="1" applyNumberFormat="1" applyFont="1" applyFill="1" applyBorder="1" applyAlignment="1">
      <alignment horizontal="right" vertical="top"/>
    </xf>
    <xf numFmtId="171" fontId="13" fillId="0" borderId="20" xfId="1" applyNumberFormat="1" applyFont="1" applyBorder="1" applyAlignment="1">
      <alignment horizontal="right" vertical="top"/>
    </xf>
    <xf numFmtId="171" fontId="13" fillId="0" borderId="5" xfId="1" applyNumberFormat="1" applyFont="1" applyBorder="1" applyAlignment="1">
      <alignment horizontal="right" vertical="top"/>
    </xf>
    <xf numFmtId="4" fontId="11" fillId="0" borderId="23" xfId="1" applyNumberFormat="1" applyFont="1" applyBorder="1" applyAlignment="1">
      <alignment vertical="top"/>
    </xf>
    <xf numFmtId="0" fontId="9" fillId="2" borderId="5" xfId="1" applyFont="1" applyFill="1" applyBorder="1" applyAlignment="1">
      <alignment horizontal="left"/>
    </xf>
    <xf numFmtId="0" fontId="9" fillId="2" borderId="5" xfId="1" applyFont="1" applyFill="1" applyBorder="1"/>
    <xf numFmtId="167" fontId="10" fillId="2" borderId="5" xfId="1" quotePrefix="1" applyNumberFormat="1" applyFont="1" applyFill="1" applyBorder="1" applyAlignment="1">
      <alignment horizontal="left" vertical="top"/>
    </xf>
    <xf numFmtId="171" fontId="10" fillId="2" borderId="5" xfId="1" applyNumberFormat="1" applyFont="1" applyFill="1" applyBorder="1" applyAlignment="1">
      <alignment horizontal="right" vertical="top"/>
    </xf>
    <xf numFmtId="10" fontId="10" fillId="2" borderId="5" xfId="1" applyNumberFormat="1" applyFont="1" applyFill="1" applyBorder="1" applyAlignment="1">
      <alignment horizontal="right" vertical="top"/>
    </xf>
    <xf numFmtId="171" fontId="10" fillId="2" borderId="1" xfId="1" applyNumberFormat="1" applyFont="1" applyFill="1" applyBorder="1" applyAlignment="1">
      <alignment horizontal="right" vertical="top"/>
    </xf>
    <xf numFmtId="171" fontId="10" fillId="2" borderId="6" xfId="1" applyNumberFormat="1" applyFont="1" applyFill="1" applyBorder="1" applyAlignment="1">
      <alignment horizontal="right" vertical="top"/>
    </xf>
    <xf numFmtId="0" fontId="11" fillId="4" borderId="2" xfId="1" applyFont="1" applyFill="1" applyBorder="1" applyAlignment="1">
      <alignment horizontal="left"/>
    </xf>
    <xf numFmtId="0" fontId="0" fillId="4" borderId="2" xfId="1" applyFont="1" applyFill="1" applyBorder="1"/>
    <xf numFmtId="167" fontId="13" fillId="4" borderId="5" xfId="1" quotePrefix="1" applyNumberFormat="1" applyFont="1" applyFill="1" applyBorder="1" applyAlignment="1">
      <alignment horizontal="left" vertical="top"/>
    </xf>
    <xf numFmtId="0" fontId="13" fillId="4" borderId="5" xfId="1" applyFont="1" applyFill="1" applyBorder="1" applyAlignment="1">
      <alignment horizontal="left" vertical="top" wrapText="1"/>
    </xf>
    <xf numFmtId="171" fontId="13" fillId="4" borderId="5" xfId="1" applyNumberFormat="1" applyFont="1" applyFill="1" applyBorder="1" applyAlignment="1">
      <alignment horizontal="right" vertical="top"/>
    </xf>
    <xf numFmtId="10" fontId="13" fillId="4" borderId="5" xfId="1" applyNumberFormat="1" applyFont="1" applyFill="1" applyBorder="1" applyAlignment="1">
      <alignment horizontal="right" vertical="top"/>
    </xf>
    <xf numFmtId="171" fontId="13" fillId="4" borderId="1" xfId="1" applyNumberFormat="1" applyFont="1" applyFill="1" applyBorder="1" applyAlignment="1">
      <alignment horizontal="right" vertical="top"/>
    </xf>
    <xf numFmtId="171" fontId="13" fillId="4" borderId="6" xfId="1" applyNumberFormat="1" applyFont="1" applyFill="1" applyBorder="1" applyAlignment="1">
      <alignment horizontal="right" vertical="top"/>
    </xf>
    <xf numFmtId="167" fontId="13" fillId="0" borderId="33" xfId="1" quotePrefix="1" applyNumberFormat="1" applyFont="1" applyBorder="1" applyAlignment="1">
      <alignment horizontal="left" vertical="top"/>
    </xf>
    <xf numFmtId="0" fontId="13" fillId="0" borderId="34" xfId="1" applyFont="1" applyBorder="1" applyAlignment="1">
      <alignment horizontal="left" vertical="top" wrapText="1"/>
    </xf>
    <xf numFmtId="171" fontId="13" fillId="0" borderId="33" xfId="1" applyNumberFormat="1" applyFont="1" applyBorder="1" applyAlignment="1">
      <alignment horizontal="right" vertical="top"/>
    </xf>
    <xf numFmtId="4" fontId="11" fillId="0" borderId="33" xfId="1" applyNumberFormat="1" applyFont="1" applyBorder="1" applyAlignment="1">
      <alignment vertical="top"/>
    </xf>
    <xf numFmtId="10" fontId="11" fillId="0" borderId="33" xfId="1" applyNumberFormat="1" applyFont="1" applyBorder="1" applyAlignment="1">
      <alignment vertical="top"/>
    </xf>
    <xf numFmtId="4" fontId="11" fillId="0" borderId="35" xfId="1" applyNumberFormat="1" applyFont="1" applyBorder="1" applyAlignment="1">
      <alignment vertical="top"/>
    </xf>
    <xf numFmtId="4" fontId="11" fillId="0" borderId="36" xfId="1" applyNumberFormat="1" applyFont="1" applyBorder="1" applyAlignment="1">
      <alignment vertical="top"/>
    </xf>
    <xf numFmtId="0" fontId="0" fillId="2" borderId="37" xfId="1" applyFont="1" applyFill="1" applyBorder="1"/>
    <xf numFmtId="0" fontId="0" fillId="2" borderId="38" xfId="1" applyFont="1" applyFill="1" applyBorder="1"/>
    <xf numFmtId="0" fontId="10" fillId="2" borderId="4" xfId="1" applyFont="1" applyFill="1" applyBorder="1" applyAlignment="1">
      <alignment horizontal="left" vertical="top" wrapText="1"/>
    </xf>
    <xf numFmtId="173" fontId="10" fillId="2" borderId="39" xfId="1" applyNumberFormat="1" applyFont="1" applyFill="1" applyBorder="1" applyAlignment="1">
      <alignment horizontal="right" vertical="top"/>
    </xf>
    <xf numFmtId="10" fontId="10" fillId="2" borderId="39" xfId="1" applyNumberFormat="1" applyFont="1" applyFill="1" applyBorder="1" applyAlignment="1">
      <alignment horizontal="right" vertical="top"/>
    </xf>
    <xf numFmtId="4" fontId="10" fillId="2" borderId="39" xfId="1" applyNumberFormat="1" applyFont="1" applyFill="1" applyBorder="1" applyAlignment="1">
      <alignment horizontal="right" vertical="top"/>
    </xf>
    <xf numFmtId="4" fontId="10" fillId="2" borderId="36" xfId="1" applyNumberFormat="1" applyFont="1" applyFill="1" applyBorder="1" applyAlignment="1">
      <alignment horizontal="right" vertical="top"/>
    </xf>
    <xf numFmtId="172" fontId="13" fillId="6" borderId="24" xfId="1" applyNumberFormat="1" applyFont="1" applyFill="1" applyBorder="1" applyAlignment="1">
      <alignment horizontal="left" vertical="top"/>
    </xf>
    <xf numFmtId="0" fontId="0" fillId="6" borderId="40" xfId="1" applyFont="1" applyFill="1" applyBorder="1"/>
    <xf numFmtId="173" fontId="13" fillId="6" borderId="24" xfId="1" applyNumberFormat="1" applyFont="1" applyFill="1" applyBorder="1" applyAlignment="1">
      <alignment horizontal="right" vertical="top"/>
    </xf>
    <xf numFmtId="10" fontId="13" fillId="6" borderId="24" xfId="1" applyNumberFormat="1" applyFont="1" applyFill="1" applyBorder="1" applyAlignment="1">
      <alignment horizontal="right" vertical="top"/>
    </xf>
    <xf numFmtId="4" fontId="13" fillId="6" borderId="24" xfId="1" applyNumberFormat="1" applyFont="1" applyFill="1" applyBorder="1" applyAlignment="1">
      <alignment horizontal="right" vertical="top"/>
    </xf>
    <xf numFmtId="4" fontId="13" fillId="6" borderId="25" xfId="1" applyNumberFormat="1" applyFont="1" applyFill="1" applyBorder="1" applyAlignment="1">
      <alignment horizontal="right" vertical="top"/>
    </xf>
    <xf numFmtId="10" fontId="12" fillId="6" borderId="26" xfId="1" applyNumberFormat="1" applyFont="1" applyFill="1" applyBorder="1" applyAlignment="1">
      <alignment horizontal="right" vertical="top"/>
    </xf>
    <xf numFmtId="167" fontId="13" fillId="0" borderId="41" xfId="1" applyNumberFormat="1" applyFont="1" applyBorder="1" applyAlignment="1">
      <alignment horizontal="left" vertical="top"/>
    </xf>
    <xf numFmtId="0" fontId="13" fillId="0" borderId="42" xfId="1" applyFont="1" applyBorder="1" applyAlignment="1">
      <alignment horizontal="left" vertical="top" wrapText="1"/>
    </xf>
    <xf numFmtId="168" fontId="13" fillId="0" borderId="37" xfId="1" applyNumberFormat="1" applyFont="1" applyBorder="1" applyAlignment="1">
      <alignment horizontal="right" vertical="top"/>
    </xf>
    <xf numFmtId="167" fontId="13" fillId="0" borderId="43" xfId="1" quotePrefix="1" applyNumberFormat="1" applyFont="1" applyBorder="1" applyAlignment="1">
      <alignment horizontal="left" vertical="top"/>
    </xf>
    <xf numFmtId="0" fontId="13" fillId="0" borderId="44" xfId="1" applyFont="1" applyBorder="1" applyAlignment="1">
      <alignment horizontal="left" vertical="top" wrapText="1"/>
    </xf>
    <xf numFmtId="168" fontId="13" fillId="0" borderId="39" xfId="1" applyNumberFormat="1" applyFont="1" applyBorder="1" applyAlignment="1">
      <alignment horizontal="right" vertical="top"/>
    </xf>
    <xf numFmtId="167" fontId="13" fillId="0" borderId="3" xfId="1" applyNumberFormat="1" applyFont="1" applyBorder="1" applyAlignment="1">
      <alignment horizontal="left" vertical="top"/>
    </xf>
    <xf numFmtId="0" fontId="13" fillId="0" borderId="4" xfId="1" applyFont="1" applyBorder="1" applyAlignment="1">
      <alignment horizontal="left" vertical="top" wrapText="1"/>
    </xf>
    <xf numFmtId="168" fontId="13" fillId="0" borderId="2" xfId="1" applyNumberFormat="1" applyFont="1" applyBorder="1" applyAlignment="1">
      <alignment horizontal="right" vertical="top"/>
    </xf>
    <xf numFmtId="167" fontId="13" fillId="0" borderId="45" xfId="1" applyNumberFormat="1" applyFont="1" applyBorder="1" applyAlignment="1">
      <alignment horizontal="left" vertical="top"/>
    </xf>
    <xf numFmtId="0" fontId="13" fillId="0" borderId="10" xfId="1" applyFont="1" applyBorder="1" applyAlignment="1">
      <alignment horizontal="left" vertical="top" wrapText="1"/>
    </xf>
    <xf numFmtId="171" fontId="13" fillId="0" borderId="9" xfId="1" applyNumberFormat="1" applyFont="1" applyBorder="1" applyAlignment="1">
      <alignment horizontal="right" vertical="top"/>
    </xf>
    <xf numFmtId="10" fontId="12" fillId="0" borderId="26" xfId="1" applyNumberFormat="1" applyFont="1" applyFill="1" applyBorder="1" applyAlignment="1">
      <alignment horizontal="right" vertical="top"/>
    </xf>
    <xf numFmtId="167" fontId="13" fillId="0" borderId="46" xfId="1" applyNumberFormat="1" applyFont="1" applyBorder="1" applyAlignment="1">
      <alignment horizontal="left" vertical="top"/>
    </xf>
    <xf numFmtId="173" fontId="13" fillId="0" borderId="32" xfId="1" applyNumberFormat="1" applyFont="1" applyBorder="1" applyAlignment="1">
      <alignment horizontal="right" vertical="top"/>
    </xf>
    <xf numFmtId="0" fontId="11" fillId="3" borderId="42" xfId="1" quotePrefix="1" applyFont="1" applyFill="1" applyBorder="1" applyAlignment="1">
      <alignment vertical="top"/>
    </xf>
    <xf numFmtId="173" fontId="13" fillId="0" borderId="37" xfId="1" applyNumberFormat="1" applyFont="1" applyBorder="1" applyAlignment="1">
      <alignment horizontal="right" vertical="top"/>
    </xf>
    <xf numFmtId="0" fontId="11" fillId="3" borderId="30" xfId="1" quotePrefix="1" applyFont="1" applyFill="1" applyBorder="1" applyAlignment="1">
      <alignment vertical="top"/>
    </xf>
    <xf numFmtId="0" fontId="13" fillId="0" borderId="33" xfId="1" applyFont="1" applyBorder="1" applyAlignment="1">
      <alignment horizontal="left" vertical="top" wrapText="1"/>
    </xf>
    <xf numFmtId="173" fontId="13" fillId="0" borderId="9" xfId="1" applyNumberFormat="1" applyFont="1" applyBorder="1" applyAlignment="1">
      <alignment horizontal="right" vertical="top"/>
    </xf>
    <xf numFmtId="171" fontId="13" fillId="0" borderId="13" xfId="1" applyNumberFormat="1" applyFont="1" applyBorder="1" applyAlignment="1">
      <alignment horizontal="right" vertical="top"/>
    </xf>
    <xf numFmtId="167" fontId="13" fillId="0" borderId="5" xfId="1" applyNumberFormat="1" applyFont="1" applyBorder="1" applyAlignment="1">
      <alignment horizontal="left" vertical="top"/>
    </xf>
    <xf numFmtId="168" fontId="13" fillId="0" borderId="5" xfId="1" applyNumberFormat="1" applyFont="1" applyBorder="1" applyAlignment="1">
      <alignment horizontal="right" vertical="top"/>
    </xf>
    <xf numFmtId="4" fontId="11" fillId="0" borderId="0" xfId="1" applyNumberFormat="1" applyFont="1" applyBorder="1" applyAlignment="1">
      <alignment vertical="top"/>
    </xf>
    <xf numFmtId="4" fontId="11" fillId="0" borderId="11" xfId="1" applyNumberFormat="1" applyFont="1" applyBorder="1" applyAlignment="1">
      <alignment vertical="top"/>
    </xf>
    <xf numFmtId="169" fontId="13" fillId="0" borderId="41" xfId="1" applyNumberFormat="1" applyFont="1" applyBorder="1" applyAlignment="1">
      <alignment horizontal="left" vertical="top"/>
    </xf>
    <xf numFmtId="165" fontId="13" fillId="0" borderId="37" xfId="1" applyNumberFormat="1" applyFont="1" applyBorder="1" applyAlignment="1">
      <alignment horizontal="right" vertical="top"/>
    </xf>
    <xf numFmtId="49" fontId="5" fillId="0" borderId="7" xfId="1" applyNumberFormat="1" applyFont="1" applyBorder="1" applyAlignment="1">
      <alignment vertical="top"/>
    </xf>
    <xf numFmtId="169" fontId="13" fillId="0" borderId="47" xfId="1" applyNumberFormat="1" applyFont="1" applyBorder="1" applyAlignment="1">
      <alignment horizontal="left" vertical="top"/>
    </xf>
    <xf numFmtId="165" fontId="13" fillId="0" borderId="33" xfId="1" applyNumberFormat="1" applyFont="1" applyBorder="1" applyAlignment="1">
      <alignment horizontal="right" vertical="top"/>
    </xf>
    <xf numFmtId="171" fontId="13" fillId="6" borderId="24" xfId="1" applyNumberFormat="1" applyFont="1" applyFill="1" applyBorder="1" applyAlignment="1">
      <alignment horizontal="right" vertical="top"/>
    </xf>
    <xf numFmtId="167" fontId="13" fillId="0" borderId="31" xfId="1" quotePrefix="1" applyNumberFormat="1" applyFont="1" applyBorder="1" applyAlignment="1">
      <alignment horizontal="left" vertical="top"/>
    </xf>
    <xf numFmtId="174" fontId="13" fillId="0" borderId="13" xfId="1" applyNumberFormat="1" applyFont="1" applyBorder="1" applyAlignment="1">
      <alignment horizontal="right" vertical="top"/>
    </xf>
    <xf numFmtId="0" fontId="0" fillId="2" borderId="48" xfId="1" applyFont="1" applyFill="1" applyBorder="1"/>
    <xf numFmtId="0" fontId="10" fillId="2" borderId="42" xfId="1" applyFont="1" applyFill="1" applyBorder="1" applyAlignment="1">
      <alignment horizontal="left" vertical="top" wrapText="1"/>
    </xf>
    <xf numFmtId="168" fontId="10" fillId="2" borderId="37" xfId="1" applyNumberFormat="1" applyFont="1" applyFill="1" applyBorder="1" applyAlignment="1">
      <alignment horizontal="right" vertical="top"/>
    </xf>
    <xf numFmtId="10" fontId="10" fillId="2" borderId="37" xfId="1" applyNumberFormat="1" applyFont="1" applyFill="1" applyBorder="1" applyAlignment="1">
      <alignment horizontal="right" vertical="top"/>
    </xf>
    <xf numFmtId="4" fontId="10" fillId="2" borderId="37" xfId="1" applyNumberFormat="1" applyFont="1" applyFill="1" applyBorder="1" applyAlignment="1">
      <alignment horizontal="right" vertical="top"/>
    </xf>
    <xf numFmtId="4" fontId="10" fillId="2" borderId="49" xfId="1" applyNumberFormat="1" applyFont="1" applyFill="1" applyBorder="1" applyAlignment="1">
      <alignment horizontal="right" vertical="top"/>
    </xf>
    <xf numFmtId="172" fontId="13" fillId="6" borderId="39" xfId="1" applyNumberFormat="1" applyFont="1" applyFill="1" applyBorder="1" applyAlignment="1">
      <alignment horizontal="left" vertical="top"/>
    </xf>
    <xf numFmtId="0" fontId="0" fillId="6" borderId="38" xfId="1" applyFont="1" applyFill="1" applyBorder="1"/>
    <xf numFmtId="0" fontId="0" fillId="6" borderId="50" xfId="1" applyFont="1" applyFill="1" applyBorder="1"/>
    <xf numFmtId="0" fontId="13" fillId="6" borderId="50" xfId="1" applyFont="1" applyFill="1" applyBorder="1" applyAlignment="1">
      <alignment horizontal="left" vertical="top" wrapText="1"/>
    </xf>
    <xf numFmtId="171" fontId="13" fillId="6" borderId="39" xfId="1" applyNumberFormat="1" applyFont="1" applyFill="1" applyBorder="1" applyAlignment="1">
      <alignment horizontal="right" vertical="top"/>
    </xf>
    <xf numFmtId="4" fontId="13" fillId="6" borderId="39" xfId="1" applyNumberFormat="1" applyFont="1" applyFill="1" applyBorder="1" applyAlignment="1">
      <alignment horizontal="right" vertical="top"/>
    </xf>
    <xf numFmtId="10" fontId="13" fillId="6" borderId="39" xfId="1" applyNumberFormat="1" applyFont="1" applyFill="1" applyBorder="1" applyAlignment="1">
      <alignment horizontal="right" vertical="top"/>
    </xf>
    <xf numFmtId="4" fontId="13" fillId="6" borderId="36" xfId="1" applyNumberFormat="1" applyFont="1" applyFill="1" applyBorder="1" applyAlignment="1">
      <alignment horizontal="right" vertical="top"/>
    </xf>
    <xf numFmtId="0" fontId="0" fillId="0" borderId="39" xfId="1" applyFont="1" applyBorder="1"/>
    <xf numFmtId="169" fontId="13" fillId="0" borderId="43" xfId="1" applyNumberFormat="1" applyFont="1" applyBorder="1" applyAlignment="1">
      <alignment horizontal="left" vertical="top"/>
    </xf>
    <xf numFmtId="171" fontId="13" fillId="0" borderId="39" xfId="1" applyNumberFormat="1" applyFont="1" applyBorder="1" applyAlignment="1">
      <alignment horizontal="right" vertical="top"/>
    </xf>
    <xf numFmtId="4" fontId="11" fillId="0" borderId="38" xfId="1" applyNumberFormat="1" applyFont="1" applyBorder="1" applyAlignment="1">
      <alignment vertical="top"/>
    </xf>
    <xf numFmtId="0" fontId="9" fillId="2" borderId="43" xfId="1" applyFont="1" applyFill="1" applyBorder="1" applyAlignment="1">
      <alignment horizontal="center" vertical="top"/>
    </xf>
    <xf numFmtId="0" fontId="11" fillId="2" borderId="39" xfId="1" applyFont="1" applyFill="1" applyBorder="1"/>
    <xf numFmtId="169" fontId="13" fillId="2" borderId="38" xfId="1" applyNumberFormat="1" applyFont="1" applyFill="1" applyBorder="1" applyAlignment="1">
      <alignment horizontal="left" vertical="top"/>
    </xf>
    <xf numFmtId="0" fontId="14" fillId="2" borderId="39" xfId="1" applyFont="1" applyFill="1" applyBorder="1" applyAlignment="1">
      <alignment horizontal="left" vertical="top" wrapText="1"/>
    </xf>
    <xf numFmtId="4" fontId="9" fillId="2" borderId="5" xfId="1" applyNumberFormat="1" applyFont="1" applyFill="1" applyBorder="1" applyAlignment="1">
      <alignment vertical="top"/>
    </xf>
    <xf numFmtId="10" fontId="9" fillId="2" borderId="5" xfId="1" applyNumberFormat="1" applyFont="1" applyFill="1" applyBorder="1" applyAlignment="1">
      <alignment vertical="top"/>
    </xf>
    <xf numFmtId="4" fontId="9" fillId="2" borderId="38" xfId="1" applyNumberFormat="1" applyFont="1" applyFill="1" applyBorder="1" applyAlignment="1">
      <alignment vertical="top"/>
    </xf>
    <xf numFmtId="4" fontId="9" fillId="2" borderId="36" xfId="1" applyNumberFormat="1" applyFont="1" applyFill="1" applyBorder="1" applyAlignment="1">
      <alignment vertical="top"/>
    </xf>
    <xf numFmtId="10" fontId="14" fillId="2" borderId="7" xfId="1" applyNumberFormat="1" applyFont="1" applyFill="1" applyBorder="1" applyAlignment="1">
      <alignment horizontal="right" vertical="top"/>
    </xf>
    <xf numFmtId="49" fontId="9" fillId="2" borderId="26" xfId="1" applyNumberFormat="1" applyFont="1" applyFill="1" applyBorder="1" applyAlignment="1">
      <alignment vertical="top"/>
    </xf>
    <xf numFmtId="0" fontId="13" fillId="6" borderId="39" xfId="1" applyFont="1" applyFill="1" applyBorder="1" applyAlignment="1">
      <alignment horizontal="left" vertical="top" wrapText="1"/>
    </xf>
    <xf numFmtId="171" fontId="13" fillId="6" borderId="5" xfId="1" applyNumberFormat="1" applyFont="1" applyFill="1" applyBorder="1" applyAlignment="1">
      <alignment horizontal="right" vertical="top"/>
    </xf>
    <xf numFmtId="4" fontId="11" fillId="6" borderId="5" xfId="1" applyNumberFormat="1" applyFont="1" applyFill="1" applyBorder="1" applyAlignment="1">
      <alignment vertical="top"/>
    </xf>
    <xf numFmtId="10" fontId="11" fillId="6" borderId="5" xfId="1" applyNumberFormat="1" applyFont="1" applyFill="1" applyBorder="1" applyAlignment="1">
      <alignment vertical="top"/>
    </xf>
    <xf numFmtId="4" fontId="11" fillId="6" borderId="38" xfId="1" applyNumberFormat="1" applyFont="1" applyFill="1" applyBorder="1" applyAlignment="1">
      <alignment vertical="top"/>
    </xf>
    <xf numFmtId="4" fontId="11" fillId="6" borderId="36" xfId="1" applyNumberFormat="1" applyFont="1" applyFill="1" applyBorder="1" applyAlignment="1">
      <alignment vertical="top"/>
    </xf>
    <xf numFmtId="49" fontId="11" fillId="6" borderId="26" xfId="1" applyNumberFormat="1" applyFont="1" applyFill="1" applyBorder="1" applyAlignment="1">
      <alignment vertical="top"/>
    </xf>
    <xf numFmtId="0" fontId="13" fillId="0" borderId="20" xfId="1" applyFont="1" applyBorder="1" applyAlignment="1">
      <alignment horizontal="left" vertical="top" wrapText="1"/>
    </xf>
    <xf numFmtId="0" fontId="0" fillId="2" borderId="2" xfId="1" applyFont="1" applyFill="1" applyBorder="1"/>
    <xf numFmtId="0" fontId="0" fillId="2" borderId="23" xfId="1" applyFont="1" applyFill="1" applyBorder="1"/>
    <xf numFmtId="175" fontId="10" fillId="2" borderId="2" xfId="1" applyNumberFormat="1" applyFont="1" applyFill="1" applyBorder="1" applyAlignment="1">
      <alignment horizontal="right" vertical="top"/>
    </xf>
    <xf numFmtId="4" fontId="10" fillId="2" borderId="2" xfId="1" applyNumberFormat="1" applyFont="1" applyFill="1" applyBorder="1" applyAlignment="1">
      <alignment horizontal="right" vertical="top"/>
    </xf>
    <xf numFmtId="10" fontId="10" fillId="2" borderId="2" xfId="1" applyNumberFormat="1" applyFont="1" applyFill="1" applyBorder="1" applyAlignment="1">
      <alignment horizontal="right" vertical="top"/>
    </xf>
    <xf numFmtId="4" fontId="10" fillId="2" borderId="6" xfId="1" applyNumberFormat="1" applyFont="1" applyFill="1" applyBorder="1" applyAlignment="1">
      <alignment horizontal="right" vertical="top"/>
    </xf>
    <xf numFmtId="0" fontId="0" fillId="6" borderId="24" xfId="1" applyFont="1" applyFill="1" applyBorder="1"/>
    <xf numFmtId="168" fontId="13" fillId="6" borderId="24" xfId="1" applyNumberFormat="1" applyFont="1" applyFill="1" applyBorder="1" applyAlignment="1">
      <alignment horizontal="right" vertical="top"/>
    </xf>
    <xf numFmtId="0" fontId="0" fillId="0" borderId="32" xfId="1" applyFont="1" applyBorder="1"/>
    <xf numFmtId="172" fontId="13" fillId="6" borderId="4" xfId="1" applyNumberFormat="1" applyFont="1" applyFill="1" applyBorder="1" applyAlignment="1">
      <alignment horizontal="left" vertical="top"/>
    </xf>
    <xf numFmtId="0" fontId="0" fillId="6" borderId="20" xfId="1" applyFont="1" applyFill="1" applyBorder="1"/>
    <xf numFmtId="0" fontId="0" fillId="6" borderId="32" xfId="1" applyFont="1" applyFill="1" applyBorder="1"/>
    <xf numFmtId="0" fontId="13" fillId="6" borderId="18" xfId="1" applyFont="1" applyFill="1" applyBorder="1" applyAlignment="1">
      <alignment horizontal="left" vertical="top" wrapText="1"/>
    </xf>
    <xf numFmtId="173" fontId="13" fillId="6" borderId="20" xfId="1" applyNumberFormat="1" applyFont="1" applyFill="1" applyBorder="1" applyAlignment="1">
      <alignment horizontal="right" vertical="top"/>
    </xf>
    <xf numFmtId="10" fontId="13" fillId="6" borderId="20" xfId="1" applyNumberFormat="1" applyFont="1" applyFill="1" applyBorder="1" applyAlignment="1">
      <alignment horizontal="right" vertical="top"/>
    </xf>
    <xf numFmtId="4" fontId="13" fillId="6" borderId="20" xfId="1" applyNumberFormat="1" applyFont="1" applyFill="1" applyBorder="1" applyAlignment="1">
      <alignment horizontal="right" vertical="top"/>
    </xf>
    <xf numFmtId="4" fontId="13" fillId="6" borderId="21" xfId="1" applyNumberFormat="1" applyFont="1" applyFill="1" applyBorder="1" applyAlignment="1">
      <alignment horizontal="right" vertical="top"/>
    </xf>
    <xf numFmtId="4" fontId="11" fillId="0" borderId="7" xfId="1" applyNumberFormat="1" applyFont="1" applyBorder="1" applyAlignment="1">
      <alignment vertical="top"/>
    </xf>
    <xf numFmtId="165" fontId="13" fillId="0" borderId="2" xfId="1" applyNumberFormat="1" applyFont="1" applyBorder="1" applyAlignment="1">
      <alignment horizontal="right" vertical="top"/>
    </xf>
    <xf numFmtId="4" fontId="11" fillId="0" borderId="26" xfId="1" applyNumberFormat="1" applyFont="1" applyBorder="1" applyAlignment="1">
      <alignment vertical="top"/>
    </xf>
    <xf numFmtId="167" fontId="13" fillId="0" borderId="52" xfId="1" applyNumberFormat="1" applyFont="1" applyBorder="1" applyAlignment="1">
      <alignment horizontal="left" vertical="top"/>
    </xf>
    <xf numFmtId="0" fontId="13" fillId="0" borderId="30" xfId="1" applyFont="1" applyBorder="1" applyAlignment="1">
      <alignment horizontal="left" vertical="top" wrapText="1"/>
    </xf>
    <xf numFmtId="165" fontId="13" fillId="0" borderId="24" xfId="1" applyNumberFormat="1" applyFont="1" applyBorder="1" applyAlignment="1">
      <alignment horizontal="right" vertical="top"/>
    </xf>
    <xf numFmtId="165" fontId="13" fillId="0" borderId="13" xfId="1" applyNumberFormat="1" applyFont="1" applyBorder="1" applyAlignment="1">
      <alignment horizontal="right" vertical="top"/>
    </xf>
    <xf numFmtId="4" fontId="11" fillId="0" borderId="7" xfId="1" applyNumberFormat="1" applyFont="1" applyBorder="1" applyAlignment="1">
      <alignment horizontal="right" vertical="top"/>
    </xf>
    <xf numFmtId="0" fontId="0" fillId="0" borderId="37" xfId="1" applyFont="1" applyBorder="1"/>
    <xf numFmtId="165" fontId="13" fillId="0" borderId="39" xfId="1" applyNumberFormat="1" applyFont="1" applyBorder="1" applyAlignment="1">
      <alignment horizontal="right" vertical="top"/>
    </xf>
    <xf numFmtId="0" fontId="0" fillId="6" borderId="0" xfId="1" applyFont="1" applyFill="1" applyBorder="1"/>
    <xf numFmtId="0" fontId="13" fillId="6" borderId="10" xfId="1" applyFont="1" applyFill="1" applyBorder="1" applyAlignment="1">
      <alignment horizontal="left" vertical="top" wrapText="1"/>
    </xf>
    <xf numFmtId="173" fontId="13" fillId="6" borderId="9" xfId="1" applyNumberFormat="1" applyFont="1" applyFill="1" applyBorder="1" applyAlignment="1">
      <alignment horizontal="right" vertical="top"/>
    </xf>
    <xf numFmtId="10" fontId="13" fillId="6" borderId="9" xfId="1" applyNumberFormat="1" applyFont="1" applyFill="1" applyBorder="1" applyAlignment="1">
      <alignment horizontal="right" vertical="top"/>
    </xf>
    <xf numFmtId="4" fontId="13" fillId="6" borderId="9" xfId="1" applyNumberFormat="1" applyFont="1" applyFill="1" applyBorder="1" applyAlignment="1">
      <alignment horizontal="right" vertical="top"/>
    </xf>
    <xf numFmtId="4" fontId="13" fillId="6" borderId="11" xfId="1" applyNumberFormat="1" applyFont="1" applyFill="1" applyBorder="1" applyAlignment="1">
      <alignment horizontal="right" vertical="top"/>
    </xf>
    <xf numFmtId="0" fontId="13" fillId="0" borderId="13" xfId="1" applyFont="1" applyBorder="1" applyAlignment="1">
      <alignment horizontal="left" vertical="top" wrapText="1"/>
    </xf>
    <xf numFmtId="0" fontId="13" fillId="0" borderId="37" xfId="1" applyFont="1" applyBorder="1" applyAlignment="1">
      <alignment horizontal="left" vertical="top" wrapText="1"/>
    </xf>
    <xf numFmtId="0" fontId="13" fillId="0" borderId="24" xfId="1" applyFont="1" applyBorder="1" applyAlignment="1">
      <alignment horizontal="left" vertical="top" wrapText="1"/>
    </xf>
    <xf numFmtId="4" fontId="11" fillId="0" borderId="22" xfId="1" applyNumberFormat="1" applyFont="1" applyBorder="1" applyAlignment="1">
      <alignment vertical="top"/>
    </xf>
    <xf numFmtId="0" fontId="13" fillId="0" borderId="1" xfId="1" applyFont="1" applyBorder="1" applyAlignment="1">
      <alignment horizontal="left" vertical="top" wrapText="1"/>
    </xf>
    <xf numFmtId="0" fontId="0" fillId="0" borderId="48" xfId="1" applyFont="1" applyBorder="1"/>
    <xf numFmtId="165" fontId="13" fillId="6" borderId="9" xfId="1" applyNumberFormat="1" applyFont="1" applyFill="1" applyBorder="1" applyAlignment="1">
      <alignment horizontal="right" vertical="top"/>
    </xf>
    <xf numFmtId="10" fontId="12" fillId="6" borderId="53" xfId="1" applyNumberFormat="1" applyFont="1" applyFill="1" applyBorder="1" applyAlignment="1">
      <alignment horizontal="right" vertical="top"/>
    </xf>
    <xf numFmtId="0" fontId="13" fillId="0" borderId="2" xfId="1" applyFont="1" applyBorder="1" applyAlignment="1">
      <alignment horizontal="left" vertical="top" wrapText="1"/>
    </xf>
    <xf numFmtId="167" fontId="13" fillId="0" borderId="33" xfId="1" applyNumberFormat="1" applyFont="1" applyBorder="1" applyAlignment="1">
      <alignment horizontal="left" vertical="top"/>
    </xf>
    <xf numFmtId="0" fontId="13" fillId="0" borderId="35" xfId="1" applyFont="1" applyBorder="1" applyAlignment="1">
      <alignment horizontal="left" vertical="top" wrapText="1"/>
    </xf>
    <xf numFmtId="4" fontId="11" fillId="0" borderId="30" xfId="1" applyNumberFormat="1" applyFont="1" applyBorder="1" applyAlignment="1">
      <alignment vertical="top"/>
    </xf>
    <xf numFmtId="10" fontId="11" fillId="0" borderId="30" xfId="1" applyNumberFormat="1" applyFont="1" applyBorder="1" applyAlignment="1">
      <alignment vertical="top"/>
    </xf>
    <xf numFmtId="4" fontId="11" fillId="0" borderId="24" xfId="1" applyNumberFormat="1" applyFont="1" applyBorder="1" applyAlignment="1">
      <alignment vertical="top"/>
    </xf>
    <xf numFmtId="4" fontId="11" fillId="0" borderId="25" xfId="1" applyNumberFormat="1" applyFont="1" applyBorder="1" applyAlignment="1">
      <alignment vertical="top"/>
    </xf>
    <xf numFmtId="4" fontId="11" fillId="0" borderId="42" xfId="1" applyNumberFormat="1" applyFont="1" applyBorder="1" applyAlignment="1">
      <alignment vertical="top"/>
    </xf>
    <xf numFmtId="10" fontId="11" fillId="0" borderId="42" xfId="1" applyNumberFormat="1" applyFont="1" applyBorder="1" applyAlignment="1">
      <alignment vertical="top"/>
    </xf>
    <xf numFmtId="4" fontId="11" fillId="0" borderId="37" xfId="1" applyNumberFormat="1" applyFont="1" applyBorder="1" applyAlignment="1">
      <alignment vertical="top"/>
    </xf>
    <xf numFmtId="4" fontId="11" fillId="0" borderId="49" xfId="1" applyNumberFormat="1" applyFont="1" applyBorder="1" applyAlignment="1">
      <alignment vertical="top"/>
    </xf>
    <xf numFmtId="173" fontId="13" fillId="0" borderId="13" xfId="1" applyNumberFormat="1" applyFont="1" applyBorder="1" applyAlignment="1">
      <alignment horizontal="right" vertical="top"/>
    </xf>
    <xf numFmtId="3" fontId="11" fillId="0" borderId="7" xfId="1" applyNumberFormat="1" applyFont="1" applyBorder="1" applyAlignment="1">
      <alignment vertical="top"/>
    </xf>
    <xf numFmtId="170" fontId="10" fillId="2" borderId="54" xfId="1" applyNumberFormat="1" applyFont="1" applyFill="1" applyBorder="1" applyAlignment="1">
      <alignment horizontal="left" vertical="top"/>
    </xf>
    <xf numFmtId="0" fontId="0" fillId="2" borderId="13" xfId="1" applyFont="1" applyFill="1" applyBorder="1"/>
    <xf numFmtId="0" fontId="0" fillId="2" borderId="14" xfId="1" applyFont="1" applyFill="1" applyBorder="1"/>
    <xf numFmtId="0" fontId="10" fillId="2" borderId="15" xfId="1" applyFont="1" applyFill="1" applyBorder="1" applyAlignment="1">
      <alignment horizontal="left" vertical="top" wrapText="1"/>
    </xf>
    <xf numFmtId="175" fontId="10" fillId="2" borderId="13" xfId="1" applyNumberFormat="1" applyFont="1" applyFill="1" applyBorder="1" applyAlignment="1">
      <alignment horizontal="right" vertical="top"/>
    </xf>
    <xf numFmtId="10" fontId="10" fillId="2" borderId="13" xfId="1" applyNumberFormat="1" applyFont="1" applyFill="1" applyBorder="1" applyAlignment="1">
      <alignment horizontal="right" vertical="top"/>
    </xf>
    <xf numFmtId="4" fontId="10" fillId="2" borderId="13" xfId="1" applyNumberFormat="1" applyFont="1" applyFill="1" applyBorder="1" applyAlignment="1">
      <alignment horizontal="right" vertical="top"/>
    </xf>
    <xf numFmtId="4" fontId="10" fillId="2" borderId="16" xfId="1" applyNumberFormat="1" applyFont="1" applyFill="1" applyBorder="1" applyAlignment="1">
      <alignment horizontal="right" vertical="top"/>
    </xf>
    <xf numFmtId="172" fontId="13" fillId="6" borderId="2" xfId="1" applyNumberFormat="1" applyFont="1" applyFill="1" applyBorder="1" applyAlignment="1">
      <alignment horizontal="left" vertical="top"/>
    </xf>
    <xf numFmtId="175" fontId="13" fillId="6" borderId="20" xfId="1" applyNumberFormat="1" applyFont="1" applyFill="1" applyBorder="1" applyAlignment="1">
      <alignment horizontal="right" vertical="top"/>
    </xf>
    <xf numFmtId="169" fontId="13" fillId="0" borderId="31" xfId="1" applyNumberFormat="1" applyFont="1" applyBorder="1" applyAlignment="1">
      <alignment horizontal="left" vertical="top"/>
    </xf>
    <xf numFmtId="175" fontId="13" fillId="0" borderId="13" xfId="1" applyNumberFormat="1" applyFont="1" applyBorder="1" applyAlignment="1">
      <alignment horizontal="right" vertical="top"/>
    </xf>
    <xf numFmtId="173" fontId="13" fillId="6" borderId="13" xfId="1" applyNumberFormat="1" applyFont="1" applyFill="1" applyBorder="1" applyAlignment="1">
      <alignment horizontal="right" vertical="top"/>
    </xf>
    <xf numFmtId="0" fontId="0" fillId="6" borderId="2" xfId="1" applyFont="1" applyFill="1" applyBorder="1"/>
    <xf numFmtId="0" fontId="0" fillId="6" borderId="23" xfId="1" applyFont="1" applyFill="1" applyBorder="1"/>
    <xf numFmtId="0" fontId="13" fillId="6" borderId="4" xfId="1" applyFont="1" applyFill="1" applyBorder="1" applyAlignment="1">
      <alignment horizontal="left" vertical="top" wrapText="1"/>
    </xf>
    <xf numFmtId="173" fontId="13" fillId="6" borderId="2" xfId="1" applyNumberFormat="1" applyFont="1" applyFill="1" applyBorder="1" applyAlignment="1">
      <alignment horizontal="right" vertical="top"/>
    </xf>
    <xf numFmtId="10" fontId="13" fillId="6" borderId="2" xfId="1" applyNumberFormat="1" applyFont="1" applyFill="1" applyBorder="1" applyAlignment="1">
      <alignment horizontal="right" vertical="top"/>
    </xf>
    <xf numFmtId="4" fontId="13" fillId="6" borderId="2" xfId="1" applyNumberFormat="1" applyFont="1" applyFill="1" applyBorder="1" applyAlignment="1">
      <alignment horizontal="right" vertical="top"/>
    </xf>
    <xf numFmtId="4" fontId="13" fillId="6" borderId="6" xfId="1" applyNumberFormat="1" applyFont="1" applyFill="1" applyBorder="1" applyAlignment="1">
      <alignment horizontal="right" vertical="top"/>
    </xf>
    <xf numFmtId="3" fontId="11" fillId="0" borderId="26" xfId="1" applyNumberFormat="1" applyFont="1" applyBorder="1" applyAlignment="1">
      <alignment vertical="top"/>
    </xf>
    <xf numFmtId="0" fontId="0" fillId="0" borderId="24" xfId="1" applyFont="1" applyBorder="1"/>
    <xf numFmtId="167" fontId="13" fillId="0" borderId="43" xfId="1" applyNumberFormat="1" applyFont="1" applyBorder="1" applyAlignment="1">
      <alignment horizontal="left" vertical="top"/>
    </xf>
    <xf numFmtId="167" fontId="13" fillId="0" borderId="3" xfId="1" quotePrefix="1" applyNumberFormat="1" applyFont="1" applyBorder="1" applyAlignment="1">
      <alignment horizontal="left" vertical="top"/>
    </xf>
    <xf numFmtId="173" fontId="13" fillId="0" borderId="39" xfId="1" applyNumberFormat="1" applyFont="1" applyBorder="1" applyAlignment="1">
      <alignment horizontal="right" vertical="top"/>
    </xf>
    <xf numFmtId="169" fontId="13" fillId="0" borderId="3" xfId="1" applyNumberFormat="1" applyFont="1" applyBorder="1" applyAlignment="1">
      <alignment horizontal="left" vertical="top"/>
    </xf>
    <xf numFmtId="165" fontId="13" fillId="6" borderId="24" xfId="1" applyNumberFormat="1" applyFont="1" applyFill="1" applyBorder="1" applyAlignment="1">
      <alignment horizontal="right" vertical="top"/>
    </xf>
    <xf numFmtId="165" fontId="10" fillId="2" borderId="20" xfId="1" applyNumberFormat="1" applyFont="1" applyFill="1" applyBorder="1" applyAlignment="1">
      <alignment horizontal="right" vertical="top"/>
    </xf>
    <xf numFmtId="172" fontId="13" fillId="6" borderId="37" xfId="1" applyNumberFormat="1" applyFont="1" applyFill="1" applyBorder="1" applyAlignment="1">
      <alignment horizontal="left" vertical="top"/>
    </xf>
    <xf numFmtId="0" fontId="0" fillId="6" borderId="37" xfId="1" applyFont="1" applyFill="1" applyBorder="1"/>
    <xf numFmtId="0" fontId="0" fillId="6" borderId="48" xfId="1" applyFont="1" applyFill="1" applyBorder="1"/>
    <xf numFmtId="0" fontId="13" fillId="6" borderId="42" xfId="1" applyFont="1" applyFill="1" applyBorder="1" applyAlignment="1">
      <alignment horizontal="left" vertical="top" wrapText="1"/>
    </xf>
    <xf numFmtId="168" fontId="13" fillId="6" borderId="37" xfId="1" applyNumberFormat="1" applyFont="1" applyFill="1" applyBorder="1" applyAlignment="1">
      <alignment horizontal="right" vertical="top"/>
    </xf>
    <xf numFmtId="10" fontId="13" fillId="6" borderId="37" xfId="1" applyNumberFormat="1" applyFont="1" applyFill="1" applyBorder="1" applyAlignment="1">
      <alignment horizontal="right" vertical="top"/>
    </xf>
    <xf numFmtId="168" fontId="13" fillId="6" borderId="49" xfId="1" applyNumberFormat="1" applyFont="1" applyFill="1" applyBorder="1" applyAlignment="1">
      <alignment horizontal="right" vertical="top"/>
    </xf>
    <xf numFmtId="10" fontId="13" fillId="6" borderId="55" xfId="1" applyNumberFormat="1" applyFont="1" applyFill="1" applyBorder="1" applyAlignment="1">
      <alignment horizontal="right" vertical="top"/>
    </xf>
    <xf numFmtId="172" fontId="13" fillId="3" borderId="19" xfId="1" applyNumberFormat="1" applyFont="1" applyFill="1" applyBorder="1" applyAlignment="1">
      <alignment horizontal="left" vertical="top"/>
    </xf>
    <xf numFmtId="0" fontId="0" fillId="3" borderId="5" xfId="1" applyFont="1" applyFill="1" applyBorder="1"/>
    <xf numFmtId="173" fontId="13" fillId="3" borderId="5" xfId="1" applyNumberFormat="1" applyFont="1" applyFill="1" applyBorder="1" applyAlignment="1">
      <alignment horizontal="right" vertical="top"/>
    </xf>
    <xf numFmtId="4" fontId="13" fillId="3" borderId="5" xfId="1" applyNumberFormat="1" applyFont="1" applyFill="1" applyBorder="1" applyAlignment="1">
      <alignment horizontal="right" vertical="top"/>
    </xf>
    <xf numFmtId="10" fontId="13" fillId="3" borderId="5" xfId="1" applyNumberFormat="1" applyFont="1" applyFill="1" applyBorder="1" applyAlignment="1">
      <alignment horizontal="right" vertical="top"/>
    </xf>
    <xf numFmtId="4" fontId="13" fillId="3" borderId="23" xfId="1" applyNumberFormat="1" applyFont="1" applyFill="1" applyBorder="1" applyAlignment="1">
      <alignment horizontal="right" vertical="top"/>
    </xf>
    <xf numFmtId="4" fontId="13" fillId="3" borderId="6" xfId="1" applyNumberFormat="1" applyFont="1" applyFill="1" applyBorder="1" applyAlignment="1">
      <alignment horizontal="right" vertical="top"/>
    </xf>
    <xf numFmtId="10" fontId="12" fillId="3" borderId="26" xfId="1" applyNumberFormat="1" applyFont="1" applyFill="1" applyBorder="1" applyAlignment="1">
      <alignment horizontal="right" vertical="top"/>
    </xf>
    <xf numFmtId="168" fontId="13" fillId="0" borderId="9" xfId="1" applyNumberFormat="1" applyFont="1" applyBorder="1" applyAlignment="1">
      <alignment horizontal="right" vertical="top"/>
    </xf>
    <xf numFmtId="4" fontId="11" fillId="0" borderId="56" xfId="1" applyNumberFormat="1" applyFont="1" applyBorder="1" applyAlignment="1">
      <alignment vertical="top"/>
    </xf>
    <xf numFmtId="10" fontId="11" fillId="0" borderId="56" xfId="1" applyNumberFormat="1" applyFont="1" applyBorder="1" applyAlignment="1">
      <alignment vertical="top"/>
    </xf>
    <xf numFmtId="4" fontId="11" fillId="0" borderId="17" xfId="1" applyNumberFormat="1" applyFont="1" applyBorder="1" applyAlignment="1">
      <alignment vertical="top"/>
    </xf>
    <xf numFmtId="10" fontId="12" fillId="0" borderId="53" xfId="1" applyNumberFormat="1" applyFont="1" applyFill="1" applyBorder="1" applyAlignment="1">
      <alignment horizontal="right" vertical="top"/>
    </xf>
    <xf numFmtId="0" fontId="0" fillId="0" borderId="56" xfId="1" applyFont="1" applyBorder="1"/>
    <xf numFmtId="0" fontId="0" fillId="0" borderId="5" xfId="1" applyFont="1" applyBorder="1"/>
    <xf numFmtId="167" fontId="13" fillId="0" borderId="5" xfId="1" quotePrefix="1" applyNumberFormat="1" applyFont="1" applyBorder="1" applyAlignment="1">
      <alignment horizontal="left" vertical="top"/>
    </xf>
    <xf numFmtId="168" fontId="13" fillId="0" borderId="38" xfId="1" applyNumberFormat="1" applyFont="1" applyBorder="1" applyAlignment="1">
      <alignment horizontal="right" vertical="top"/>
    </xf>
    <xf numFmtId="0" fontId="11" fillId="7" borderId="1" xfId="1" applyFont="1" applyFill="1" applyBorder="1" applyAlignment="1">
      <alignment horizontal="left"/>
    </xf>
    <xf numFmtId="0" fontId="0" fillId="7" borderId="23" xfId="1" applyFont="1" applyFill="1" applyBorder="1"/>
    <xf numFmtId="167" fontId="13" fillId="7" borderId="1" xfId="1" quotePrefix="1" applyNumberFormat="1" applyFont="1" applyFill="1" applyBorder="1" applyAlignment="1">
      <alignment horizontal="left" vertical="top"/>
    </xf>
    <xf numFmtId="0" fontId="13" fillId="7" borderId="1" xfId="1" applyFont="1" applyFill="1" applyBorder="1" applyAlignment="1">
      <alignment horizontal="left" vertical="top" wrapText="1"/>
    </xf>
    <xf numFmtId="168" fontId="13" fillId="7" borderId="5" xfId="1" applyNumberFormat="1" applyFont="1" applyFill="1" applyBorder="1" applyAlignment="1">
      <alignment horizontal="right" vertical="top"/>
    </xf>
    <xf numFmtId="10" fontId="11" fillId="7" borderId="1" xfId="1" applyNumberFormat="1" applyFont="1" applyFill="1" applyBorder="1" applyAlignment="1">
      <alignment vertical="top"/>
    </xf>
    <xf numFmtId="4" fontId="11" fillId="7" borderId="1" xfId="1" applyNumberFormat="1" applyFont="1" applyFill="1" applyBorder="1" applyAlignment="1">
      <alignment vertical="top"/>
    </xf>
    <xf numFmtId="4" fontId="11" fillId="7" borderId="6" xfId="1" applyNumberFormat="1" applyFont="1" applyFill="1" applyBorder="1" applyAlignment="1">
      <alignment vertical="top"/>
    </xf>
    <xf numFmtId="10" fontId="12" fillId="7" borderId="7" xfId="1" applyNumberFormat="1" applyFont="1" applyFill="1" applyBorder="1" applyAlignment="1">
      <alignment horizontal="right" vertical="top"/>
    </xf>
    <xf numFmtId="0" fontId="0" fillId="0" borderId="35" xfId="1" applyFont="1" applyBorder="1"/>
    <xf numFmtId="0" fontId="0" fillId="0" borderId="23" xfId="1" applyFont="1" applyBorder="1"/>
    <xf numFmtId="10" fontId="11" fillId="0" borderId="1" xfId="1" applyNumberFormat="1" applyFont="1" applyBorder="1" applyAlignment="1">
      <alignment vertical="top"/>
    </xf>
    <xf numFmtId="165" fontId="13" fillId="6" borderId="2" xfId="1" applyNumberFormat="1" applyFont="1" applyFill="1" applyBorder="1" applyAlignment="1">
      <alignment horizontal="right" vertical="top"/>
    </xf>
    <xf numFmtId="171" fontId="13" fillId="0" borderId="2" xfId="1" applyNumberFormat="1" applyFont="1" applyBorder="1" applyAlignment="1">
      <alignment horizontal="right" vertical="top"/>
    </xf>
    <xf numFmtId="165" fontId="13" fillId="0" borderId="9" xfId="1" applyNumberFormat="1" applyFont="1" applyBorder="1" applyAlignment="1">
      <alignment horizontal="right" vertical="top"/>
    </xf>
    <xf numFmtId="0" fontId="13" fillId="6" borderId="44" xfId="1" applyFont="1" applyFill="1" applyBorder="1" applyAlignment="1">
      <alignment horizontal="left" vertical="top" wrapText="1"/>
    </xf>
    <xf numFmtId="168" fontId="13" fillId="6" borderId="39" xfId="1" applyNumberFormat="1" applyFont="1" applyFill="1" applyBorder="1" applyAlignment="1">
      <alignment horizontal="right" vertical="top"/>
    </xf>
    <xf numFmtId="172" fontId="13" fillId="3" borderId="9" xfId="1" applyNumberFormat="1" applyFont="1" applyFill="1" applyBorder="1" applyAlignment="1">
      <alignment horizontal="left" vertical="top"/>
    </xf>
    <xf numFmtId="0" fontId="0" fillId="3" borderId="20" xfId="1" applyFont="1" applyFill="1" applyBorder="1"/>
    <xf numFmtId="0" fontId="11" fillId="3" borderId="5" xfId="1" quotePrefix="1" applyFont="1" applyFill="1" applyBorder="1"/>
    <xf numFmtId="168" fontId="13" fillId="3" borderId="5" xfId="1" applyNumberFormat="1" applyFont="1" applyFill="1" applyBorder="1" applyAlignment="1">
      <alignment horizontal="right" vertical="top"/>
    </xf>
    <xf numFmtId="4" fontId="13" fillId="3" borderId="38" xfId="1" applyNumberFormat="1" applyFont="1" applyFill="1" applyBorder="1" applyAlignment="1">
      <alignment horizontal="right" vertical="top"/>
    </xf>
    <xf numFmtId="4" fontId="13" fillId="3" borderId="36" xfId="1" applyNumberFormat="1" applyFont="1" applyFill="1" applyBorder="1" applyAlignment="1">
      <alignment horizontal="right" vertical="top"/>
    </xf>
    <xf numFmtId="10" fontId="12" fillId="3" borderId="7" xfId="1" applyNumberFormat="1" applyFont="1" applyFill="1" applyBorder="1" applyAlignment="1">
      <alignment horizontal="right" vertical="top"/>
    </xf>
    <xf numFmtId="167" fontId="13" fillId="0" borderId="19" xfId="1" applyNumberFormat="1" applyFont="1" applyBorder="1" applyAlignment="1">
      <alignment horizontal="left" vertical="top"/>
    </xf>
    <xf numFmtId="168" fontId="13" fillId="0" borderId="19" xfId="1" applyNumberFormat="1" applyFont="1" applyBorder="1" applyAlignment="1">
      <alignment horizontal="right" vertical="top"/>
    </xf>
    <xf numFmtId="49" fontId="11" fillId="0" borderId="53" xfId="1" applyNumberFormat="1" applyFont="1" applyBorder="1" applyAlignment="1">
      <alignment vertical="top"/>
    </xf>
    <xf numFmtId="170" fontId="10" fillId="2" borderId="1" xfId="1" applyNumberFormat="1" applyFont="1" applyFill="1" applyBorder="1" applyAlignment="1">
      <alignment horizontal="left" vertical="top"/>
    </xf>
    <xf numFmtId="173" fontId="10" fillId="2" borderId="2" xfId="1" applyNumberFormat="1" applyFont="1" applyFill="1" applyBorder="1" applyAlignment="1">
      <alignment horizontal="right" vertical="top"/>
    </xf>
    <xf numFmtId="173" fontId="10" fillId="2" borderId="6" xfId="1" applyNumberFormat="1" applyFont="1" applyFill="1" applyBorder="1" applyAlignment="1">
      <alignment horizontal="right" vertical="top"/>
    </xf>
    <xf numFmtId="0" fontId="11" fillId="4" borderId="57" xfId="1" applyFont="1" applyFill="1" applyBorder="1" applyAlignment="1">
      <alignment horizontal="left"/>
    </xf>
    <xf numFmtId="0" fontId="0" fillId="4" borderId="23" xfId="1" applyFont="1" applyFill="1" applyBorder="1"/>
    <xf numFmtId="0" fontId="12" fillId="4" borderId="4" xfId="1" applyFont="1" applyFill="1" applyBorder="1" applyAlignment="1">
      <alignment horizontal="left" vertical="top" wrapText="1"/>
    </xf>
    <xf numFmtId="173" fontId="12" fillId="4" borderId="2" xfId="1" applyNumberFormat="1" applyFont="1" applyFill="1" applyBorder="1" applyAlignment="1">
      <alignment horizontal="right" vertical="top"/>
    </xf>
    <xf numFmtId="4" fontId="12" fillId="4" borderId="2" xfId="1" applyNumberFormat="1" applyFont="1" applyFill="1" applyBorder="1" applyAlignment="1">
      <alignment horizontal="right" vertical="top"/>
    </xf>
    <xf numFmtId="10" fontId="12" fillId="4" borderId="2" xfId="1" applyNumberFormat="1" applyFont="1" applyFill="1" applyBorder="1" applyAlignment="1">
      <alignment horizontal="right" vertical="top"/>
    </xf>
    <xf numFmtId="4" fontId="12" fillId="4" borderId="6" xfId="1" applyNumberFormat="1" applyFont="1" applyFill="1" applyBorder="1" applyAlignment="1">
      <alignment horizontal="right" vertical="top"/>
    </xf>
    <xf numFmtId="10" fontId="12" fillId="4" borderId="7" xfId="1" applyNumberFormat="1" applyFont="1" applyFill="1" applyBorder="1" applyAlignment="1">
      <alignment horizontal="right" vertical="top"/>
    </xf>
    <xf numFmtId="0" fontId="11" fillId="3" borderId="58" xfId="1" applyFont="1" applyFill="1" applyBorder="1" applyAlignment="1">
      <alignment horizontal="left"/>
    </xf>
    <xf numFmtId="0" fontId="0" fillId="3" borderId="0" xfId="1" applyFont="1" applyFill="1" applyBorder="1"/>
    <xf numFmtId="0" fontId="11" fillId="3" borderId="0" xfId="1" applyFont="1" applyFill="1" applyBorder="1" applyAlignment="1">
      <alignment horizontal="left" vertical="top"/>
    </xf>
    <xf numFmtId="173" fontId="12" fillId="3" borderId="9" xfId="1" applyNumberFormat="1" applyFont="1" applyFill="1" applyBorder="1" applyAlignment="1">
      <alignment horizontal="right" vertical="top"/>
    </xf>
    <xf numFmtId="4" fontId="12" fillId="3" borderId="9" xfId="1" applyNumberFormat="1" applyFont="1" applyFill="1" applyBorder="1" applyAlignment="1">
      <alignment horizontal="right" vertical="top"/>
    </xf>
    <xf numFmtId="10" fontId="12" fillId="3" borderId="9" xfId="1" applyNumberFormat="1" applyFont="1" applyFill="1" applyBorder="1" applyAlignment="1">
      <alignment horizontal="right" vertical="top"/>
    </xf>
    <xf numFmtId="4" fontId="12" fillId="3" borderId="11" xfId="1" applyNumberFormat="1" applyFont="1" applyFill="1" applyBorder="1" applyAlignment="1">
      <alignment horizontal="right" vertical="top"/>
    </xf>
    <xf numFmtId="10" fontId="12" fillId="6" borderId="22" xfId="1" applyNumberFormat="1" applyFont="1" applyFill="1" applyBorder="1" applyAlignment="1">
      <alignment horizontal="right" vertical="top"/>
    </xf>
    <xf numFmtId="173" fontId="13" fillId="0" borderId="57" xfId="1" applyNumberFormat="1" applyFont="1" applyBorder="1" applyAlignment="1">
      <alignment horizontal="right" vertical="top"/>
    </xf>
    <xf numFmtId="49" fontId="11" fillId="0" borderId="26" xfId="1" applyNumberFormat="1" applyFont="1" applyBorder="1" applyAlignment="1">
      <alignment vertical="top" wrapText="1"/>
    </xf>
    <xf numFmtId="168" fontId="13" fillId="6" borderId="2" xfId="1" applyNumberFormat="1" applyFont="1" applyFill="1" applyBorder="1" applyAlignment="1">
      <alignment horizontal="right" vertical="top"/>
    </xf>
    <xf numFmtId="169" fontId="13" fillId="0" borderId="45" xfId="1" applyNumberFormat="1" applyFont="1" applyBorder="1" applyAlignment="1">
      <alignment horizontal="left" vertical="top"/>
    </xf>
    <xf numFmtId="169" fontId="13" fillId="0" borderId="35" xfId="1" applyNumberFormat="1" applyFont="1" applyBorder="1" applyAlignment="1">
      <alignment horizontal="left" vertical="top"/>
    </xf>
    <xf numFmtId="168" fontId="13" fillId="0" borderId="33" xfId="1" applyNumberFormat="1" applyFont="1" applyBorder="1" applyAlignment="1">
      <alignment horizontal="right" vertical="top"/>
    </xf>
    <xf numFmtId="165" fontId="13" fillId="6" borderId="39" xfId="1" applyNumberFormat="1" applyFont="1" applyFill="1" applyBorder="1" applyAlignment="1">
      <alignment horizontal="right" vertical="top"/>
    </xf>
    <xf numFmtId="4" fontId="13" fillId="6" borderId="37" xfId="1" applyNumberFormat="1" applyFont="1" applyFill="1" applyBorder="1" applyAlignment="1">
      <alignment horizontal="right" vertical="top"/>
    </xf>
    <xf numFmtId="4" fontId="13" fillId="6" borderId="49" xfId="1" applyNumberFormat="1" applyFont="1" applyFill="1" applyBorder="1" applyAlignment="1">
      <alignment horizontal="right" vertical="top"/>
    </xf>
    <xf numFmtId="0" fontId="0" fillId="0" borderId="44" xfId="1" applyFont="1" applyBorder="1"/>
    <xf numFmtId="169" fontId="13" fillId="0" borderId="38" xfId="1" applyNumberFormat="1" applyFont="1" applyBorder="1" applyAlignment="1">
      <alignment horizontal="left" vertical="top"/>
    </xf>
    <xf numFmtId="0" fontId="13" fillId="0" borderId="39" xfId="1" applyFont="1" applyBorder="1" applyAlignment="1">
      <alignment horizontal="left" vertical="top" wrapText="1"/>
    </xf>
    <xf numFmtId="172" fontId="13" fillId="3" borderId="2" xfId="1" applyNumberFormat="1" applyFont="1" applyFill="1" applyBorder="1" applyAlignment="1">
      <alignment horizontal="left" vertical="top"/>
    </xf>
    <xf numFmtId="0" fontId="0" fillId="3" borderId="2" xfId="1" applyFont="1" applyFill="1" applyBorder="1"/>
    <xf numFmtId="165" fontId="13" fillId="3" borderId="2" xfId="1" applyNumberFormat="1" applyFont="1" applyFill="1" applyBorder="1" applyAlignment="1">
      <alignment horizontal="right" vertical="top"/>
    </xf>
    <xf numFmtId="4" fontId="13" fillId="3" borderId="2" xfId="1" applyNumberFormat="1" applyFont="1" applyFill="1" applyBorder="1" applyAlignment="1">
      <alignment horizontal="right" vertical="top"/>
    </xf>
    <xf numFmtId="10" fontId="13" fillId="3" borderId="2" xfId="1" applyNumberFormat="1" applyFont="1" applyFill="1" applyBorder="1" applyAlignment="1">
      <alignment horizontal="right" vertical="top"/>
    </xf>
    <xf numFmtId="49" fontId="11" fillId="3" borderId="26" xfId="1" applyNumberFormat="1" applyFont="1" applyFill="1" applyBorder="1" applyAlignment="1">
      <alignment vertical="top"/>
    </xf>
    <xf numFmtId="165" fontId="13" fillId="6" borderId="37" xfId="1" applyNumberFormat="1" applyFont="1" applyFill="1" applyBorder="1" applyAlignment="1">
      <alignment horizontal="right" vertical="top"/>
    </xf>
    <xf numFmtId="0" fontId="13" fillId="0" borderId="9" xfId="1" applyFont="1" applyBorder="1" applyAlignment="1">
      <alignment horizontal="left" vertical="top" wrapText="1"/>
    </xf>
    <xf numFmtId="168" fontId="13" fillId="0" borderId="56" xfId="1" applyNumberFormat="1" applyFont="1" applyBorder="1" applyAlignment="1">
      <alignment horizontal="right" vertical="top"/>
    </xf>
    <xf numFmtId="0" fontId="13" fillId="6" borderId="20" xfId="1" applyFont="1" applyFill="1" applyBorder="1" applyAlignment="1">
      <alignment horizontal="left" vertical="top" wrapText="1"/>
    </xf>
    <xf numFmtId="165" fontId="13" fillId="6" borderId="5" xfId="1" applyNumberFormat="1" applyFont="1" applyFill="1" applyBorder="1" applyAlignment="1">
      <alignment horizontal="right" vertical="top"/>
    </xf>
    <xf numFmtId="10" fontId="13" fillId="6" borderId="5" xfId="1" applyNumberFormat="1" applyFont="1" applyFill="1" applyBorder="1" applyAlignment="1">
      <alignment horizontal="right" vertical="top"/>
    </xf>
    <xf numFmtId="165" fontId="13" fillId="6" borderId="1" xfId="1" applyNumberFormat="1" applyFont="1" applyFill="1" applyBorder="1" applyAlignment="1">
      <alignment horizontal="right" vertical="top"/>
    </xf>
    <xf numFmtId="165" fontId="13" fillId="6" borderId="6" xfId="1" applyNumberFormat="1" applyFont="1" applyFill="1" applyBorder="1" applyAlignment="1">
      <alignment horizontal="right" vertical="top"/>
    </xf>
    <xf numFmtId="169" fontId="13" fillId="0" borderId="59" xfId="1" applyNumberFormat="1" applyFont="1" applyBorder="1" applyAlignment="1">
      <alignment horizontal="left" vertical="top"/>
    </xf>
    <xf numFmtId="0" fontId="13" fillId="6" borderId="13" xfId="1" applyFont="1" applyFill="1" applyBorder="1" applyAlignment="1">
      <alignment horizontal="left" vertical="top" wrapText="1"/>
    </xf>
    <xf numFmtId="10" fontId="12" fillId="6" borderId="60" xfId="1" applyNumberFormat="1" applyFont="1" applyFill="1" applyBorder="1" applyAlignment="1">
      <alignment horizontal="right" vertical="top"/>
    </xf>
    <xf numFmtId="169" fontId="13" fillId="0" borderId="61" xfId="1" applyNumberFormat="1" applyFont="1" applyBorder="1" applyAlignment="1">
      <alignment horizontal="left" vertical="top"/>
    </xf>
    <xf numFmtId="0" fontId="0" fillId="2" borderId="1" xfId="1" applyFont="1" applyFill="1" applyBorder="1"/>
    <xf numFmtId="169" fontId="13" fillId="2" borderId="23" xfId="1" applyNumberFormat="1" applyFont="1" applyFill="1" applyBorder="1" applyAlignment="1">
      <alignment horizontal="left" vertical="top"/>
    </xf>
    <xf numFmtId="165" fontId="10" fillId="2" borderId="5" xfId="1" applyNumberFormat="1" applyFont="1" applyFill="1" applyBorder="1" applyAlignment="1">
      <alignment horizontal="right" vertical="top"/>
    </xf>
    <xf numFmtId="4" fontId="9" fillId="2" borderId="1" xfId="1" applyNumberFormat="1" applyFont="1" applyFill="1" applyBorder="1" applyAlignment="1">
      <alignment vertical="top"/>
    </xf>
    <xf numFmtId="4" fontId="9" fillId="2" borderId="6" xfId="1" applyNumberFormat="1" applyFont="1" applyFill="1" applyBorder="1" applyAlignment="1">
      <alignment vertical="top"/>
    </xf>
    <xf numFmtId="49" fontId="9" fillId="2" borderId="5" xfId="1" applyNumberFormat="1" applyFont="1" applyFill="1" applyBorder="1" applyAlignment="1">
      <alignment vertical="top"/>
    </xf>
    <xf numFmtId="0" fontId="11" fillId="6" borderId="2" xfId="1" applyFont="1" applyFill="1" applyBorder="1" applyAlignment="1">
      <alignment horizontal="left"/>
    </xf>
    <xf numFmtId="169" fontId="13" fillId="6" borderId="23" xfId="1" applyNumberFormat="1" applyFont="1" applyFill="1" applyBorder="1" applyAlignment="1">
      <alignment horizontal="left" vertical="top"/>
    </xf>
    <xf numFmtId="0" fontId="13" fillId="6" borderId="5" xfId="1" applyFont="1" applyFill="1" applyBorder="1" applyAlignment="1">
      <alignment horizontal="left" vertical="top" wrapText="1"/>
    </xf>
    <xf numFmtId="4" fontId="11" fillId="6" borderId="1" xfId="1" applyNumberFormat="1" applyFont="1" applyFill="1" applyBorder="1" applyAlignment="1">
      <alignment vertical="top"/>
    </xf>
    <xf numFmtId="4" fontId="11" fillId="6" borderId="6" xfId="1" applyNumberFormat="1" applyFont="1" applyFill="1" applyBorder="1" applyAlignment="1">
      <alignment vertical="top"/>
    </xf>
    <xf numFmtId="169" fontId="13" fillId="0" borderId="5" xfId="1" quotePrefix="1" applyNumberFormat="1" applyFont="1" applyBorder="1" applyAlignment="1">
      <alignment horizontal="left" vertical="top"/>
    </xf>
    <xf numFmtId="173" fontId="10" fillId="2" borderId="9" xfId="1" applyNumberFormat="1" applyFont="1" applyFill="1" applyBorder="1" applyAlignment="1">
      <alignment horizontal="right" vertical="top"/>
    </xf>
    <xf numFmtId="173" fontId="10" fillId="2" borderId="62" xfId="1" applyNumberFormat="1" applyFont="1" applyFill="1" applyBorder="1" applyAlignment="1">
      <alignment horizontal="right" vertical="top"/>
    </xf>
    <xf numFmtId="10" fontId="10" fillId="2" borderId="63" xfId="1" applyNumberFormat="1" applyFont="1" applyFill="1" applyBorder="1" applyAlignment="1">
      <alignment horizontal="right" vertical="top"/>
    </xf>
    <xf numFmtId="173" fontId="13" fillId="6" borderId="37" xfId="1" applyNumberFormat="1" applyFont="1" applyFill="1" applyBorder="1" applyAlignment="1">
      <alignment horizontal="right" vertical="top"/>
    </xf>
    <xf numFmtId="0" fontId="0" fillId="0" borderId="2" xfId="1" applyFont="1" applyBorder="1"/>
    <xf numFmtId="173" fontId="13" fillId="0" borderId="2" xfId="1" applyNumberFormat="1" applyFont="1" applyBorder="1" applyAlignment="1">
      <alignment horizontal="right" vertical="top"/>
    </xf>
    <xf numFmtId="0" fontId="11" fillId="4" borderId="39" xfId="1" applyFont="1" applyFill="1" applyBorder="1" applyAlignment="1">
      <alignment horizontal="left"/>
    </xf>
    <xf numFmtId="0" fontId="0" fillId="4" borderId="38" xfId="1" applyFont="1" applyFill="1" applyBorder="1"/>
    <xf numFmtId="169" fontId="13" fillId="4" borderId="50" xfId="1" applyNumberFormat="1" applyFont="1" applyFill="1" applyBorder="1" applyAlignment="1">
      <alignment horizontal="left" vertical="top"/>
    </xf>
    <xf numFmtId="0" fontId="13" fillId="4" borderId="44" xfId="1" applyFont="1" applyFill="1" applyBorder="1" applyAlignment="1">
      <alignment horizontal="left" vertical="top" wrapText="1"/>
    </xf>
    <xf numFmtId="173" fontId="13" fillId="4" borderId="44" xfId="1" applyNumberFormat="1" applyFont="1" applyFill="1" applyBorder="1" applyAlignment="1">
      <alignment horizontal="right" vertical="top"/>
    </xf>
    <xf numFmtId="10" fontId="13" fillId="4" borderId="44" xfId="1" applyNumberFormat="1" applyFont="1" applyFill="1" applyBorder="1" applyAlignment="1">
      <alignment horizontal="right" vertical="top"/>
    </xf>
    <xf numFmtId="173" fontId="13" fillId="4" borderId="39" xfId="1" applyNumberFormat="1" applyFont="1" applyFill="1" applyBorder="1" applyAlignment="1">
      <alignment horizontal="right" vertical="top"/>
    </xf>
    <xf numFmtId="173" fontId="13" fillId="4" borderId="36" xfId="1" applyNumberFormat="1" applyFont="1" applyFill="1" applyBorder="1" applyAlignment="1">
      <alignment horizontal="right" vertical="top"/>
    </xf>
    <xf numFmtId="10" fontId="13" fillId="4" borderId="26" xfId="1" applyNumberFormat="1" applyFont="1" applyFill="1" applyBorder="1" applyAlignment="1">
      <alignment horizontal="right" vertical="top"/>
    </xf>
    <xf numFmtId="169" fontId="13" fillId="0" borderId="3" xfId="1" quotePrefix="1" applyNumberFormat="1" applyFont="1" applyBorder="1" applyAlignment="1">
      <alignment horizontal="left" vertical="top"/>
    </xf>
    <xf numFmtId="4" fontId="11" fillId="0" borderId="39" xfId="1" applyNumberFormat="1" applyFont="1" applyBorder="1" applyAlignment="1">
      <alignment vertical="top"/>
    </xf>
    <xf numFmtId="10" fontId="12" fillId="0" borderId="55" xfId="1" applyNumberFormat="1" applyFont="1" applyFill="1" applyBorder="1" applyAlignment="1">
      <alignment horizontal="right" vertical="top"/>
    </xf>
    <xf numFmtId="169" fontId="13" fillId="0" borderId="45" xfId="1" quotePrefix="1" applyNumberFormat="1" applyFont="1" applyBorder="1" applyAlignment="1">
      <alignment horizontal="left" vertical="top"/>
    </xf>
    <xf numFmtId="0" fontId="13" fillId="0" borderId="56" xfId="1" applyFont="1" applyBorder="1" applyAlignment="1">
      <alignment horizontal="left" vertical="top" wrapText="1"/>
    </xf>
    <xf numFmtId="4" fontId="11" fillId="0" borderId="9" xfId="1" applyNumberFormat="1" applyFont="1" applyBorder="1" applyAlignment="1">
      <alignment vertical="top"/>
    </xf>
    <xf numFmtId="4" fontId="11" fillId="0" borderId="2" xfId="1" applyNumberFormat="1" applyFont="1" applyBorder="1" applyAlignment="1">
      <alignment vertical="top"/>
    </xf>
    <xf numFmtId="10" fontId="11" fillId="0" borderId="4" xfId="1" applyNumberFormat="1" applyFont="1" applyBorder="1" applyAlignment="1">
      <alignment vertical="top"/>
    </xf>
    <xf numFmtId="172" fontId="13" fillId="6" borderId="65" xfId="1" applyNumberFormat="1" applyFont="1" applyFill="1" applyBorder="1" applyAlignment="1">
      <alignment horizontal="left" vertical="top"/>
    </xf>
    <xf numFmtId="0" fontId="0" fillId="6" borderId="66" xfId="1" applyFont="1" applyFill="1" applyBorder="1"/>
    <xf numFmtId="0" fontId="13" fillId="6" borderId="34" xfId="1" applyFont="1" applyFill="1" applyBorder="1" applyAlignment="1">
      <alignment horizontal="left" vertical="top" wrapText="1"/>
    </xf>
    <xf numFmtId="165" fontId="13" fillId="6" borderId="65" xfId="1" applyNumberFormat="1" applyFont="1" applyFill="1" applyBorder="1" applyAlignment="1">
      <alignment horizontal="right" vertical="top"/>
    </xf>
    <xf numFmtId="10" fontId="13" fillId="6" borderId="65" xfId="1" applyNumberFormat="1" applyFont="1" applyFill="1" applyBorder="1" applyAlignment="1">
      <alignment horizontal="right" vertical="top"/>
    </xf>
    <xf numFmtId="4" fontId="13" fillId="6" borderId="65" xfId="1" applyNumberFormat="1" applyFont="1" applyFill="1" applyBorder="1" applyAlignment="1">
      <alignment horizontal="right" vertical="top"/>
    </xf>
    <xf numFmtId="4" fontId="13" fillId="6" borderId="29" xfId="1" applyNumberFormat="1" applyFont="1" applyFill="1" applyBorder="1" applyAlignment="1">
      <alignment horizontal="right" vertical="top"/>
    </xf>
    <xf numFmtId="0" fontId="13" fillId="3" borderId="5" xfId="1" applyFont="1" applyFill="1" applyBorder="1" applyAlignment="1">
      <alignment horizontal="left" vertical="top" wrapText="1"/>
    </xf>
    <xf numFmtId="165" fontId="13" fillId="3" borderId="5" xfId="1" applyNumberFormat="1" applyFont="1" applyFill="1" applyBorder="1" applyAlignment="1">
      <alignment horizontal="right" vertical="top"/>
    </xf>
    <xf numFmtId="4" fontId="13" fillId="3" borderId="1" xfId="1" applyNumberFormat="1" applyFont="1" applyFill="1" applyBorder="1" applyAlignment="1">
      <alignment horizontal="right" vertical="top"/>
    </xf>
    <xf numFmtId="49" fontId="11" fillId="3" borderId="5" xfId="1" applyNumberFormat="1" applyFont="1" applyFill="1" applyBorder="1" applyAlignment="1">
      <alignment vertical="top"/>
    </xf>
    <xf numFmtId="165" fontId="13" fillId="0" borderId="0" xfId="1" applyNumberFormat="1" applyFont="1" applyBorder="1" applyAlignment="1">
      <alignment horizontal="right" vertical="top"/>
    </xf>
    <xf numFmtId="0" fontId="11" fillId="6" borderId="32" xfId="1" applyFont="1" applyFill="1" applyBorder="1" applyAlignment="1">
      <alignment horizontal="left"/>
    </xf>
    <xf numFmtId="167" fontId="13" fillId="6" borderId="67" xfId="1" applyNumberFormat="1" applyFont="1" applyFill="1" applyBorder="1" applyAlignment="1">
      <alignment horizontal="left" vertical="top"/>
    </xf>
    <xf numFmtId="0" fontId="13" fillId="6" borderId="0" xfId="1" applyFont="1" applyFill="1" applyBorder="1" applyAlignment="1">
      <alignment horizontal="left" vertical="top" wrapText="1"/>
    </xf>
    <xf numFmtId="49" fontId="11" fillId="6" borderId="7" xfId="1" applyNumberFormat="1" applyFont="1" applyFill="1" applyBorder="1" applyAlignment="1">
      <alignment vertical="top"/>
    </xf>
    <xf numFmtId="0" fontId="13" fillId="0" borderId="65" xfId="1" applyFont="1" applyBorder="1" applyAlignment="1">
      <alignment horizontal="left" vertical="top" wrapText="1"/>
    </xf>
    <xf numFmtId="0" fontId="11" fillId="6" borderId="5" xfId="1" applyFont="1" applyFill="1" applyBorder="1" applyAlignment="1">
      <alignment horizontal="left"/>
    </xf>
    <xf numFmtId="0" fontId="0" fillId="6" borderId="5" xfId="1" applyFont="1" applyFill="1" applyBorder="1"/>
    <xf numFmtId="169" fontId="13" fillId="6" borderId="5" xfId="1" applyNumberFormat="1" applyFont="1" applyFill="1" applyBorder="1" applyAlignment="1">
      <alignment horizontal="left" vertical="top"/>
    </xf>
    <xf numFmtId="0" fontId="0" fillId="3" borderId="19" xfId="1" applyFont="1" applyFill="1" applyBorder="1"/>
    <xf numFmtId="169" fontId="13" fillId="3" borderId="5" xfId="1" quotePrefix="1" applyNumberFormat="1" applyFont="1" applyFill="1" applyBorder="1" applyAlignment="1">
      <alignment horizontal="left" vertical="top"/>
    </xf>
    <xf numFmtId="171" fontId="13" fillId="3" borderId="5" xfId="1" applyNumberFormat="1" applyFont="1" applyFill="1" applyBorder="1" applyAlignment="1">
      <alignment horizontal="right" vertical="top"/>
    </xf>
    <xf numFmtId="4" fontId="11" fillId="3" borderId="5" xfId="1" applyNumberFormat="1" applyFont="1" applyFill="1" applyBorder="1" applyAlignment="1">
      <alignment vertical="top"/>
    </xf>
    <xf numFmtId="10" fontId="11" fillId="3" borderId="5" xfId="1" applyNumberFormat="1" applyFont="1" applyFill="1" applyBorder="1" applyAlignment="1">
      <alignment vertical="top"/>
    </xf>
    <xf numFmtId="4" fontId="11" fillId="3" borderId="1" xfId="1" applyNumberFormat="1" applyFont="1" applyFill="1" applyBorder="1" applyAlignment="1">
      <alignment vertical="top"/>
    </xf>
    <xf numFmtId="4" fontId="11" fillId="3" borderId="6" xfId="1" applyNumberFormat="1" applyFont="1" applyFill="1" applyBorder="1" applyAlignment="1">
      <alignment vertical="top"/>
    </xf>
    <xf numFmtId="0" fontId="0" fillId="0" borderId="33" xfId="1" applyFont="1" applyBorder="1"/>
    <xf numFmtId="170" fontId="10" fillId="2" borderId="5" xfId="1" applyNumberFormat="1" applyFont="1" applyFill="1" applyBorder="1" applyAlignment="1">
      <alignment horizontal="left" vertical="top"/>
    </xf>
    <xf numFmtId="0" fontId="2" fillId="2" borderId="33" xfId="1" applyFont="1" applyFill="1" applyBorder="1"/>
    <xf numFmtId="0" fontId="2" fillId="2" borderId="0" xfId="1" applyFont="1" applyFill="1" applyBorder="1"/>
    <xf numFmtId="165" fontId="10" fillId="2" borderId="25" xfId="1" applyNumberFormat="1" applyFont="1" applyFill="1" applyBorder="1" applyAlignment="1">
      <alignment horizontal="right" vertical="top"/>
    </xf>
    <xf numFmtId="10" fontId="10" fillId="2" borderId="53" xfId="1" applyNumberFormat="1" applyFont="1" applyFill="1" applyBorder="1" applyAlignment="1">
      <alignment horizontal="right" vertical="top"/>
    </xf>
    <xf numFmtId="49" fontId="9" fillId="0" borderId="7" xfId="1" applyNumberFormat="1" applyFont="1" applyBorder="1" applyAlignment="1">
      <alignment vertical="top"/>
    </xf>
    <xf numFmtId="0" fontId="11" fillId="4" borderId="1" xfId="1" applyFont="1" applyFill="1" applyBorder="1" applyAlignment="1">
      <alignment horizontal="left" vertical="top"/>
    </xf>
    <xf numFmtId="169" fontId="13" fillId="4" borderId="5" xfId="1" applyNumberFormat="1" applyFont="1" applyFill="1" applyBorder="1" applyAlignment="1">
      <alignment horizontal="left" vertical="top"/>
    </xf>
    <xf numFmtId="165" fontId="13" fillId="4" borderId="5" xfId="1" applyNumberFormat="1" applyFont="1" applyFill="1" applyBorder="1" applyAlignment="1">
      <alignment horizontal="right" vertical="top"/>
    </xf>
    <xf numFmtId="10" fontId="11" fillId="4" borderId="5" xfId="1" applyNumberFormat="1" applyFont="1" applyFill="1" applyBorder="1" applyAlignment="1">
      <alignment vertical="top"/>
    </xf>
    <xf numFmtId="4" fontId="11" fillId="4" borderId="1" xfId="1" applyNumberFormat="1" applyFont="1" applyFill="1" applyBorder="1" applyAlignment="1">
      <alignment vertical="top"/>
    </xf>
    <xf numFmtId="4" fontId="11" fillId="4" borderId="6" xfId="1" applyNumberFormat="1" applyFont="1" applyFill="1" applyBorder="1" applyAlignment="1">
      <alignment vertical="top"/>
    </xf>
    <xf numFmtId="0" fontId="11" fillId="3" borderId="28" xfId="1" applyFont="1" applyFill="1" applyBorder="1" applyAlignment="1">
      <alignment horizontal="left" vertical="top"/>
    </xf>
    <xf numFmtId="0" fontId="0" fillId="3" borderId="66" xfId="1" applyFont="1" applyFill="1" applyBorder="1"/>
    <xf numFmtId="0" fontId="0" fillId="0" borderId="66" xfId="1" applyFont="1" applyBorder="1"/>
    <xf numFmtId="175" fontId="15" fillId="0" borderId="5" xfId="1" applyNumberFormat="1" applyFont="1" applyBorder="1" applyAlignment="1">
      <alignment horizontal="right" vertical="center"/>
    </xf>
    <xf numFmtId="10" fontId="15" fillId="0" borderId="5" xfId="1" applyNumberFormat="1" applyFont="1" applyBorder="1" applyAlignment="1">
      <alignment horizontal="right" vertical="center"/>
    </xf>
    <xf numFmtId="175" fontId="15" fillId="0" borderId="1" xfId="1" applyNumberFormat="1" applyFont="1" applyBorder="1" applyAlignment="1">
      <alignment horizontal="right" vertical="center"/>
    </xf>
    <xf numFmtId="175" fontId="15" fillId="0" borderId="6" xfId="1" applyNumberFormat="1" applyFont="1" applyBorder="1" applyAlignment="1">
      <alignment horizontal="right" vertical="center"/>
    </xf>
    <xf numFmtId="10" fontId="15" fillId="0" borderId="7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 wrapText="1"/>
    </xf>
    <xf numFmtId="175" fontId="15" fillId="0" borderId="0" xfId="1" applyNumberFormat="1" applyFont="1" applyBorder="1" applyAlignment="1">
      <alignment horizontal="right" vertical="center"/>
    </xf>
    <xf numFmtId="10" fontId="15" fillId="0" borderId="0" xfId="1" applyNumberFormat="1" applyFont="1" applyBorder="1" applyAlignment="1">
      <alignment horizontal="right" vertical="center"/>
    </xf>
    <xf numFmtId="10" fontId="15" fillId="0" borderId="0" xfId="1" applyNumberFormat="1" applyFont="1" applyFill="1" applyBorder="1" applyAlignment="1">
      <alignment horizontal="right" vertical="center"/>
    </xf>
    <xf numFmtId="0" fontId="0" fillId="0" borderId="1" xfId="1" applyFont="1" applyBorder="1"/>
    <xf numFmtId="0" fontId="0" fillId="0" borderId="5" xfId="0" applyBorder="1"/>
    <xf numFmtId="4" fontId="0" fillId="0" borderId="0" xfId="0" applyNumberFormat="1"/>
    <xf numFmtId="0" fontId="1" fillId="0" borderId="0" xfId="1" applyFont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5" fillId="0" borderId="5" xfId="1" applyFont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top" wrapText="1"/>
    </xf>
    <xf numFmtId="4" fontId="11" fillId="0" borderId="5" xfId="0" applyNumberFormat="1" applyFont="1" applyBorder="1" applyAlignment="1">
      <alignment vertical="top"/>
    </xf>
    <xf numFmtId="4" fontId="11" fillId="0" borderId="5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164" fontId="10" fillId="2" borderId="4" xfId="1" applyNumberFormat="1" applyFont="1" applyFill="1" applyBorder="1" applyAlignment="1">
      <alignment horizontal="left" vertical="top"/>
    </xf>
    <xf numFmtId="4" fontId="10" fillId="2" borderId="56" xfId="1" applyNumberFormat="1" applyFont="1" applyFill="1" applyBorder="1" applyAlignment="1">
      <alignment horizontal="right" vertical="top"/>
    </xf>
    <xf numFmtId="4" fontId="13" fillId="6" borderId="70" xfId="1" applyNumberFormat="1" applyFont="1" applyFill="1" applyBorder="1" applyAlignment="1">
      <alignment horizontal="right" vertical="top"/>
    </xf>
    <xf numFmtId="169" fontId="13" fillId="0" borderId="32" xfId="1" applyNumberFormat="1" applyFont="1" applyBorder="1" applyAlignment="1">
      <alignment horizontal="left" vertical="top"/>
    </xf>
    <xf numFmtId="10" fontId="11" fillId="0" borderId="7" xfId="1" applyNumberFormat="1" applyFont="1" applyBorder="1" applyAlignment="1">
      <alignment vertical="top"/>
    </xf>
    <xf numFmtId="49" fontId="5" fillId="3" borderId="7" xfId="1" applyNumberFormat="1" applyFont="1" applyFill="1" applyBorder="1" applyAlignment="1">
      <alignment vertical="top" wrapText="1"/>
    </xf>
    <xf numFmtId="169" fontId="13" fillId="0" borderId="14" xfId="1" applyNumberFormat="1" applyFont="1" applyBorder="1" applyAlignment="1">
      <alignment horizontal="left" vertical="top"/>
    </xf>
    <xf numFmtId="176" fontId="13" fillId="0" borderId="13" xfId="1" applyNumberFormat="1" applyFont="1" applyBorder="1" applyAlignment="1">
      <alignment horizontal="right" vertical="top"/>
    </xf>
    <xf numFmtId="169" fontId="13" fillId="0" borderId="48" xfId="1" applyNumberFormat="1" applyFont="1" applyBorder="1" applyAlignment="1">
      <alignment horizontal="left" vertical="top"/>
    </xf>
    <xf numFmtId="49" fontId="5" fillId="3" borderId="53" xfId="1" applyNumberFormat="1" applyFont="1" applyFill="1" applyBorder="1" applyAlignment="1">
      <alignment vertical="top" wrapText="1"/>
    </xf>
    <xf numFmtId="168" fontId="10" fillId="2" borderId="20" xfId="1" applyNumberFormat="1" applyFont="1" applyFill="1" applyBorder="1" applyAlignment="1">
      <alignment horizontal="right" vertical="top"/>
    </xf>
    <xf numFmtId="4" fontId="10" fillId="2" borderId="72" xfId="1" applyNumberFormat="1" applyFont="1" applyFill="1" applyBorder="1" applyAlignment="1">
      <alignment horizontal="right" vertical="top"/>
    </xf>
    <xf numFmtId="168" fontId="13" fillId="6" borderId="20" xfId="1" applyNumberFormat="1" applyFont="1" applyFill="1" applyBorder="1" applyAlignment="1">
      <alignment horizontal="right" vertical="top"/>
    </xf>
    <xf numFmtId="166" fontId="13" fillId="3" borderId="9" xfId="1" applyNumberFormat="1" applyFont="1" applyFill="1" applyBorder="1" applyAlignment="1">
      <alignment horizontal="left" vertical="top"/>
    </xf>
    <xf numFmtId="0" fontId="0" fillId="3" borderId="13" xfId="1" applyFont="1" applyFill="1" applyBorder="1"/>
    <xf numFmtId="0" fontId="11" fillId="3" borderId="14" xfId="1" applyFont="1" applyFill="1" applyBorder="1" applyAlignment="1">
      <alignment horizontal="left"/>
    </xf>
    <xf numFmtId="4" fontId="13" fillId="3" borderId="0" xfId="1" applyNumberFormat="1" applyFont="1" applyFill="1" applyBorder="1" applyAlignment="1">
      <alignment horizontal="right" vertical="top"/>
    </xf>
    <xf numFmtId="4" fontId="13" fillId="3" borderId="11" xfId="1" applyNumberFormat="1" applyFont="1" applyFill="1" applyBorder="1" applyAlignment="1">
      <alignment horizontal="right" vertical="top"/>
    </xf>
    <xf numFmtId="10" fontId="13" fillId="3" borderId="73" xfId="1" applyNumberFormat="1" applyFont="1" applyFill="1" applyBorder="1" applyAlignment="1">
      <alignment horizontal="right" vertical="top"/>
    </xf>
    <xf numFmtId="49" fontId="19" fillId="3" borderId="53" xfId="1" applyNumberFormat="1" applyFont="1" applyFill="1" applyBorder="1" applyAlignment="1">
      <alignment vertical="top" wrapText="1"/>
    </xf>
    <xf numFmtId="4" fontId="13" fillId="3" borderId="56" xfId="1" applyNumberFormat="1" applyFont="1" applyFill="1" applyBorder="1" applyAlignment="1">
      <alignment horizontal="right" vertical="top"/>
    </xf>
    <xf numFmtId="4" fontId="11" fillId="0" borderId="56" xfId="0" applyNumberFormat="1" applyFont="1" applyBorder="1" applyAlignment="1">
      <alignment vertical="top"/>
    </xf>
    <xf numFmtId="171" fontId="13" fillId="0" borderId="24" xfId="1" applyNumberFormat="1" applyFont="1" applyBorder="1" applyAlignment="1">
      <alignment horizontal="right" vertical="top"/>
    </xf>
    <xf numFmtId="170" fontId="10" fillId="2" borderId="4" xfId="1" applyNumberFormat="1" applyFont="1" applyFill="1" applyBorder="1" applyAlignment="1">
      <alignment horizontal="left" vertical="top"/>
    </xf>
    <xf numFmtId="173" fontId="10" fillId="2" borderId="19" xfId="1" applyNumberFormat="1" applyFont="1" applyFill="1" applyBorder="1" applyAlignment="1">
      <alignment horizontal="right" vertical="top"/>
    </xf>
    <xf numFmtId="170" fontId="10" fillId="3" borderId="9" xfId="1" applyNumberFormat="1" applyFont="1" applyFill="1" applyBorder="1" applyAlignment="1">
      <alignment horizontal="left" vertical="top"/>
    </xf>
    <xf numFmtId="173" fontId="12" fillId="6" borderId="5" xfId="1" applyNumberFormat="1" applyFont="1" applyFill="1" applyBorder="1" applyAlignment="1">
      <alignment horizontal="right" vertical="top"/>
    </xf>
    <xf numFmtId="0" fontId="0" fillId="3" borderId="18" xfId="1" applyFont="1" applyFill="1" applyBorder="1"/>
    <xf numFmtId="0" fontId="11" fillId="3" borderId="32" xfId="1" applyFont="1" applyFill="1" applyBorder="1" applyAlignment="1">
      <alignment horizontal="left" vertical="top"/>
    </xf>
    <xf numFmtId="0" fontId="13" fillId="3" borderId="39" xfId="1" applyFont="1" applyFill="1" applyBorder="1" applyAlignment="1">
      <alignment horizontal="left" vertical="top" wrapText="1"/>
    </xf>
    <xf numFmtId="173" fontId="12" fillId="3" borderId="6" xfId="1" applyNumberFormat="1" applyFont="1" applyFill="1" applyBorder="1" applyAlignment="1">
      <alignment horizontal="right" vertical="top"/>
    </xf>
    <xf numFmtId="49" fontId="20" fillId="3" borderId="63" xfId="1" applyNumberFormat="1" applyFont="1" applyFill="1" applyBorder="1" applyAlignment="1">
      <alignment vertical="top" wrapText="1"/>
    </xf>
    <xf numFmtId="0" fontId="21" fillId="3" borderId="39" xfId="1" applyFont="1" applyFill="1" applyBorder="1"/>
    <xf numFmtId="0" fontId="21" fillId="3" borderId="37" xfId="1" applyFont="1" applyFill="1" applyBorder="1"/>
    <xf numFmtId="0" fontId="11" fillId="3" borderId="48" xfId="1" applyFont="1" applyFill="1" applyBorder="1" applyAlignment="1">
      <alignment horizontal="left"/>
    </xf>
    <xf numFmtId="173" fontId="12" fillId="3" borderId="37" xfId="1" applyNumberFormat="1" applyFont="1" applyFill="1" applyBorder="1" applyAlignment="1">
      <alignment horizontal="right" vertical="top"/>
    </xf>
    <xf numFmtId="10" fontId="12" fillId="3" borderId="37" xfId="1" applyNumberFormat="1" applyFont="1" applyFill="1" applyBorder="1" applyAlignment="1">
      <alignment horizontal="right" vertical="top"/>
    </xf>
    <xf numFmtId="173" fontId="12" fillId="3" borderId="36" xfId="1" applyNumberFormat="1" applyFont="1" applyFill="1" applyBorder="1" applyAlignment="1">
      <alignment horizontal="right" vertical="top"/>
    </xf>
    <xf numFmtId="49" fontId="20" fillId="3" borderId="55" xfId="1" applyNumberFormat="1" applyFont="1" applyFill="1" applyBorder="1" applyAlignment="1">
      <alignment vertical="top" wrapText="1"/>
    </xf>
    <xf numFmtId="0" fontId="11" fillId="6" borderId="39" xfId="1" applyFont="1" applyFill="1" applyBorder="1" applyAlignment="1">
      <alignment horizontal="left"/>
    </xf>
    <xf numFmtId="0" fontId="0" fillId="6" borderId="39" xfId="1" applyFont="1" applyFill="1" applyBorder="1"/>
    <xf numFmtId="0" fontId="12" fillId="6" borderId="44" xfId="1" applyFont="1" applyFill="1" applyBorder="1" applyAlignment="1">
      <alignment horizontal="left" vertical="top" wrapText="1"/>
    </xf>
    <xf numFmtId="173" fontId="12" fillId="6" borderId="39" xfId="1" applyNumberFormat="1" applyFont="1" applyFill="1" applyBorder="1" applyAlignment="1">
      <alignment horizontal="right" vertical="top"/>
    </xf>
    <xf numFmtId="10" fontId="12" fillId="6" borderId="39" xfId="1" applyNumberFormat="1" applyFont="1" applyFill="1" applyBorder="1" applyAlignment="1">
      <alignment horizontal="right" vertical="top"/>
    </xf>
    <xf numFmtId="4" fontId="12" fillId="6" borderId="39" xfId="1" applyNumberFormat="1" applyFont="1" applyFill="1" applyBorder="1" applyAlignment="1">
      <alignment horizontal="right" vertical="top"/>
    </xf>
    <xf numFmtId="4" fontId="12" fillId="6" borderId="36" xfId="1" applyNumberFormat="1" applyFont="1" applyFill="1" applyBorder="1" applyAlignment="1">
      <alignment horizontal="right" vertical="top"/>
    </xf>
    <xf numFmtId="4" fontId="12" fillId="6" borderId="33" xfId="1" applyNumberFormat="1" applyFont="1" applyFill="1" applyBorder="1" applyAlignment="1">
      <alignment horizontal="right" vertical="top"/>
    </xf>
    <xf numFmtId="0" fontId="0" fillId="3" borderId="39" xfId="1" applyFont="1" applyFill="1" applyBorder="1"/>
    <xf numFmtId="0" fontId="11" fillId="3" borderId="38" xfId="1" applyFont="1" applyFill="1" applyBorder="1" applyAlignment="1">
      <alignment horizontal="center" vertical="top"/>
    </xf>
    <xf numFmtId="0" fontId="13" fillId="3" borderId="4" xfId="1" applyFont="1" applyFill="1" applyBorder="1" applyAlignment="1">
      <alignment horizontal="left" vertical="top" wrapText="1"/>
    </xf>
    <xf numFmtId="173" fontId="12" fillId="3" borderId="39" xfId="1" applyNumberFormat="1" applyFont="1" applyFill="1" applyBorder="1" applyAlignment="1">
      <alignment horizontal="right" vertical="top"/>
    </xf>
    <xf numFmtId="4" fontId="12" fillId="3" borderId="39" xfId="1" applyNumberFormat="1" applyFont="1" applyFill="1" applyBorder="1" applyAlignment="1">
      <alignment horizontal="right" vertical="top"/>
    </xf>
    <xf numFmtId="10" fontId="12" fillId="3" borderId="39" xfId="1" applyNumberFormat="1" applyFont="1" applyFill="1" applyBorder="1" applyAlignment="1">
      <alignment horizontal="right" vertical="top"/>
    </xf>
    <xf numFmtId="4" fontId="12" fillId="3" borderId="36" xfId="1" applyNumberFormat="1" applyFont="1" applyFill="1" applyBorder="1" applyAlignment="1">
      <alignment horizontal="right" vertical="top"/>
    </xf>
    <xf numFmtId="49" fontId="20" fillId="3" borderId="53" xfId="1" applyNumberFormat="1" applyFont="1" applyFill="1" applyBorder="1" applyAlignment="1">
      <alignment vertical="top" wrapText="1"/>
    </xf>
    <xf numFmtId="0" fontId="11" fillId="3" borderId="23" xfId="1" applyFont="1" applyFill="1" applyBorder="1" applyAlignment="1">
      <alignment horizontal="center" vertical="top"/>
    </xf>
    <xf numFmtId="173" fontId="13" fillId="3" borderId="2" xfId="1" applyNumberFormat="1" applyFont="1" applyFill="1" applyBorder="1" applyAlignment="1">
      <alignment horizontal="right" vertical="top"/>
    </xf>
    <xf numFmtId="4" fontId="12" fillId="3" borderId="2" xfId="1" applyNumberFormat="1" applyFont="1" applyFill="1" applyBorder="1" applyAlignment="1">
      <alignment horizontal="right" vertical="top"/>
    </xf>
    <xf numFmtId="10" fontId="12" fillId="3" borderId="2" xfId="1" applyNumberFormat="1" applyFont="1" applyFill="1" applyBorder="1" applyAlignment="1">
      <alignment horizontal="right" vertical="top"/>
    </xf>
    <xf numFmtId="4" fontId="12" fillId="3" borderId="6" xfId="1" applyNumberFormat="1" applyFont="1" applyFill="1" applyBorder="1" applyAlignment="1">
      <alignment horizontal="right" vertical="top"/>
    </xf>
    <xf numFmtId="0" fontId="13" fillId="6" borderId="24" xfId="1" applyFont="1" applyFill="1" applyBorder="1" applyAlignment="1">
      <alignment horizontal="left" vertical="top" wrapText="1"/>
    </xf>
    <xf numFmtId="173" fontId="13" fillId="6" borderId="5" xfId="1" applyNumberFormat="1" applyFont="1" applyFill="1" applyBorder="1" applyAlignment="1">
      <alignment horizontal="right" vertical="top"/>
    </xf>
    <xf numFmtId="4" fontId="13" fillId="6" borderId="5" xfId="1" applyNumberFormat="1" applyFont="1" applyFill="1" applyBorder="1" applyAlignment="1">
      <alignment horizontal="right" vertical="top"/>
    </xf>
    <xf numFmtId="4" fontId="13" fillId="6" borderId="27" xfId="1" applyNumberFormat="1" applyFont="1" applyFill="1" applyBorder="1" applyAlignment="1">
      <alignment horizontal="right" vertical="top"/>
    </xf>
    <xf numFmtId="4" fontId="13" fillId="6" borderId="77" xfId="1" applyNumberFormat="1" applyFont="1" applyFill="1" applyBorder="1" applyAlignment="1">
      <alignment horizontal="right" vertical="top"/>
    </xf>
    <xf numFmtId="168" fontId="13" fillId="0" borderId="24" xfId="1" applyNumberFormat="1" applyFont="1" applyBorder="1" applyAlignment="1">
      <alignment horizontal="right" vertical="top"/>
    </xf>
    <xf numFmtId="169" fontId="13" fillId="0" borderId="27" xfId="1" applyNumberFormat="1" applyFont="1" applyBorder="1" applyAlignment="1">
      <alignment horizontal="left" vertical="top"/>
    </xf>
    <xf numFmtId="165" fontId="10" fillId="2" borderId="37" xfId="1" applyNumberFormat="1" applyFont="1" applyFill="1" applyBorder="1" applyAlignment="1">
      <alignment horizontal="right" vertical="top"/>
    </xf>
    <xf numFmtId="4" fontId="10" fillId="2" borderId="79" xfId="1" applyNumberFormat="1" applyFont="1" applyFill="1" applyBorder="1" applyAlignment="1">
      <alignment horizontal="right" vertical="top"/>
    </xf>
    <xf numFmtId="0" fontId="0" fillId="6" borderId="9" xfId="1" applyFont="1" applyFill="1" applyBorder="1"/>
    <xf numFmtId="4" fontId="13" fillId="6" borderId="56" xfId="1" applyNumberFormat="1" applyFont="1" applyFill="1" applyBorder="1" applyAlignment="1">
      <alignment horizontal="right" vertical="top"/>
    </xf>
    <xf numFmtId="10" fontId="13" fillId="0" borderId="20" xfId="1" applyNumberFormat="1" applyFont="1" applyFill="1" applyBorder="1" applyAlignment="1">
      <alignment horizontal="right" vertical="top"/>
    </xf>
    <xf numFmtId="4" fontId="13" fillId="0" borderId="6" xfId="1" applyNumberFormat="1" applyFont="1" applyFill="1" applyBorder="1" applyAlignment="1">
      <alignment horizontal="right" vertical="top"/>
    </xf>
    <xf numFmtId="10" fontId="13" fillId="0" borderId="7" xfId="1" applyNumberFormat="1" applyFont="1" applyFill="1" applyBorder="1" applyAlignment="1">
      <alignment horizontal="right" vertical="top"/>
    </xf>
    <xf numFmtId="49" fontId="19" fillId="3" borderId="7" xfId="1" applyNumberFormat="1" applyFont="1" applyFill="1" applyBorder="1" applyAlignment="1">
      <alignment vertical="top" wrapText="1"/>
    </xf>
    <xf numFmtId="172" fontId="13" fillId="0" borderId="9" xfId="1" applyNumberFormat="1" applyFont="1" applyFill="1" applyBorder="1" applyAlignment="1">
      <alignment horizontal="left" vertical="top"/>
    </xf>
    <xf numFmtId="0" fontId="0" fillId="0" borderId="39" xfId="1" applyFont="1" applyFill="1" applyBorder="1"/>
    <xf numFmtId="169" fontId="13" fillId="0" borderId="80" xfId="1" applyNumberFormat="1" applyFont="1" applyBorder="1" applyAlignment="1">
      <alignment horizontal="left" vertical="top"/>
    </xf>
    <xf numFmtId="165" fontId="13" fillId="0" borderId="33" xfId="1" applyNumberFormat="1" applyFont="1" applyFill="1" applyBorder="1" applyAlignment="1">
      <alignment horizontal="right" vertical="top"/>
    </xf>
    <xf numFmtId="4" fontId="13" fillId="0" borderId="33" xfId="1" applyNumberFormat="1" applyFont="1" applyFill="1" applyBorder="1" applyAlignment="1">
      <alignment horizontal="right" vertical="top"/>
    </xf>
    <xf numFmtId="4" fontId="13" fillId="0" borderId="35" xfId="1" applyNumberFormat="1" applyFont="1" applyFill="1" applyBorder="1" applyAlignment="1">
      <alignment horizontal="right" vertical="top"/>
    </xf>
    <xf numFmtId="0" fontId="0" fillId="0" borderId="9" xfId="1" applyFont="1" applyFill="1" applyBorder="1"/>
    <xf numFmtId="10" fontId="13" fillId="0" borderId="53" xfId="1" applyNumberFormat="1" applyFont="1" applyFill="1" applyBorder="1" applyAlignment="1">
      <alignment horizontal="right" vertical="top"/>
    </xf>
    <xf numFmtId="10" fontId="13" fillId="0" borderId="64" xfId="1" applyNumberFormat="1" applyFont="1" applyFill="1" applyBorder="1" applyAlignment="1">
      <alignment horizontal="right" vertical="top"/>
    </xf>
    <xf numFmtId="10" fontId="13" fillId="0" borderId="73" xfId="1" applyNumberFormat="1" applyFont="1" applyFill="1" applyBorder="1" applyAlignment="1">
      <alignment horizontal="right" vertical="top"/>
    </xf>
    <xf numFmtId="165" fontId="13" fillId="6" borderId="20" xfId="1" applyNumberFormat="1" applyFont="1" applyFill="1" applyBorder="1" applyAlignment="1">
      <alignment horizontal="right" vertical="top"/>
    </xf>
    <xf numFmtId="4" fontId="13" fillId="6" borderId="19" xfId="1" applyNumberFormat="1" applyFont="1" applyFill="1" applyBorder="1" applyAlignment="1">
      <alignment horizontal="right" vertical="top"/>
    </xf>
    <xf numFmtId="10" fontId="13" fillId="3" borderId="63" xfId="1" applyNumberFormat="1" applyFont="1" applyFill="1" applyBorder="1" applyAlignment="1">
      <alignment horizontal="right" vertical="top"/>
    </xf>
    <xf numFmtId="49" fontId="19" fillId="3" borderId="63" xfId="1" applyNumberFormat="1" applyFont="1" applyFill="1" applyBorder="1" applyAlignment="1">
      <alignment vertical="top" wrapText="1"/>
    </xf>
    <xf numFmtId="0" fontId="13" fillId="0" borderId="81" xfId="1" applyFont="1" applyBorder="1" applyAlignment="1">
      <alignment horizontal="left" vertical="top" wrapText="1"/>
    </xf>
    <xf numFmtId="165" fontId="13" fillId="3" borderId="38" xfId="1" applyNumberFormat="1" applyFont="1" applyFill="1" applyBorder="1" applyAlignment="1">
      <alignment horizontal="right" vertical="top"/>
    </xf>
    <xf numFmtId="4" fontId="13" fillId="3" borderId="33" xfId="1" applyNumberFormat="1" applyFont="1" applyFill="1" applyBorder="1" applyAlignment="1">
      <alignment horizontal="right" vertical="top"/>
    </xf>
    <xf numFmtId="4" fontId="11" fillId="0" borderId="49" xfId="1" applyNumberFormat="1" applyFont="1" applyFill="1" applyBorder="1" applyAlignment="1">
      <alignment vertical="top"/>
    </xf>
    <xf numFmtId="10" fontId="13" fillId="0" borderId="55" xfId="1" applyNumberFormat="1" applyFont="1" applyFill="1" applyBorder="1" applyAlignment="1">
      <alignment horizontal="right" vertical="top"/>
    </xf>
    <xf numFmtId="49" fontId="5" fillId="3" borderId="55" xfId="1" applyNumberFormat="1" applyFont="1" applyFill="1" applyBorder="1" applyAlignment="1">
      <alignment vertical="top" wrapText="1"/>
    </xf>
    <xf numFmtId="4" fontId="11" fillId="0" borderId="36" xfId="1" applyNumberFormat="1" applyFont="1" applyFill="1" applyBorder="1" applyAlignment="1">
      <alignment vertical="top"/>
    </xf>
    <xf numFmtId="49" fontId="5" fillId="3" borderId="26" xfId="1" applyNumberFormat="1" applyFont="1" applyFill="1" applyBorder="1" applyAlignment="1">
      <alignment vertical="top" wrapText="1"/>
    </xf>
    <xf numFmtId="4" fontId="11" fillId="0" borderId="33" xfId="1" applyNumberFormat="1" applyFont="1" applyFill="1" applyBorder="1" applyAlignment="1">
      <alignment vertical="top"/>
    </xf>
    <xf numFmtId="4" fontId="11" fillId="0" borderId="33" xfId="0" applyNumberFormat="1" applyFont="1" applyBorder="1" applyAlignment="1">
      <alignment vertical="top"/>
    </xf>
    <xf numFmtId="4" fontId="11" fillId="0" borderId="6" xfId="1" applyNumberFormat="1" applyFont="1" applyFill="1" applyBorder="1" applyAlignment="1">
      <alignment vertical="top"/>
    </xf>
    <xf numFmtId="4" fontId="11" fillId="0" borderId="5" xfId="1" applyNumberFormat="1" applyFont="1" applyFill="1" applyBorder="1" applyAlignment="1">
      <alignment vertical="top"/>
    </xf>
    <xf numFmtId="169" fontId="13" fillId="0" borderId="23" xfId="1" applyNumberFormat="1" applyFont="1" applyBorder="1" applyAlignment="1">
      <alignment horizontal="left" vertical="top"/>
    </xf>
    <xf numFmtId="174" fontId="13" fillId="0" borderId="2" xfId="1" applyNumberFormat="1" applyFont="1" applyBorder="1" applyAlignment="1">
      <alignment horizontal="right" vertical="top"/>
    </xf>
    <xf numFmtId="10" fontId="13" fillId="0" borderId="26" xfId="1" applyNumberFormat="1" applyFont="1" applyFill="1" applyBorder="1" applyAlignment="1">
      <alignment horizontal="right" vertical="top"/>
    </xf>
    <xf numFmtId="0" fontId="0" fillId="0" borderId="82" xfId="1" applyFont="1" applyBorder="1"/>
    <xf numFmtId="0" fontId="0" fillId="0" borderId="38" xfId="1" applyFont="1" applyBorder="1"/>
    <xf numFmtId="171" fontId="13" fillId="0" borderId="38" xfId="1" applyNumberFormat="1" applyFont="1" applyBorder="1" applyAlignment="1">
      <alignment horizontal="right" vertical="top"/>
    </xf>
    <xf numFmtId="169" fontId="13" fillId="0" borderId="7" xfId="1" applyNumberFormat="1" applyFont="1" applyBorder="1" applyAlignment="1">
      <alignment horizontal="left" vertical="top"/>
    </xf>
    <xf numFmtId="169" fontId="13" fillId="0" borderId="0" xfId="1" applyNumberFormat="1" applyFont="1" applyBorder="1" applyAlignment="1">
      <alignment horizontal="left" vertical="top"/>
    </xf>
    <xf numFmtId="4" fontId="13" fillId="6" borderId="79" xfId="1" applyNumberFormat="1" applyFont="1" applyFill="1" applyBorder="1" applyAlignment="1">
      <alignment horizontal="right" vertical="top"/>
    </xf>
    <xf numFmtId="170" fontId="10" fillId="2" borderId="44" xfId="1" applyNumberFormat="1" applyFont="1" applyFill="1" applyBorder="1" applyAlignment="1">
      <alignment horizontal="left" vertical="top"/>
    </xf>
    <xf numFmtId="0" fontId="0" fillId="2" borderId="39" xfId="1" applyFont="1" applyFill="1" applyBorder="1"/>
    <xf numFmtId="0" fontId="10" fillId="2" borderId="44" xfId="1" applyFont="1" applyFill="1" applyBorder="1" applyAlignment="1">
      <alignment horizontal="left" vertical="top" wrapText="1"/>
    </xf>
    <xf numFmtId="4" fontId="10" fillId="2" borderId="33" xfId="1" applyNumberFormat="1" applyFont="1" applyFill="1" applyBorder="1" applyAlignment="1">
      <alignment horizontal="right" vertical="top"/>
    </xf>
    <xf numFmtId="4" fontId="11" fillId="0" borderId="79" xfId="1" applyNumberFormat="1" applyFont="1" applyBorder="1" applyAlignment="1">
      <alignment vertical="top"/>
    </xf>
    <xf numFmtId="10" fontId="11" fillId="0" borderId="79" xfId="1" applyNumberFormat="1" applyFont="1" applyBorder="1" applyAlignment="1">
      <alignment vertical="top"/>
    </xf>
    <xf numFmtId="4" fontId="11" fillId="0" borderId="1" xfId="0" applyNumberFormat="1" applyFont="1" applyBorder="1" applyAlignment="1">
      <alignment vertical="top"/>
    </xf>
    <xf numFmtId="4" fontId="11" fillId="0" borderId="42" xfId="0" applyNumberFormat="1" applyFont="1" applyBorder="1" applyAlignment="1">
      <alignment vertical="top"/>
    </xf>
    <xf numFmtId="4" fontId="11" fillId="0" borderId="80" xfId="1" applyNumberFormat="1" applyFont="1" applyBorder="1" applyAlignment="1">
      <alignment vertical="top"/>
    </xf>
    <xf numFmtId="4" fontId="11" fillId="0" borderId="7" xfId="0" applyNumberFormat="1" applyFont="1" applyBorder="1" applyAlignment="1">
      <alignment vertical="top" wrapText="1"/>
    </xf>
    <xf numFmtId="4" fontId="11" fillId="0" borderId="4" xfId="0" applyNumberFormat="1" applyFont="1" applyBorder="1" applyAlignment="1">
      <alignment vertical="top"/>
    </xf>
    <xf numFmtId="4" fontId="11" fillId="0" borderId="51" xfId="1" applyNumberFormat="1" applyFont="1" applyBorder="1" applyAlignment="1">
      <alignment vertical="top"/>
    </xf>
    <xf numFmtId="4" fontId="11" fillId="0" borderId="50" xfId="1" applyNumberFormat="1" applyFont="1" applyBorder="1" applyAlignment="1">
      <alignment vertical="top"/>
    </xf>
    <xf numFmtId="171" fontId="13" fillId="0" borderId="58" xfId="1" applyNumberFormat="1" applyFont="1" applyBorder="1" applyAlignment="1">
      <alignment horizontal="right" vertical="top"/>
    </xf>
    <xf numFmtId="4" fontId="11" fillId="0" borderId="4" xfId="1" applyNumberFormat="1" applyFont="1" applyBorder="1" applyAlignment="1">
      <alignment vertical="top"/>
    </xf>
    <xf numFmtId="4" fontId="11" fillId="0" borderId="40" xfId="1" applyNumberFormat="1" applyFont="1" applyBorder="1" applyAlignment="1">
      <alignment vertical="top"/>
    </xf>
    <xf numFmtId="171" fontId="13" fillId="0" borderId="37" xfId="1" applyNumberFormat="1" applyFont="1" applyBorder="1" applyAlignment="1">
      <alignment horizontal="right" vertical="top"/>
    </xf>
    <xf numFmtId="10" fontId="13" fillId="0" borderId="63" xfId="1" applyNumberFormat="1" applyFont="1" applyFill="1" applyBorder="1" applyAlignment="1">
      <alignment horizontal="right" vertical="top"/>
    </xf>
    <xf numFmtId="49" fontId="5" fillId="3" borderId="22" xfId="1" applyNumberFormat="1" applyFont="1" applyFill="1" applyBorder="1" applyAlignment="1">
      <alignment vertical="top" wrapText="1"/>
    </xf>
    <xf numFmtId="173" fontId="13" fillId="6" borderId="6" xfId="1" applyNumberFormat="1" applyFont="1" applyFill="1" applyBorder="1" applyAlignment="1">
      <alignment horizontal="right" vertical="top"/>
    </xf>
    <xf numFmtId="0" fontId="22" fillId="0" borderId="10" xfId="1" applyFont="1" applyBorder="1" applyAlignment="1">
      <alignment horizontal="left" vertical="top" wrapText="1"/>
    </xf>
    <xf numFmtId="173" fontId="22" fillId="0" borderId="9" xfId="1" applyNumberFormat="1" applyFont="1" applyBorder="1" applyAlignment="1">
      <alignment horizontal="right" vertical="top"/>
    </xf>
    <xf numFmtId="4" fontId="23" fillId="0" borderId="56" xfId="1" applyNumberFormat="1" applyFont="1" applyBorder="1" applyAlignment="1">
      <alignment vertical="top"/>
    </xf>
    <xf numFmtId="10" fontId="23" fillId="0" borderId="56" xfId="1" applyNumberFormat="1" applyFont="1" applyBorder="1" applyAlignment="1">
      <alignment vertical="top"/>
    </xf>
    <xf numFmtId="4" fontId="23" fillId="0" borderId="17" xfId="1" applyNumberFormat="1" applyFont="1" applyBorder="1" applyAlignment="1">
      <alignment vertical="top"/>
    </xf>
    <xf numFmtId="4" fontId="23" fillId="0" borderId="11" xfId="1" applyNumberFormat="1" applyFont="1" applyBorder="1" applyAlignment="1">
      <alignment vertical="top"/>
    </xf>
    <xf numFmtId="10" fontId="24" fillId="0" borderId="53" xfId="1" applyNumberFormat="1" applyFont="1" applyFill="1" applyBorder="1" applyAlignment="1">
      <alignment horizontal="right" vertical="top"/>
    </xf>
    <xf numFmtId="169" fontId="22" fillId="0" borderId="0" xfId="1" applyNumberFormat="1" applyFont="1" applyBorder="1" applyAlignment="1">
      <alignment horizontal="left" vertical="top"/>
    </xf>
    <xf numFmtId="165" fontId="22" fillId="0" borderId="9" xfId="1" applyNumberFormat="1" applyFont="1" applyBorder="1" applyAlignment="1">
      <alignment horizontal="right" vertical="top"/>
    </xf>
    <xf numFmtId="10" fontId="22" fillId="0" borderId="53" xfId="1" applyNumberFormat="1" applyFont="1" applyFill="1" applyBorder="1" applyAlignment="1">
      <alignment horizontal="right" vertical="top"/>
    </xf>
    <xf numFmtId="49" fontId="25" fillId="3" borderId="53" xfId="1" applyNumberFormat="1" applyFont="1" applyFill="1" applyBorder="1" applyAlignment="1">
      <alignment vertical="top" wrapText="1"/>
    </xf>
    <xf numFmtId="169" fontId="22" fillId="0" borderId="27" xfId="1" applyNumberFormat="1" applyFont="1" applyBorder="1" applyAlignment="1">
      <alignment horizontal="left" vertical="top"/>
    </xf>
    <xf numFmtId="0" fontId="22" fillId="0" borderId="30" xfId="1" applyFont="1" applyBorder="1" applyAlignment="1">
      <alignment horizontal="left" vertical="top" wrapText="1"/>
    </xf>
    <xf numFmtId="165" fontId="22" fillId="0" borderId="24" xfId="1" applyNumberFormat="1" applyFont="1" applyBorder="1" applyAlignment="1">
      <alignment horizontal="right" vertical="top"/>
    </xf>
    <xf numFmtId="4" fontId="23" fillId="0" borderId="33" xfId="1" applyNumberFormat="1" applyFont="1" applyBorder="1" applyAlignment="1">
      <alignment vertical="top"/>
    </xf>
    <xf numFmtId="10" fontId="23" fillId="0" borderId="33" xfId="1" applyNumberFormat="1" applyFont="1" applyBorder="1" applyAlignment="1">
      <alignment vertical="top"/>
    </xf>
    <xf numFmtId="4" fontId="23" fillId="0" borderId="36" xfId="1" applyNumberFormat="1" applyFont="1" applyBorder="1" applyAlignment="1">
      <alignment vertical="top"/>
    </xf>
    <xf numFmtId="10" fontId="22" fillId="0" borderId="64" xfId="1" applyNumberFormat="1" applyFont="1" applyFill="1" applyBorder="1" applyAlignment="1">
      <alignment horizontal="right" vertical="top"/>
    </xf>
    <xf numFmtId="49" fontId="25" fillId="3" borderId="26" xfId="1" applyNumberFormat="1" applyFont="1" applyFill="1" applyBorder="1" applyAlignment="1">
      <alignment vertical="top" wrapText="1"/>
    </xf>
    <xf numFmtId="169" fontId="13" fillId="0" borderId="67" xfId="1" applyNumberFormat="1" applyFont="1" applyBorder="1" applyAlignment="1">
      <alignment horizontal="left" vertical="top"/>
    </xf>
    <xf numFmtId="165" fontId="22" fillId="0" borderId="10" xfId="1" applyNumberFormat="1" applyFont="1" applyBorder="1" applyAlignment="1">
      <alignment horizontal="right" vertical="top"/>
    </xf>
    <xf numFmtId="4" fontId="23" fillId="0" borderId="10" xfId="1" applyNumberFormat="1" applyFont="1" applyBorder="1" applyAlignment="1">
      <alignment vertical="top"/>
    </xf>
    <xf numFmtId="10" fontId="23" fillId="0" borderId="10" xfId="1" applyNumberFormat="1" applyFont="1" applyBorder="1" applyAlignment="1">
      <alignment vertical="top"/>
    </xf>
    <xf numFmtId="4" fontId="23" fillId="0" borderId="9" xfId="1" applyNumberFormat="1" applyFont="1" applyBorder="1" applyAlignment="1">
      <alignment vertical="top"/>
    </xf>
    <xf numFmtId="4" fontId="23" fillId="0" borderId="35" xfId="1" applyNumberFormat="1" applyFont="1" applyBorder="1" applyAlignment="1">
      <alignment vertical="top"/>
    </xf>
    <xf numFmtId="168" fontId="22" fillId="0" borderId="9" xfId="1" applyNumberFormat="1" applyFont="1" applyBorder="1" applyAlignment="1">
      <alignment horizontal="right" vertical="top"/>
    </xf>
    <xf numFmtId="0" fontId="22" fillId="0" borderId="44" xfId="1" applyFont="1" applyBorder="1" applyAlignment="1">
      <alignment horizontal="left" vertical="top" wrapText="1"/>
    </xf>
    <xf numFmtId="168" fontId="22" fillId="0" borderId="39" xfId="1" applyNumberFormat="1" applyFont="1" applyBorder="1" applyAlignment="1">
      <alignment horizontal="right" vertical="top"/>
    </xf>
    <xf numFmtId="168" fontId="13" fillId="0" borderId="57" xfId="1" applyNumberFormat="1" applyFont="1" applyBorder="1" applyAlignment="1">
      <alignment horizontal="right" vertical="top"/>
    </xf>
    <xf numFmtId="172" fontId="13" fillId="3" borderId="13" xfId="1" applyNumberFormat="1" applyFont="1" applyFill="1" applyBorder="1" applyAlignment="1">
      <alignment horizontal="left" vertical="top"/>
    </xf>
    <xf numFmtId="168" fontId="13" fillId="3" borderId="20" xfId="1" applyNumberFormat="1" applyFont="1" applyFill="1" applyBorder="1" applyAlignment="1">
      <alignment horizontal="right" vertical="top"/>
    </xf>
    <xf numFmtId="10" fontId="13" fillId="3" borderId="20" xfId="1" applyNumberFormat="1" applyFont="1" applyFill="1" applyBorder="1" applyAlignment="1">
      <alignment horizontal="right" vertical="top"/>
    </xf>
    <xf numFmtId="49" fontId="19" fillId="3" borderId="73" xfId="1" applyNumberFormat="1" applyFont="1" applyFill="1" applyBorder="1" applyAlignment="1">
      <alignment vertical="top" wrapText="1"/>
    </xf>
    <xf numFmtId="171" fontId="13" fillId="6" borderId="2" xfId="1" applyNumberFormat="1" applyFont="1" applyFill="1" applyBorder="1" applyAlignment="1">
      <alignment horizontal="right" vertical="top"/>
    </xf>
    <xf numFmtId="171" fontId="13" fillId="0" borderId="84" xfId="1" applyNumberFormat="1" applyFont="1" applyBorder="1" applyAlignment="1">
      <alignment horizontal="right" vertical="top"/>
    </xf>
    <xf numFmtId="174" fontId="13" fillId="0" borderId="37" xfId="1" applyNumberFormat="1" applyFont="1" applyBorder="1" applyAlignment="1">
      <alignment horizontal="right" vertical="top"/>
    </xf>
    <xf numFmtId="174" fontId="13" fillId="0" borderId="85" xfId="1" applyNumberFormat="1" applyFont="1" applyBorder="1" applyAlignment="1">
      <alignment horizontal="right" vertical="top"/>
    </xf>
    <xf numFmtId="0" fontId="0" fillId="0" borderId="10" xfId="1" applyFont="1" applyBorder="1"/>
    <xf numFmtId="176" fontId="13" fillId="0" borderId="39" xfId="1" applyNumberFormat="1" applyFont="1" applyBorder="1" applyAlignment="1">
      <alignment horizontal="right" vertical="top"/>
    </xf>
    <xf numFmtId="176" fontId="13" fillId="0" borderId="86" xfId="1" applyNumberFormat="1" applyFont="1" applyBorder="1" applyAlignment="1">
      <alignment horizontal="right" vertical="top"/>
    </xf>
    <xf numFmtId="171" fontId="13" fillId="3" borderId="39" xfId="1" applyNumberFormat="1" applyFont="1" applyFill="1" applyBorder="1" applyAlignment="1">
      <alignment horizontal="right" vertical="top"/>
    </xf>
    <xf numFmtId="49" fontId="19" fillId="3" borderId="26" xfId="1" applyNumberFormat="1" applyFont="1" applyFill="1" applyBorder="1" applyAlignment="1">
      <alignment vertical="top" wrapText="1"/>
    </xf>
    <xf numFmtId="4" fontId="13" fillId="0" borderId="39" xfId="1" applyNumberFormat="1" applyFont="1" applyBorder="1" applyAlignment="1">
      <alignment horizontal="right" vertical="top"/>
    </xf>
    <xf numFmtId="0" fontId="0" fillId="2" borderId="4" xfId="1" applyFont="1" applyFill="1" applyBorder="1"/>
    <xf numFmtId="165" fontId="10" fillId="2" borderId="39" xfId="1" applyNumberFormat="1" applyFont="1" applyFill="1" applyBorder="1" applyAlignment="1">
      <alignment horizontal="right" vertical="top"/>
    </xf>
    <xf numFmtId="0" fontId="0" fillId="0" borderId="18" xfId="1" applyFont="1" applyBorder="1"/>
    <xf numFmtId="168" fontId="13" fillId="0" borderId="7" xfId="1" applyNumberFormat="1" applyFont="1" applyBorder="1" applyAlignment="1">
      <alignment horizontal="right" vertical="top"/>
    </xf>
    <xf numFmtId="4" fontId="13" fillId="6" borderId="33" xfId="1" applyNumberFormat="1" applyFont="1" applyFill="1" applyBorder="1" applyAlignment="1">
      <alignment horizontal="right" vertical="top"/>
    </xf>
    <xf numFmtId="170" fontId="10" fillId="2" borderId="42" xfId="1" applyNumberFormat="1" applyFont="1" applyFill="1" applyBorder="1" applyAlignment="1">
      <alignment horizontal="left" vertical="top"/>
    </xf>
    <xf numFmtId="0" fontId="0" fillId="2" borderId="42" xfId="1" applyFont="1" applyFill="1" applyBorder="1"/>
    <xf numFmtId="165" fontId="10" fillId="2" borderId="24" xfId="1" applyNumberFormat="1" applyFont="1" applyFill="1" applyBorder="1" applyAlignment="1">
      <alignment horizontal="right" vertical="top"/>
    </xf>
    <xf numFmtId="4" fontId="10" fillId="2" borderId="24" xfId="1" applyNumberFormat="1" applyFont="1" applyFill="1" applyBorder="1" applyAlignment="1">
      <alignment horizontal="right" vertical="top"/>
    </xf>
    <xf numFmtId="10" fontId="10" fillId="2" borderId="24" xfId="1" applyNumberFormat="1" applyFont="1" applyFill="1" applyBorder="1" applyAlignment="1">
      <alignment horizontal="right" vertical="top"/>
    </xf>
    <xf numFmtId="4" fontId="10" fillId="2" borderId="70" xfId="1" applyNumberFormat="1" applyFont="1" applyFill="1" applyBorder="1" applyAlignment="1">
      <alignment horizontal="right" vertical="top"/>
    </xf>
    <xf numFmtId="165" fontId="13" fillId="0" borderId="87" xfId="1" applyNumberFormat="1" applyFont="1" applyBorder="1" applyAlignment="1">
      <alignment horizontal="right" vertical="top"/>
    </xf>
    <xf numFmtId="165" fontId="13" fillId="0" borderId="53" xfId="1" applyNumberFormat="1" applyFont="1" applyBorder="1" applyAlignment="1">
      <alignment horizontal="right" vertical="top"/>
    </xf>
    <xf numFmtId="0" fontId="24" fillId="0" borderId="56" xfId="1" applyFont="1" applyBorder="1" applyAlignment="1">
      <alignment horizontal="left" vertical="top" wrapText="1"/>
    </xf>
    <xf numFmtId="165" fontId="24" fillId="0" borderId="56" xfId="1" applyNumberFormat="1" applyFont="1" applyBorder="1" applyAlignment="1">
      <alignment horizontal="right" vertical="top"/>
    </xf>
    <xf numFmtId="165" fontId="24" fillId="0" borderId="33" xfId="1" applyNumberFormat="1" applyFont="1" applyBorder="1" applyAlignment="1">
      <alignment horizontal="right" vertical="top"/>
    </xf>
    <xf numFmtId="0" fontId="1" fillId="0" borderId="9" xfId="1" applyFont="1" applyBorder="1"/>
    <xf numFmtId="0" fontId="24" fillId="0" borderId="39" xfId="1" applyFont="1" applyBorder="1" applyAlignment="1">
      <alignment horizontal="left" vertical="top" wrapText="1"/>
    </xf>
    <xf numFmtId="175" fontId="10" fillId="2" borderId="9" xfId="1" applyNumberFormat="1" applyFont="1" applyFill="1" applyBorder="1" applyAlignment="1">
      <alignment horizontal="right" vertical="top"/>
    </xf>
    <xf numFmtId="0" fontId="11" fillId="3" borderId="23" xfId="1" applyFont="1" applyFill="1" applyBorder="1" applyAlignment="1">
      <alignment horizontal="left" vertical="top"/>
    </xf>
    <xf numFmtId="4" fontId="13" fillId="3" borderId="53" xfId="1" applyNumberFormat="1" applyFont="1" applyFill="1" applyBorder="1" applyAlignment="1">
      <alignment horizontal="right" vertical="top"/>
    </xf>
    <xf numFmtId="4" fontId="13" fillId="3" borderId="72" xfId="1" applyNumberFormat="1" applyFont="1" applyFill="1" applyBorder="1" applyAlignment="1">
      <alignment horizontal="right" vertical="top"/>
    </xf>
    <xf numFmtId="4" fontId="11" fillId="0" borderId="88" xfId="1" applyNumberFormat="1" applyFont="1" applyBorder="1" applyAlignment="1">
      <alignment vertical="top"/>
    </xf>
    <xf numFmtId="4" fontId="13" fillId="0" borderId="37" xfId="1" applyNumberFormat="1" applyFont="1" applyBorder="1" applyAlignment="1">
      <alignment horizontal="right" vertical="top"/>
    </xf>
    <xf numFmtId="172" fontId="13" fillId="3" borderId="34" xfId="1" applyNumberFormat="1" applyFont="1" applyFill="1" applyBorder="1" applyAlignment="1">
      <alignment horizontal="left" vertical="top"/>
    </xf>
    <xf numFmtId="0" fontId="0" fillId="3" borderId="24" xfId="1" applyFont="1" applyFill="1" applyBorder="1"/>
    <xf numFmtId="169" fontId="13" fillId="3" borderId="27" xfId="1" applyNumberFormat="1" applyFont="1" applyFill="1" applyBorder="1" applyAlignment="1">
      <alignment horizontal="left" vertical="top"/>
    </xf>
    <xf numFmtId="0" fontId="13" fillId="3" borderId="30" xfId="1" applyFont="1" applyFill="1" applyBorder="1" applyAlignment="1">
      <alignment horizontal="left" vertical="top" wrapText="1"/>
    </xf>
    <xf numFmtId="168" fontId="13" fillId="3" borderId="24" xfId="1" applyNumberFormat="1" applyFont="1" applyFill="1" applyBorder="1" applyAlignment="1">
      <alignment horizontal="right" vertical="top"/>
    </xf>
    <xf numFmtId="4" fontId="11" fillId="3" borderId="33" xfId="1" applyNumberFormat="1" applyFont="1" applyFill="1" applyBorder="1" applyAlignment="1">
      <alignment vertical="top"/>
    </xf>
    <xf numFmtId="10" fontId="11" fillId="3" borderId="33" xfId="1" applyNumberFormat="1" applyFont="1" applyFill="1" applyBorder="1" applyAlignment="1">
      <alignment vertical="top"/>
    </xf>
    <xf numFmtId="4" fontId="11" fillId="3" borderId="35" xfId="1" applyNumberFormat="1" applyFont="1" applyFill="1" applyBorder="1" applyAlignment="1">
      <alignment vertical="top"/>
    </xf>
    <xf numFmtId="4" fontId="11" fillId="3" borderId="36" xfId="1" applyNumberFormat="1" applyFont="1" applyFill="1" applyBorder="1" applyAlignment="1">
      <alignment vertical="top"/>
    </xf>
    <xf numFmtId="10" fontId="13" fillId="3" borderId="64" xfId="1" applyNumberFormat="1" applyFont="1" applyFill="1" applyBorder="1" applyAlignment="1">
      <alignment horizontal="right" vertical="top"/>
    </xf>
    <xf numFmtId="4" fontId="13" fillId="0" borderId="13" xfId="1" applyNumberFormat="1" applyFont="1" applyBorder="1" applyAlignment="1">
      <alignment horizontal="right" vertical="top"/>
    </xf>
    <xf numFmtId="174" fontId="13" fillId="0" borderId="9" xfId="1" applyNumberFormat="1" applyFont="1" applyBorder="1" applyAlignment="1">
      <alignment horizontal="right" vertical="top"/>
    </xf>
    <xf numFmtId="173" fontId="13" fillId="6" borderId="39" xfId="1" applyNumberFormat="1" applyFont="1" applyFill="1" applyBorder="1" applyAlignment="1">
      <alignment horizontal="right" vertical="top"/>
    </xf>
    <xf numFmtId="0" fontId="13" fillId="3" borderId="9" xfId="1" applyFont="1" applyFill="1" applyBorder="1" applyAlignment="1">
      <alignment horizontal="left" vertical="top" wrapText="1"/>
    </xf>
    <xf numFmtId="173" fontId="13" fillId="3" borderId="19" xfId="1" applyNumberFormat="1" applyFont="1" applyFill="1" applyBorder="1" applyAlignment="1">
      <alignment horizontal="right" vertical="top"/>
    </xf>
    <xf numFmtId="10" fontId="11" fillId="3" borderId="19" xfId="1" applyNumberFormat="1" applyFont="1" applyFill="1" applyBorder="1" applyAlignment="1">
      <alignment vertical="top"/>
    </xf>
    <xf numFmtId="10" fontId="13" fillId="3" borderId="53" xfId="1" applyNumberFormat="1" applyFont="1" applyFill="1" applyBorder="1" applyAlignment="1">
      <alignment horizontal="right" vertical="top"/>
    </xf>
    <xf numFmtId="4" fontId="19" fillId="3" borderId="53" xfId="1" applyNumberFormat="1" applyFont="1" applyFill="1" applyBorder="1" applyAlignment="1">
      <alignment vertical="top" wrapText="1"/>
    </xf>
    <xf numFmtId="0" fontId="11" fillId="3" borderId="53" xfId="1" applyFont="1" applyFill="1" applyBorder="1" applyAlignment="1">
      <alignment horizontal="left" vertical="top"/>
    </xf>
    <xf numFmtId="0" fontId="12" fillId="3" borderId="56" xfId="1" applyFont="1" applyFill="1" applyBorder="1" applyAlignment="1">
      <alignment horizontal="left" vertical="top" wrapText="1"/>
    </xf>
    <xf numFmtId="173" fontId="12" fillId="3" borderId="56" xfId="1" applyNumberFormat="1" applyFont="1" applyFill="1" applyBorder="1" applyAlignment="1">
      <alignment horizontal="right" vertical="top"/>
    </xf>
    <xf numFmtId="10" fontId="11" fillId="3" borderId="56" xfId="1" applyNumberFormat="1" applyFont="1" applyFill="1" applyBorder="1" applyAlignment="1">
      <alignment vertical="top"/>
    </xf>
    <xf numFmtId="0" fontId="24" fillId="3" borderId="56" xfId="1" applyFont="1" applyFill="1" applyBorder="1" applyAlignment="1">
      <alignment horizontal="left" vertical="top" wrapText="1"/>
    </xf>
    <xf numFmtId="173" fontId="24" fillId="3" borderId="56" xfId="1" applyNumberFormat="1" applyFont="1" applyFill="1" applyBorder="1" applyAlignment="1">
      <alignment horizontal="right" vertical="top"/>
    </xf>
    <xf numFmtId="4" fontId="22" fillId="3" borderId="0" xfId="1" applyNumberFormat="1" applyFont="1" applyFill="1" applyBorder="1" applyAlignment="1">
      <alignment horizontal="right" vertical="top"/>
    </xf>
    <xf numFmtId="10" fontId="23" fillId="3" borderId="56" xfId="1" applyNumberFormat="1" applyFont="1" applyFill="1" applyBorder="1" applyAlignment="1">
      <alignment vertical="top"/>
    </xf>
    <xf numFmtId="4" fontId="22" fillId="3" borderId="11" xfId="1" applyNumberFormat="1" applyFont="1" applyFill="1" applyBorder="1" applyAlignment="1">
      <alignment horizontal="right" vertical="top"/>
    </xf>
    <xf numFmtId="10" fontId="22" fillId="3" borderId="53" xfId="1" applyNumberFormat="1" applyFont="1" applyFill="1" applyBorder="1" applyAlignment="1">
      <alignment horizontal="right" vertical="top"/>
    </xf>
    <xf numFmtId="4" fontId="26" fillId="3" borderId="53" xfId="1" applyNumberFormat="1" applyFont="1" applyFill="1" applyBorder="1" applyAlignment="1">
      <alignment vertical="top" wrapText="1"/>
    </xf>
    <xf numFmtId="0" fontId="11" fillId="3" borderId="38" xfId="1" applyFont="1" applyFill="1" applyBorder="1" applyAlignment="1">
      <alignment horizontal="left" vertical="top"/>
    </xf>
    <xf numFmtId="0" fontId="24" fillId="3" borderId="33" xfId="1" applyFont="1" applyFill="1" applyBorder="1" applyAlignment="1">
      <alignment horizontal="left" vertical="top" wrapText="1"/>
    </xf>
    <xf numFmtId="173" fontId="22" fillId="3" borderId="33" xfId="1" applyNumberFormat="1" applyFont="1" applyFill="1" applyBorder="1" applyAlignment="1">
      <alignment horizontal="right" vertical="top"/>
    </xf>
    <xf numFmtId="4" fontId="22" fillId="3" borderId="38" xfId="1" applyNumberFormat="1" applyFont="1" applyFill="1" applyBorder="1" applyAlignment="1">
      <alignment horizontal="right" vertical="top"/>
    </xf>
    <xf numFmtId="4" fontId="22" fillId="3" borderId="36" xfId="1" applyNumberFormat="1" applyFont="1" applyFill="1" applyBorder="1" applyAlignment="1">
      <alignment horizontal="right" vertical="top"/>
    </xf>
    <xf numFmtId="4" fontId="26" fillId="3" borderId="26" xfId="1" applyNumberFormat="1" applyFont="1" applyFill="1" applyBorder="1" applyAlignment="1">
      <alignment vertical="top" wrapText="1"/>
    </xf>
    <xf numFmtId="169" fontId="13" fillId="0" borderId="66" xfId="1" applyNumberFormat="1" applyFont="1" applyBorder="1" applyAlignment="1">
      <alignment horizontal="left" vertical="top"/>
    </xf>
    <xf numFmtId="165" fontId="13" fillId="0" borderId="65" xfId="1" applyNumberFormat="1" applyFont="1" applyBorder="1" applyAlignment="1">
      <alignment horizontal="right" vertical="top"/>
    </xf>
    <xf numFmtId="10" fontId="13" fillId="0" borderId="22" xfId="1" applyNumberFormat="1" applyFont="1" applyFill="1" applyBorder="1" applyAlignment="1">
      <alignment horizontal="right" vertical="top"/>
    </xf>
    <xf numFmtId="49" fontId="22" fillId="0" borderId="10" xfId="1" applyNumberFormat="1" applyFont="1" applyBorder="1" applyAlignment="1">
      <alignment horizontal="left" vertical="top" wrapText="1"/>
    </xf>
    <xf numFmtId="10" fontId="13" fillId="0" borderId="60" xfId="1" applyNumberFormat="1" applyFont="1" applyFill="1" applyBorder="1" applyAlignment="1">
      <alignment horizontal="right" vertical="top"/>
    </xf>
    <xf numFmtId="174" fontId="13" fillId="0" borderId="20" xfId="1" applyNumberFormat="1" applyFont="1" applyBorder="1" applyAlignment="1">
      <alignment horizontal="right" vertical="top"/>
    </xf>
    <xf numFmtId="10" fontId="11" fillId="6" borderId="33" xfId="1" applyNumberFormat="1" applyFont="1" applyFill="1" applyBorder="1" applyAlignment="1">
      <alignment vertical="top"/>
    </xf>
    <xf numFmtId="173" fontId="13" fillId="0" borderId="24" xfId="1" applyNumberFormat="1" applyFont="1" applyBorder="1" applyAlignment="1">
      <alignment horizontal="right" vertical="top"/>
    </xf>
    <xf numFmtId="172" fontId="13" fillId="6" borderId="5" xfId="1" applyNumberFormat="1" applyFont="1" applyFill="1" applyBorder="1" applyAlignment="1">
      <alignment horizontal="left" vertical="top"/>
    </xf>
    <xf numFmtId="0" fontId="0" fillId="3" borderId="54" xfId="1" applyFont="1" applyFill="1" applyBorder="1"/>
    <xf numFmtId="4" fontId="13" fillId="3" borderId="88" xfId="1" applyNumberFormat="1" applyFont="1" applyFill="1" applyBorder="1" applyAlignment="1">
      <alignment horizontal="right" vertical="top"/>
    </xf>
    <xf numFmtId="4" fontId="13" fillId="3" borderId="49" xfId="1" applyNumberFormat="1" applyFont="1" applyFill="1" applyBorder="1" applyAlignment="1">
      <alignment horizontal="right" vertical="top"/>
    </xf>
    <xf numFmtId="10" fontId="13" fillId="3" borderId="55" xfId="1" applyNumberFormat="1" applyFont="1" applyFill="1" applyBorder="1" applyAlignment="1">
      <alignment horizontal="right" vertical="top"/>
    </xf>
    <xf numFmtId="4" fontId="13" fillId="3" borderId="79" xfId="1" applyNumberFormat="1" applyFont="1" applyFill="1" applyBorder="1" applyAlignment="1">
      <alignment horizontal="right" vertical="top"/>
    </xf>
    <xf numFmtId="172" fontId="13" fillId="3" borderId="56" xfId="1" applyNumberFormat="1" applyFont="1" applyFill="1" applyBorder="1" applyAlignment="1">
      <alignment horizontal="left" vertical="top"/>
    </xf>
    <xf numFmtId="0" fontId="0" fillId="3" borderId="47" xfId="1" applyFont="1" applyFill="1" applyBorder="1"/>
    <xf numFmtId="0" fontId="0" fillId="3" borderId="0" xfId="0" applyFill="1"/>
    <xf numFmtId="170" fontId="10" fillId="2" borderId="37" xfId="1" applyNumberFormat="1" applyFont="1" applyFill="1" applyBorder="1" applyAlignment="1">
      <alignment horizontal="left" vertical="top"/>
    </xf>
    <xf numFmtId="173" fontId="10" fillId="2" borderId="37" xfId="1" applyNumberFormat="1" applyFont="1" applyFill="1" applyBorder="1" applyAlignment="1">
      <alignment horizontal="right" vertical="top"/>
    </xf>
    <xf numFmtId="4" fontId="10" fillId="2" borderId="5" xfId="1" applyNumberFormat="1" applyFont="1" applyFill="1" applyBorder="1" applyAlignment="1">
      <alignment horizontal="right" vertical="top"/>
    </xf>
    <xf numFmtId="174" fontId="13" fillId="0" borderId="24" xfId="1" applyNumberFormat="1" applyFont="1" applyBorder="1" applyAlignment="1">
      <alignment horizontal="right" vertical="top"/>
    </xf>
    <xf numFmtId="172" fontId="13" fillId="6" borderId="34" xfId="1" applyNumberFormat="1" applyFont="1" applyFill="1" applyBorder="1" applyAlignment="1">
      <alignment horizontal="left" vertical="top"/>
    </xf>
    <xf numFmtId="173" fontId="13" fillId="6" borderId="29" xfId="1" applyNumberFormat="1" applyFont="1" applyFill="1" applyBorder="1" applyAlignment="1">
      <alignment horizontal="right" vertical="top"/>
    </xf>
    <xf numFmtId="173" fontId="13" fillId="6" borderId="19" xfId="1" applyNumberFormat="1" applyFont="1" applyFill="1" applyBorder="1" applyAlignment="1">
      <alignment horizontal="right" vertical="top"/>
    </xf>
    <xf numFmtId="0" fontId="0" fillId="3" borderId="1" xfId="1" applyFont="1" applyFill="1" applyBorder="1"/>
    <xf numFmtId="0" fontId="11" fillId="3" borderId="7" xfId="1" applyFont="1" applyFill="1" applyBorder="1" applyAlignment="1">
      <alignment horizontal="left" vertical="top"/>
    </xf>
    <xf numFmtId="10" fontId="13" fillId="3" borderId="33" xfId="1" applyNumberFormat="1" applyFont="1" applyFill="1" applyBorder="1" applyAlignment="1">
      <alignment horizontal="right" vertical="top"/>
    </xf>
    <xf numFmtId="173" fontId="13" fillId="3" borderId="1" xfId="1" applyNumberFormat="1" applyFont="1" applyFill="1" applyBorder="1" applyAlignment="1">
      <alignment horizontal="right" vertical="top"/>
    </xf>
    <xf numFmtId="173" fontId="13" fillId="3" borderId="6" xfId="1" applyNumberFormat="1" applyFont="1" applyFill="1" applyBorder="1" applyAlignment="1">
      <alignment horizontal="right" vertical="top"/>
    </xf>
    <xf numFmtId="172" fontId="13" fillId="3" borderId="10" xfId="1" applyNumberFormat="1" applyFont="1" applyFill="1" applyBorder="1" applyAlignment="1">
      <alignment horizontal="left" vertical="top"/>
    </xf>
    <xf numFmtId="0" fontId="11" fillId="3" borderId="0" xfId="1" applyFont="1" applyFill="1" applyBorder="1" applyAlignment="1">
      <alignment horizontal="left"/>
    </xf>
    <xf numFmtId="173" fontId="13" fillId="3" borderId="9" xfId="1" applyNumberFormat="1" applyFont="1" applyFill="1" applyBorder="1" applyAlignment="1">
      <alignment horizontal="right" vertical="top"/>
    </xf>
    <xf numFmtId="4" fontId="13" fillId="3" borderId="9" xfId="1" applyNumberFormat="1" applyFont="1" applyFill="1" applyBorder="1" applyAlignment="1">
      <alignment horizontal="right" vertical="top"/>
    </xf>
    <xf numFmtId="4" fontId="13" fillId="3" borderId="19" xfId="1" applyNumberFormat="1" applyFont="1" applyFill="1" applyBorder="1" applyAlignment="1">
      <alignment horizontal="right" vertical="top"/>
    </xf>
    <xf numFmtId="0" fontId="11" fillId="3" borderId="23" xfId="1" applyFont="1" applyFill="1" applyBorder="1" applyAlignment="1">
      <alignment horizontal="left"/>
    </xf>
    <xf numFmtId="0" fontId="11" fillId="3" borderId="38" xfId="1" applyFont="1" applyFill="1" applyBorder="1" applyAlignment="1">
      <alignment horizontal="left"/>
    </xf>
    <xf numFmtId="173" fontId="13" fillId="3" borderId="39" xfId="1" applyNumberFormat="1" applyFont="1" applyFill="1" applyBorder="1" applyAlignment="1">
      <alignment horizontal="right" vertical="top"/>
    </xf>
    <xf numFmtId="4" fontId="13" fillId="3" borderId="39" xfId="1" applyNumberFormat="1" applyFont="1" applyFill="1" applyBorder="1" applyAlignment="1">
      <alignment horizontal="right" vertical="top"/>
    </xf>
    <xf numFmtId="172" fontId="13" fillId="3" borderId="44" xfId="1" applyNumberFormat="1" applyFont="1" applyFill="1" applyBorder="1" applyAlignment="1">
      <alignment horizontal="left" vertical="top"/>
    </xf>
    <xf numFmtId="172" fontId="13" fillId="6" borderId="44" xfId="1" applyNumberFormat="1" applyFont="1" applyFill="1" applyBorder="1" applyAlignment="1">
      <alignment horizontal="left" vertical="top"/>
    </xf>
    <xf numFmtId="171" fontId="13" fillId="0" borderId="91" xfId="1" applyNumberFormat="1" applyFont="1" applyBorder="1" applyAlignment="1">
      <alignment horizontal="right" vertical="top"/>
    </xf>
    <xf numFmtId="168" fontId="13" fillId="6" borderId="9" xfId="1" applyNumberFormat="1" applyFont="1" applyFill="1" applyBorder="1" applyAlignment="1">
      <alignment horizontal="right" vertical="top"/>
    </xf>
    <xf numFmtId="0" fontId="0" fillId="3" borderId="37" xfId="1" applyFont="1" applyFill="1" applyBorder="1"/>
    <xf numFmtId="0" fontId="13" fillId="0" borderId="58" xfId="1" applyFont="1" applyBorder="1" applyAlignment="1">
      <alignment horizontal="left" vertical="top" wrapText="1"/>
    </xf>
    <xf numFmtId="171" fontId="13" fillId="0" borderId="57" xfId="1" applyNumberFormat="1" applyFont="1" applyBorder="1" applyAlignment="1">
      <alignment horizontal="right" vertical="top"/>
    </xf>
    <xf numFmtId="0" fontId="1" fillId="6" borderId="2" xfId="1" applyFont="1" applyFill="1" applyBorder="1"/>
    <xf numFmtId="4" fontId="13" fillId="0" borderId="24" xfId="1" applyNumberFormat="1" applyFont="1" applyBorder="1" applyAlignment="1">
      <alignment horizontal="right" vertical="top"/>
    </xf>
    <xf numFmtId="4" fontId="13" fillId="0" borderId="9" xfId="1" applyNumberFormat="1" applyFont="1" applyFill="1" applyBorder="1" applyAlignment="1">
      <alignment horizontal="right" vertical="top"/>
    </xf>
    <xf numFmtId="175" fontId="10" fillId="2" borderId="20" xfId="1" applyNumberFormat="1" applyFont="1" applyFill="1" applyBorder="1" applyAlignment="1">
      <alignment horizontal="right" vertical="top"/>
    </xf>
    <xf numFmtId="175" fontId="13" fillId="6" borderId="37" xfId="1" applyNumberFormat="1" applyFont="1" applyFill="1" applyBorder="1" applyAlignment="1">
      <alignment horizontal="right" vertical="top"/>
    </xf>
    <xf numFmtId="175" fontId="13" fillId="3" borderId="5" xfId="1" applyNumberFormat="1" applyFont="1" applyFill="1" applyBorder="1" applyAlignment="1">
      <alignment horizontal="right" vertical="top"/>
    </xf>
    <xf numFmtId="10" fontId="11" fillId="6" borderId="3" xfId="1" applyNumberFormat="1" applyFont="1" applyFill="1" applyBorder="1" applyAlignment="1">
      <alignment vertical="top"/>
    </xf>
    <xf numFmtId="165" fontId="13" fillId="0" borderId="58" xfId="1" applyNumberFormat="1" applyFont="1" applyBorder="1" applyAlignment="1">
      <alignment horizontal="right" vertical="top"/>
    </xf>
    <xf numFmtId="0" fontId="11" fillId="3" borderId="51" xfId="1" applyFont="1" applyFill="1" applyBorder="1" applyAlignment="1">
      <alignment horizontal="left"/>
    </xf>
    <xf numFmtId="0" fontId="0" fillId="3" borderId="20" xfId="1" applyFont="1" applyFill="1" applyBorder="1" applyAlignment="1">
      <alignment horizontal="left"/>
    </xf>
    <xf numFmtId="0" fontId="11" fillId="3" borderId="32" xfId="1" applyFont="1" applyFill="1" applyBorder="1" applyAlignment="1">
      <alignment horizontal="left"/>
    </xf>
    <xf numFmtId="0" fontId="11" fillId="3" borderId="80" xfId="1" applyFont="1" applyFill="1" applyBorder="1" applyAlignment="1">
      <alignment horizontal="left"/>
    </xf>
    <xf numFmtId="0" fontId="0" fillId="6" borderId="1" xfId="1" applyFont="1" applyFill="1" applyBorder="1"/>
    <xf numFmtId="169" fontId="13" fillId="6" borderId="7" xfId="1" applyNumberFormat="1" applyFont="1" applyFill="1" applyBorder="1" applyAlignment="1">
      <alignment horizontal="left" vertical="top"/>
    </xf>
    <xf numFmtId="0" fontId="0" fillId="0" borderId="65" xfId="1" applyFont="1" applyBorder="1"/>
    <xf numFmtId="4" fontId="11" fillId="0" borderId="66" xfId="1" applyNumberFormat="1" applyFont="1" applyBorder="1" applyAlignment="1">
      <alignment vertical="top"/>
    </xf>
    <xf numFmtId="4" fontId="11" fillId="0" borderId="62" xfId="1" applyNumberFormat="1" applyFont="1" applyBorder="1" applyAlignment="1">
      <alignment vertical="top"/>
    </xf>
    <xf numFmtId="0" fontId="0" fillId="3" borderId="2" xfId="1" applyFont="1" applyFill="1" applyBorder="1" applyAlignment="1">
      <alignment horizontal="left"/>
    </xf>
    <xf numFmtId="49" fontId="27" fillId="3" borderId="53" xfId="1" applyNumberFormat="1" applyFont="1" applyFill="1" applyBorder="1" applyAlignment="1">
      <alignment vertical="top" wrapText="1"/>
    </xf>
    <xf numFmtId="175" fontId="10" fillId="0" borderId="95" xfId="1" applyNumberFormat="1" applyFont="1" applyBorder="1" applyAlignment="1">
      <alignment horizontal="right" vertical="center"/>
    </xf>
    <xf numFmtId="0" fontId="15" fillId="0" borderId="97" xfId="1" applyFont="1" applyBorder="1" applyAlignment="1">
      <alignment horizontal="right" vertical="center" wrapText="1"/>
    </xf>
    <xf numFmtId="0" fontId="15" fillId="0" borderId="98" xfId="1" applyFont="1" applyBorder="1" applyAlignment="1">
      <alignment horizontal="right" vertical="center" wrapText="1"/>
    </xf>
    <xf numFmtId="175" fontId="15" fillId="0" borderId="98" xfId="1" applyNumberFormat="1" applyFont="1" applyBorder="1" applyAlignment="1">
      <alignment horizontal="right" vertical="center"/>
    </xf>
    <xf numFmtId="10" fontId="15" fillId="0" borderId="98" xfId="1" applyNumberFormat="1" applyFont="1" applyBorder="1" applyAlignment="1">
      <alignment horizontal="right" vertical="center"/>
    </xf>
    <xf numFmtId="10" fontId="28" fillId="0" borderId="99" xfId="1" applyNumberFormat="1" applyFont="1" applyBorder="1" applyAlignment="1">
      <alignment horizontal="right" vertical="center"/>
    </xf>
    <xf numFmtId="49" fontId="20" fillId="3" borderId="99" xfId="1" applyNumberFormat="1" applyFont="1" applyFill="1" applyBorder="1" applyAlignment="1">
      <alignment vertical="top" wrapText="1"/>
    </xf>
    <xf numFmtId="175" fontId="11" fillId="0" borderId="56" xfId="0" applyNumberFormat="1" applyFont="1" applyBorder="1"/>
    <xf numFmtId="175" fontId="12" fillId="0" borderId="5" xfId="1" applyNumberFormat="1" applyFont="1" applyBorder="1" applyAlignment="1">
      <alignment horizontal="right" vertical="center"/>
    </xf>
    <xf numFmtId="175" fontId="24" fillId="0" borderId="5" xfId="1" applyNumberFormat="1" applyFont="1" applyBorder="1" applyAlignment="1">
      <alignment horizontal="right" vertical="center"/>
    </xf>
    <xf numFmtId="4" fontId="16" fillId="0" borderId="5" xfId="1" applyNumberFormat="1" applyFont="1" applyBorder="1"/>
    <xf numFmtId="4" fontId="23" fillId="0" borderId="5" xfId="1" applyNumberFormat="1" applyFont="1" applyBorder="1"/>
    <xf numFmtId="10" fontId="0" fillId="0" borderId="0" xfId="1" applyNumberFormat="1" applyFont="1" applyAlignment="1">
      <alignment vertical="top"/>
    </xf>
    <xf numFmtId="0" fontId="11" fillId="0" borderId="0" xfId="0" applyFont="1"/>
    <xf numFmtId="0" fontId="1" fillId="0" borderId="0" xfId="4"/>
    <xf numFmtId="0" fontId="3" fillId="0" borderId="0" xfId="4" applyFont="1" applyBorder="1" applyAlignment="1">
      <alignment horizontal="left" vertical="center"/>
    </xf>
    <xf numFmtId="0" fontId="31" fillId="0" borderId="0" xfId="3" applyNumberFormat="1" applyFont="1" applyFill="1" applyBorder="1" applyAlignment="1" applyProtection="1">
      <alignment vertical="center" wrapText="1"/>
      <protection locked="0"/>
    </xf>
    <xf numFmtId="0" fontId="3" fillId="0" borderId="100" xfId="4" applyFont="1" applyBorder="1" applyAlignment="1">
      <alignment horizontal="left" vertical="center"/>
    </xf>
    <xf numFmtId="0" fontId="31" fillId="0" borderId="100" xfId="3" applyNumberFormat="1" applyFont="1" applyFill="1" applyBorder="1" applyAlignment="1" applyProtection="1">
      <alignment vertical="center" wrapText="1"/>
      <protection locked="0"/>
    </xf>
    <xf numFmtId="0" fontId="1" fillId="0" borderId="100" xfId="4" applyBorder="1" applyAlignment="1"/>
    <xf numFmtId="0" fontId="1" fillId="0" borderId="0" xfId="4" applyBorder="1"/>
    <xf numFmtId="0" fontId="1" fillId="0" borderId="111" xfId="4" applyFont="1" applyBorder="1" applyAlignment="1">
      <alignment vertical="top"/>
    </xf>
    <xf numFmtId="4" fontId="11" fillId="0" borderId="102" xfId="4" applyNumberFormat="1" applyFont="1" applyBorder="1" applyAlignment="1">
      <alignment vertical="top" wrapText="1"/>
    </xf>
    <xf numFmtId="2" fontId="11" fillId="0" borderId="102" xfId="4" applyNumberFormat="1" applyFont="1" applyBorder="1" applyAlignment="1">
      <alignment vertical="top" wrapText="1"/>
    </xf>
    <xf numFmtId="4" fontId="11" fillId="0" borderId="112" xfId="4" applyNumberFormat="1" applyFont="1" applyBorder="1" applyAlignment="1">
      <alignment vertical="top" wrapText="1"/>
    </xf>
    <xf numFmtId="0" fontId="1" fillId="0" borderId="113" xfId="4" applyFont="1" applyBorder="1" applyAlignment="1">
      <alignment vertical="top"/>
    </xf>
    <xf numFmtId="0" fontId="1" fillId="0" borderId="114" xfId="4" applyFont="1" applyBorder="1" applyAlignment="1">
      <alignment vertical="top"/>
    </xf>
    <xf numFmtId="0" fontId="1" fillId="0" borderId="115" xfId="4" applyFont="1" applyBorder="1" applyAlignment="1">
      <alignment horizontal="right"/>
    </xf>
    <xf numFmtId="0" fontId="1" fillId="0" borderId="115" xfId="4" applyFont="1" applyBorder="1"/>
    <xf numFmtId="4" fontId="32" fillId="0" borderId="117" xfId="4" applyNumberFormat="1" applyFont="1" applyBorder="1"/>
    <xf numFmtId="3" fontId="32" fillId="0" borderId="118" xfId="4" applyNumberFormat="1" applyFont="1" applyBorder="1"/>
    <xf numFmtId="4" fontId="32" fillId="0" borderId="119" xfId="4" applyNumberFormat="1" applyFont="1" applyBorder="1"/>
    <xf numFmtId="3" fontId="33" fillId="0" borderId="120" xfId="4" applyNumberFormat="1" applyFont="1" applyBorder="1"/>
    <xf numFmtId="4" fontId="33" fillId="0" borderId="116" xfId="4" applyNumberFormat="1" applyFont="1" applyBorder="1"/>
    <xf numFmtId="4" fontId="33" fillId="0" borderId="121" xfId="4" applyNumberFormat="1" applyFont="1" applyBorder="1"/>
    <xf numFmtId="4" fontId="33" fillId="0" borderId="122" xfId="4" applyNumberFormat="1" applyFont="1" applyBorder="1"/>
    <xf numFmtId="4" fontId="33" fillId="0" borderId="123" xfId="4" applyNumberFormat="1" applyFont="1" applyBorder="1"/>
    <xf numFmtId="4" fontId="33" fillId="0" borderId="124" xfId="4" applyNumberFormat="1" applyFont="1" applyBorder="1"/>
    <xf numFmtId="4" fontId="32" fillId="0" borderId="125" xfId="4" applyNumberFormat="1" applyFont="1" applyBorder="1"/>
    <xf numFmtId="4" fontId="32" fillId="0" borderId="126" xfId="4" applyNumberFormat="1" applyFont="1" applyBorder="1"/>
    <xf numFmtId="0" fontId="1" fillId="0" borderId="68" xfId="4" applyBorder="1"/>
    <xf numFmtId="0" fontId="1" fillId="0" borderId="127" xfId="4" applyBorder="1"/>
    <xf numFmtId="0" fontId="1" fillId="0" borderId="128" xfId="4" applyBorder="1" applyAlignment="1">
      <alignment horizontal="right"/>
    </xf>
    <xf numFmtId="0" fontId="1" fillId="0" borderId="128" xfId="4" applyFont="1" applyBorder="1"/>
    <xf numFmtId="10" fontId="32" fillId="0" borderId="129" xfId="4" applyNumberFormat="1" applyFont="1" applyBorder="1"/>
    <xf numFmtId="3" fontId="32" fillId="0" borderId="130" xfId="4" applyNumberFormat="1" applyFont="1" applyBorder="1"/>
    <xf numFmtId="4" fontId="32" fillId="0" borderId="131" xfId="4" applyNumberFormat="1" applyFont="1" applyBorder="1"/>
    <xf numFmtId="4" fontId="32" fillId="0" borderId="129" xfId="4" applyNumberFormat="1" applyFont="1" applyBorder="1"/>
    <xf numFmtId="2" fontId="32" fillId="0" borderId="129" xfId="4" applyNumberFormat="1" applyFont="1" applyBorder="1"/>
    <xf numFmtId="3" fontId="32" fillId="0" borderId="126" xfId="4" applyNumberFormat="1" applyFont="1" applyBorder="1"/>
    <xf numFmtId="3" fontId="32" fillId="0" borderId="67" xfId="4" applyNumberFormat="1" applyFont="1" applyBorder="1"/>
    <xf numFmtId="3" fontId="32" fillId="0" borderId="125" xfId="4" applyNumberFormat="1" applyFont="1" applyBorder="1"/>
    <xf numFmtId="3" fontId="1" fillId="0" borderId="0" xfId="1" applyNumberFormat="1"/>
    <xf numFmtId="4" fontId="32" fillId="0" borderId="130" xfId="4" applyNumberFormat="1" applyFont="1" applyBorder="1"/>
    <xf numFmtId="4" fontId="32" fillId="0" borderId="133" xfId="4" applyNumberFormat="1" applyFont="1" applyBorder="1"/>
    <xf numFmtId="4" fontId="32" fillId="0" borderId="134" xfId="4" applyNumberFormat="1" applyFont="1" applyBorder="1"/>
    <xf numFmtId="4" fontId="32" fillId="0" borderId="50" xfId="4" applyNumberFormat="1" applyFont="1" applyBorder="1"/>
    <xf numFmtId="4" fontId="32" fillId="0" borderId="135" xfId="4" applyNumberFormat="1" applyFont="1" applyBorder="1"/>
    <xf numFmtId="0" fontId="1" fillId="0" borderId="76" xfId="4" applyBorder="1"/>
    <xf numFmtId="0" fontId="1" fillId="0" borderId="136" xfId="4" applyBorder="1"/>
    <xf numFmtId="3" fontId="32" fillId="0" borderId="117" xfId="4" applyNumberFormat="1" applyFont="1" applyBorder="1"/>
    <xf numFmtId="3" fontId="32" fillId="0" borderId="121" xfId="4" applyNumberFormat="1" applyFont="1" applyBorder="1"/>
    <xf numFmtId="3" fontId="32" fillId="0" borderId="122" xfId="4" applyNumberFormat="1" applyFont="1" applyBorder="1"/>
    <xf numFmtId="2" fontId="32" fillId="0" borderId="122" xfId="4" applyNumberFormat="1" applyFont="1" applyBorder="1"/>
    <xf numFmtId="2" fontId="32" fillId="0" borderId="124" xfId="4" applyNumberFormat="1" applyFont="1" applyBorder="1"/>
    <xf numFmtId="0" fontId="1" fillId="0" borderId="74" xfId="4" applyBorder="1"/>
    <xf numFmtId="0" fontId="1" fillId="0" borderId="137" xfId="4" applyBorder="1"/>
    <xf numFmtId="3" fontId="32" fillId="0" borderId="133" xfId="4" applyNumberFormat="1" applyFont="1" applyBorder="1"/>
    <xf numFmtId="2" fontId="32" fillId="0" borderId="134" xfId="4" applyNumberFormat="1" applyFont="1" applyBorder="1"/>
    <xf numFmtId="3" fontId="32" fillId="0" borderId="50" xfId="4" applyNumberFormat="1" applyFont="1" applyBorder="1"/>
    <xf numFmtId="3" fontId="32" fillId="0" borderId="134" xfId="4" applyNumberFormat="1" applyFont="1" applyBorder="1"/>
    <xf numFmtId="3" fontId="32" fillId="0" borderId="135" xfId="4" applyNumberFormat="1" applyFont="1" applyBorder="1"/>
    <xf numFmtId="4" fontId="32" fillId="0" borderId="118" xfId="4" applyNumberFormat="1" applyFont="1" applyBorder="1"/>
    <xf numFmtId="0" fontId="32" fillId="0" borderId="121" xfId="4" applyFont="1" applyBorder="1"/>
    <xf numFmtId="2" fontId="32" fillId="0" borderId="123" xfId="4" applyNumberFormat="1" applyFont="1" applyBorder="1"/>
    <xf numFmtId="0" fontId="32" fillId="0" borderId="130" xfId="4" applyFont="1" applyBorder="1"/>
    <xf numFmtId="2" fontId="32" fillId="0" borderId="126" xfId="4" applyNumberFormat="1" applyFont="1" applyBorder="1"/>
    <xf numFmtId="2" fontId="32" fillId="0" borderId="67" xfId="4" applyNumberFormat="1" applyFont="1" applyBorder="1"/>
    <xf numFmtId="2" fontId="32" fillId="0" borderId="125" xfId="4" applyNumberFormat="1" applyFont="1" applyBorder="1"/>
    <xf numFmtId="0" fontId="32" fillId="0" borderId="133" xfId="4" applyFont="1" applyBorder="1"/>
    <xf numFmtId="2" fontId="32" fillId="0" borderId="50" xfId="4" applyNumberFormat="1" applyFont="1" applyBorder="1"/>
    <xf numFmtId="2" fontId="32" fillId="0" borderId="135" xfId="4" applyNumberFormat="1" applyFont="1" applyBorder="1"/>
    <xf numFmtId="4" fontId="32" fillId="0" borderId="122" xfId="4" applyNumberFormat="1" applyFont="1" applyBorder="1"/>
    <xf numFmtId="3" fontId="32" fillId="0" borderId="123" xfId="4" applyNumberFormat="1" applyFont="1" applyBorder="1"/>
    <xf numFmtId="3" fontId="32" fillId="0" borderId="124" xfId="4" applyNumberFormat="1" applyFont="1" applyBorder="1"/>
    <xf numFmtId="4" fontId="32" fillId="0" borderId="124" xfId="4" applyNumberFormat="1" applyFont="1" applyBorder="1"/>
    <xf numFmtId="0" fontId="2" fillId="0" borderId="103" xfId="4" applyFont="1" applyBorder="1"/>
    <xf numFmtId="4" fontId="34" fillId="0" borderId="116" xfId="4" applyNumberFormat="1" applyFont="1" applyBorder="1"/>
    <xf numFmtId="3" fontId="34" fillId="0" borderId="120" xfId="4" applyNumberFormat="1" applyFont="1" applyBorder="1"/>
    <xf numFmtId="4" fontId="34" fillId="0" borderId="138" xfId="4" applyNumberFormat="1" applyFont="1" applyBorder="1"/>
    <xf numFmtId="4" fontId="34" fillId="0" borderId="121" xfId="4" applyNumberFormat="1" applyFont="1" applyBorder="1"/>
    <xf numFmtId="4" fontId="34" fillId="0" borderId="122" xfId="4" applyNumberFormat="1" applyFont="1" applyBorder="1"/>
    <xf numFmtId="4" fontId="34" fillId="0" borderId="123" xfId="4" applyNumberFormat="1" applyFont="1" applyBorder="1"/>
    <xf numFmtId="4" fontId="34" fillId="0" borderId="124" xfId="4" applyNumberFormat="1" applyFont="1" applyBorder="1"/>
    <xf numFmtId="0" fontId="2" fillId="0" borderId="128" xfId="4" applyFont="1" applyBorder="1"/>
    <xf numFmtId="4" fontId="34" fillId="0" borderId="129" xfId="4" applyNumberFormat="1" applyFont="1" applyBorder="1"/>
    <xf numFmtId="3" fontId="34" fillId="0" borderId="130" xfId="4" applyNumberFormat="1" applyFont="1" applyBorder="1"/>
    <xf numFmtId="4" fontId="34" fillId="0" borderId="131" xfId="4" applyNumberFormat="1" applyFont="1" applyBorder="1"/>
    <xf numFmtId="4" fontId="34" fillId="0" borderId="130" xfId="4" applyNumberFormat="1" applyFont="1" applyBorder="1"/>
    <xf numFmtId="0" fontId="34" fillId="0" borderId="126" xfId="4" applyFont="1" applyBorder="1"/>
    <xf numFmtId="4" fontId="34" fillId="0" borderId="67" xfId="4" applyNumberFormat="1" applyFont="1" applyBorder="1"/>
    <xf numFmtId="4" fontId="34" fillId="0" borderId="125" xfId="4" applyNumberFormat="1" applyFont="1" applyBorder="1"/>
    <xf numFmtId="0" fontId="2" fillId="0" borderId="110" xfId="4" applyFont="1" applyBorder="1"/>
    <xf numFmtId="4" fontId="34" fillId="0" borderId="139" xfId="4" applyNumberFormat="1" applyFont="1" applyBorder="1"/>
    <xf numFmtId="3" fontId="34" fillId="0" borderId="140" xfId="4" applyNumberFormat="1" applyFont="1" applyBorder="1"/>
    <xf numFmtId="4" fontId="34" fillId="0" borderId="141" xfId="4" applyNumberFormat="1" applyFont="1" applyBorder="1"/>
    <xf numFmtId="4" fontId="34" fillId="0" borderId="126" xfId="4" applyNumberFormat="1" applyFont="1" applyBorder="1"/>
    <xf numFmtId="0" fontId="16" fillId="0" borderId="103" xfId="4" applyFont="1" applyBorder="1"/>
    <xf numFmtId="4" fontId="33" fillId="0" borderId="138" xfId="4" applyNumberFormat="1" applyFont="1" applyBorder="1"/>
    <xf numFmtId="4" fontId="33" fillId="0" borderId="120" xfId="4" applyNumberFormat="1" applyFont="1" applyBorder="1"/>
    <xf numFmtId="4" fontId="33" fillId="0" borderId="142" xfId="4" applyNumberFormat="1" applyFont="1" applyBorder="1"/>
    <xf numFmtId="4" fontId="33" fillId="0" borderId="143" xfId="4" applyNumberFormat="1" applyFont="1" applyBorder="1"/>
    <xf numFmtId="4" fontId="33" fillId="0" borderId="144" xfId="4" applyNumberFormat="1" applyFont="1" applyBorder="1"/>
    <xf numFmtId="4" fontId="33" fillId="0" borderId="145" xfId="4" applyNumberFormat="1" applyFont="1" applyBorder="1"/>
    <xf numFmtId="4" fontId="32" fillId="0" borderId="146" xfId="4" applyNumberFormat="1" applyFont="1" applyBorder="1"/>
    <xf numFmtId="0" fontId="16" fillId="0" borderId="128" xfId="4" applyFont="1" applyBorder="1"/>
    <xf numFmtId="10" fontId="33" fillId="0" borderId="129" xfId="4" applyNumberFormat="1" applyFont="1" applyBorder="1"/>
    <xf numFmtId="3" fontId="33" fillId="0" borderId="130" xfId="4" applyNumberFormat="1" applyFont="1" applyBorder="1"/>
    <xf numFmtId="4" fontId="33" fillId="0" borderId="131" xfId="4" applyNumberFormat="1" applyFont="1" applyBorder="1"/>
    <xf numFmtId="4" fontId="33" fillId="0" borderId="129" xfId="4" applyNumberFormat="1" applyFont="1" applyBorder="1"/>
    <xf numFmtId="2" fontId="33" fillId="0" borderId="129" xfId="4" applyNumberFormat="1" applyFont="1" applyBorder="1"/>
    <xf numFmtId="4" fontId="33" fillId="0" borderId="130" xfId="4" applyNumberFormat="1" applyFont="1" applyBorder="1"/>
    <xf numFmtId="4" fontId="33" fillId="0" borderId="126" xfId="4" applyNumberFormat="1" applyFont="1" applyBorder="1"/>
    <xf numFmtId="4" fontId="33" fillId="0" borderId="67" xfId="4" applyNumberFormat="1" applyFont="1" applyBorder="1"/>
    <xf numFmtId="4" fontId="33" fillId="0" borderId="125" xfId="4" applyNumberFormat="1" applyFont="1" applyBorder="1"/>
    <xf numFmtId="4" fontId="16" fillId="0" borderId="68" xfId="4" applyNumberFormat="1" applyFont="1" applyBorder="1"/>
    <xf numFmtId="0" fontId="16" fillId="0" borderId="110" xfId="4" applyFont="1" applyBorder="1"/>
    <xf numFmtId="4" fontId="33" fillId="0" borderId="139" xfId="4" applyNumberFormat="1" applyFont="1" applyBorder="1"/>
    <xf numFmtId="3" fontId="33" fillId="0" borderId="140" xfId="4" applyNumberFormat="1" applyFont="1" applyBorder="1"/>
    <xf numFmtId="4" fontId="33" fillId="0" borderId="141" xfId="4" applyNumberFormat="1" applyFont="1" applyBorder="1"/>
    <xf numFmtId="4" fontId="33" fillId="0" borderId="140" xfId="4" applyNumberFormat="1" applyFont="1" applyBorder="1"/>
    <xf numFmtId="4" fontId="33" fillId="0" borderId="147" xfId="4" applyNumberFormat="1" applyFont="1" applyBorder="1"/>
    <xf numFmtId="4" fontId="33" fillId="0" borderId="148" xfId="4" applyNumberFormat="1" applyFont="1" applyBorder="1"/>
    <xf numFmtId="4" fontId="33" fillId="0" borderId="149" xfId="4" applyNumberFormat="1" applyFont="1" applyBorder="1"/>
    <xf numFmtId="4" fontId="33" fillId="0" borderId="150" xfId="4" applyNumberFormat="1" applyFont="1" applyBorder="1"/>
    <xf numFmtId="4" fontId="33" fillId="0" borderId="151" xfId="4" applyNumberFormat="1" applyFont="1" applyBorder="1"/>
    <xf numFmtId="4" fontId="1" fillId="0" borderId="127" xfId="4" applyNumberFormat="1" applyBorder="1"/>
    <xf numFmtId="0" fontId="1" fillId="0" borderId="103" xfId="4" applyFont="1" applyBorder="1"/>
    <xf numFmtId="4" fontId="32" fillId="0" borderId="116" xfId="4" applyNumberFormat="1" applyFont="1" applyBorder="1"/>
    <xf numFmtId="3" fontId="32" fillId="0" borderId="120" xfId="4" applyNumberFormat="1" applyFont="1" applyBorder="1"/>
    <xf numFmtId="4" fontId="32" fillId="0" borderId="138" xfId="4" applyNumberFormat="1" applyFont="1" applyBorder="1"/>
    <xf numFmtId="4" fontId="34" fillId="0" borderId="120" xfId="4" applyNumberFormat="1" applyFont="1" applyBorder="1"/>
    <xf numFmtId="4" fontId="34" fillId="0" borderId="152" xfId="4" applyNumberFormat="1" applyFont="1" applyBorder="1"/>
    <xf numFmtId="4" fontId="34" fillId="0" borderId="142" xfId="4" applyNumberFormat="1" applyFont="1" applyBorder="1"/>
    <xf numFmtId="4" fontId="2" fillId="0" borderId="145" xfId="4" applyNumberFormat="1" applyFont="1" applyBorder="1"/>
    <xf numFmtId="4" fontId="1" fillId="0" borderId="146" xfId="4" applyNumberFormat="1" applyBorder="1"/>
    <xf numFmtId="2" fontId="34" fillId="0" borderId="129" xfId="4" applyNumberFormat="1" applyFont="1" applyBorder="1"/>
    <xf numFmtId="4" fontId="2" fillId="0" borderId="68" xfId="4" applyNumberFormat="1" applyFont="1" applyBorder="1"/>
    <xf numFmtId="0" fontId="1" fillId="0" borderId="110" xfId="4" applyFont="1" applyBorder="1"/>
    <xf numFmtId="4" fontId="34" fillId="0" borderId="140" xfId="4" applyNumberFormat="1" applyFont="1" applyBorder="1"/>
    <xf numFmtId="4" fontId="34" fillId="0" borderId="147" xfId="4" applyNumberFormat="1" applyFont="1" applyBorder="1"/>
    <xf numFmtId="4" fontId="34" fillId="0" borderId="148" xfId="4" applyNumberFormat="1" applyFont="1" applyBorder="1"/>
    <xf numFmtId="4" fontId="34" fillId="0" borderId="149" xfId="4" applyNumberFormat="1" applyFont="1" applyBorder="1"/>
    <xf numFmtId="4" fontId="34" fillId="0" borderId="150" xfId="4" applyNumberFormat="1" applyFont="1" applyBorder="1"/>
    <xf numFmtId="4" fontId="34" fillId="0" borderId="151" xfId="4" applyNumberFormat="1" applyFont="1" applyBorder="1"/>
    <xf numFmtId="4" fontId="2" fillId="0" borderId="153" xfId="4" applyNumberFormat="1" applyFont="1" applyBorder="1"/>
    <xf numFmtId="4" fontId="1" fillId="0" borderId="154" xfId="4" applyNumberFormat="1" applyBorder="1"/>
    <xf numFmtId="0" fontId="1" fillId="0" borderId="103" xfId="4" applyFont="1" applyBorder="1" applyAlignment="1">
      <alignment horizontal="right"/>
    </xf>
    <xf numFmtId="4" fontId="32" fillId="0" borderId="67" xfId="4" applyNumberFormat="1" applyFont="1" applyBorder="1"/>
    <xf numFmtId="4" fontId="1" fillId="0" borderId="68" xfId="4" applyNumberFormat="1" applyBorder="1"/>
    <xf numFmtId="0" fontId="32" fillId="0" borderId="126" xfId="4" applyFont="1" applyBorder="1"/>
    <xf numFmtId="0" fontId="1" fillId="0" borderId="110" xfId="4" applyBorder="1" applyAlignment="1">
      <alignment horizontal="right"/>
    </xf>
    <xf numFmtId="4" fontId="32" fillId="0" borderId="139" xfId="4" applyNumberFormat="1" applyFont="1" applyBorder="1"/>
    <xf numFmtId="3" fontId="32" fillId="0" borderId="140" xfId="4" applyNumberFormat="1" applyFont="1" applyBorder="1"/>
    <xf numFmtId="4" fontId="32" fillId="0" borderId="141" xfId="4" applyNumberFormat="1" applyFont="1" applyBorder="1"/>
    <xf numFmtId="0" fontId="2" fillId="0" borderId="101" xfId="4" applyFont="1" applyBorder="1" applyAlignment="1">
      <alignment horizontal="right"/>
    </xf>
    <xf numFmtId="0" fontId="34" fillId="0" borderId="102" xfId="4" applyFont="1" applyBorder="1"/>
    <xf numFmtId="0" fontId="1" fillId="0" borderId="101" xfId="4" applyBorder="1"/>
    <xf numFmtId="4" fontId="32" fillId="0" borderId="102" xfId="4" applyNumberFormat="1" applyFont="1" applyBorder="1"/>
    <xf numFmtId="3" fontId="32" fillId="0" borderId="111" xfId="4" applyNumberFormat="1" applyFont="1" applyBorder="1"/>
    <xf numFmtId="4" fontId="32" fillId="0" borderId="155" xfId="4" applyNumberFormat="1" applyFont="1" applyBorder="1"/>
    <xf numFmtId="2" fontId="32" fillId="0" borderId="102" xfId="4" applyNumberFormat="1" applyFont="1" applyBorder="1"/>
    <xf numFmtId="0" fontId="32" fillId="0" borderId="156" xfId="4" applyFont="1" applyBorder="1"/>
    <xf numFmtId="0" fontId="32" fillId="0" borderId="157" xfId="4" applyFont="1" applyBorder="1"/>
    <xf numFmtId="0" fontId="32" fillId="0" borderId="158" xfId="4" applyFont="1" applyBorder="1"/>
    <xf numFmtId="0" fontId="32" fillId="0" borderId="159" xfId="4" applyFont="1" applyBorder="1"/>
    <xf numFmtId="0" fontId="1" fillId="0" borderId="96" xfId="4" applyBorder="1"/>
    <xf numFmtId="0" fontId="1" fillId="0" borderId="160" xfId="4" applyBorder="1"/>
    <xf numFmtId="0" fontId="34" fillId="0" borderId="103" xfId="4" applyFont="1" applyBorder="1" applyAlignment="1">
      <alignment horizontal="right" vertical="center"/>
    </xf>
    <xf numFmtId="0" fontId="34" fillId="0" borderId="116" xfId="4" applyFont="1" applyBorder="1" applyAlignment="1">
      <alignment wrapText="1"/>
    </xf>
    <xf numFmtId="0" fontId="32" fillId="0" borderId="103" xfId="4" applyFont="1" applyBorder="1"/>
    <xf numFmtId="2" fontId="32" fillId="0" borderId="116" xfId="4" applyNumberFormat="1" applyFont="1" applyBorder="1"/>
    <xf numFmtId="0" fontId="32" fillId="0" borderId="67" xfId="4" applyFont="1" applyBorder="1"/>
    <xf numFmtId="0" fontId="32" fillId="0" borderId="125" xfId="4" applyFont="1" applyBorder="1"/>
    <xf numFmtId="0" fontId="2" fillId="0" borderId="128" xfId="4" applyFont="1" applyBorder="1" applyAlignment="1">
      <alignment horizontal="right"/>
    </xf>
    <xf numFmtId="0" fontId="34" fillId="0" borderId="129" xfId="4" applyFont="1" applyBorder="1" applyAlignment="1">
      <alignment wrapText="1"/>
    </xf>
    <xf numFmtId="0" fontId="32" fillId="0" borderId="161" xfId="4" applyFont="1" applyBorder="1"/>
    <xf numFmtId="0" fontId="32" fillId="0" borderId="151" xfId="4" applyFont="1" applyBorder="1"/>
    <xf numFmtId="0" fontId="32" fillId="0" borderId="162" xfId="4" applyFont="1" applyBorder="1"/>
    <xf numFmtId="0" fontId="32" fillId="0" borderId="150" xfId="4" applyFont="1" applyBorder="1"/>
    <xf numFmtId="4" fontId="34" fillId="0" borderId="163" xfId="4" applyNumberFormat="1" applyFont="1" applyBorder="1"/>
    <xf numFmtId="4" fontId="34" fillId="0" borderId="164" xfId="4" applyNumberFormat="1" applyFont="1" applyBorder="1"/>
    <xf numFmtId="4" fontId="2" fillId="0" borderId="146" xfId="4" applyNumberFormat="1" applyFont="1" applyBorder="1"/>
    <xf numFmtId="0" fontId="2" fillId="0" borderId="127" xfId="4" applyFont="1" applyBorder="1"/>
    <xf numFmtId="4" fontId="34" fillId="0" borderId="161" xfId="4" applyNumberFormat="1" applyFont="1" applyBorder="1"/>
    <xf numFmtId="4" fontId="34" fillId="0" borderId="162" xfId="4" applyNumberFormat="1" applyFont="1" applyBorder="1"/>
    <xf numFmtId="4" fontId="2" fillId="0" borderId="154" xfId="4" applyNumberFormat="1" applyFont="1" applyBorder="1"/>
    <xf numFmtId="0" fontId="11" fillId="0" borderId="0" xfId="4" applyFont="1"/>
    <xf numFmtId="0" fontId="2" fillId="0" borderId="7" xfId="1" applyFont="1" applyBorder="1" applyAlignment="1">
      <alignment vertical="top" wrapText="1"/>
    </xf>
    <xf numFmtId="4" fontId="2" fillId="0" borderId="5" xfId="1" applyNumberFormat="1" applyFont="1" applyBorder="1"/>
    <xf numFmtId="0" fontId="9" fillId="0" borderId="7" xfId="1" applyFont="1" applyBorder="1" applyAlignment="1">
      <alignment vertical="top"/>
    </xf>
    <xf numFmtId="10" fontId="2" fillId="0" borderId="5" xfId="1" applyNumberFormat="1" applyFont="1" applyBorder="1"/>
    <xf numFmtId="4" fontId="2" fillId="0" borderId="1" xfId="1" applyNumberFormat="1" applyFont="1" applyBorder="1"/>
    <xf numFmtId="4" fontId="2" fillId="0" borderId="6" xfId="1" applyNumberFormat="1" applyFont="1" applyBorder="1"/>
    <xf numFmtId="0" fontId="0" fillId="0" borderId="28" xfId="1" applyFont="1" applyBorder="1"/>
    <xf numFmtId="10" fontId="0" fillId="0" borderId="19" xfId="1" applyNumberFormat="1" applyFont="1" applyBorder="1"/>
    <xf numFmtId="0" fontId="11" fillId="0" borderId="22" xfId="1" applyFont="1" applyBorder="1" applyAlignment="1">
      <alignment vertical="top"/>
    </xf>
    <xf numFmtId="165" fontId="16" fillId="0" borderId="19" xfId="1" applyNumberFormat="1" applyFont="1" applyBorder="1"/>
    <xf numFmtId="165" fontId="16" fillId="0" borderId="29" xfId="1" applyNumberFormat="1" applyFont="1" applyBorder="1"/>
    <xf numFmtId="0" fontId="16" fillId="0" borderId="66" xfId="1" applyFont="1" applyBorder="1" applyAlignment="1">
      <alignment vertical="top" wrapText="1"/>
    </xf>
    <xf numFmtId="165" fontId="16" fillId="0" borderId="66" xfId="1" applyNumberFormat="1" applyFont="1" applyBorder="1"/>
    <xf numFmtId="0" fontId="0" fillId="0" borderId="38" xfId="0" applyBorder="1"/>
    <xf numFmtId="0" fontId="0" fillId="0" borderId="17" xfId="0" applyBorder="1"/>
    <xf numFmtId="0" fontId="0" fillId="0" borderId="35" xfId="0" applyBorder="1"/>
    <xf numFmtId="0" fontId="0" fillId="0" borderId="53" xfId="0" applyBorder="1"/>
    <xf numFmtId="4" fontId="0" fillId="0" borderId="53" xfId="0" applyNumberFormat="1" applyBorder="1"/>
    <xf numFmtId="0" fontId="33" fillId="0" borderId="22" xfId="1" applyFont="1" applyBorder="1" applyAlignment="1">
      <alignment vertical="top" wrapText="1"/>
    </xf>
    <xf numFmtId="4" fontId="32" fillId="0" borderId="19" xfId="1" applyNumberFormat="1" applyFont="1" applyBorder="1"/>
    <xf numFmtId="10" fontId="32" fillId="0" borderId="19" xfId="1" applyNumberFormat="1" applyFont="1" applyBorder="1"/>
    <xf numFmtId="4" fontId="32" fillId="0" borderId="28" xfId="1" applyNumberFormat="1" applyFont="1" applyBorder="1"/>
    <xf numFmtId="4" fontId="32" fillId="0" borderId="29" xfId="1" applyNumberFormat="1" applyFont="1" applyBorder="1"/>
    <xf numFmtId="0" fontId="32" fillId="0" borderId="0" xfId="1" applyFont="1" applyBorder="1" applyAlignment="1">
      <alignment vertical="top" wrapText="1"/>
    </xf>
    <xf numFmtId="0" fontId="32" fillId="0" borderId="0" xfId="1" applyFont="1" applyBorder="1"/>
    <xf numFmtId="0" fontId="32" fillId="0" borderId="11" xfId="1" applyFont="1" applyBorder="1"/>
    <xf numFmtId="0" fontId="32" fillId="0" borderId="0" xfId="1" applyFont="1" applyAlignment="1">
      <alignment vertical="top" wrapText="1"/>
    </xf>
    <xf numFmtId="0" fontId="32" fillId="0" borderId="0" xfId="0" applyFont="1"/>
    <xf numFmtId="4" fontId="32" fillId="0" borderId="6" xfId="0" applyNumberFormat="1" applyFont="1" applyBorder="1"/>
    <xf numFmtId="4" fontId="32" fillId="0" borderId="0" xfId="0" applyNumberFormat="1" applyFont="1"/>
    <xf numFmtId="0" fontId="34" fillId="0" borderId="0" xfId="0" applyFont="1"/>
    <xf numFmtId="4" fontId="34" fillId="0" borderId="6" xfId="0" applyNumberFormat="1" applyFont="1" applyBorder="1"/>
    <xf numFmtId="0" fontId="32" fillId="0" borderId="11" xfId="0" applyFont="1" applyBorder="1"/>
    <xf numFmtId="0" fontId="33" fillId="0" borderId="0" xfId="1" applyFont="1" applyAlignment="1">
      <alignment vertical="top" wrapText="1"/>
    </xf>
    <xf numFmtId="173" fontId="33" fillId="0" borderId="56" xfId="0" applyNumberFormat="1" applyFont="1" applyBorder="1"/>
    <xf numFmtId="173" fontId="33" fillId="0" borderId="17" xfId="0" applyNumberFormat="1" applyFont="1" applyBorder="1"/>
    <xf numFmtId="173" fontId="33" fillId="0" borderId="11" xfId="0" applyNumberFormat="1" applyFont="1" applyBorder="1"/>
    <xf numFmtId="165" fontId="33" fillId="0" borderId="56" xfId="0" applyNumberFormat="1" applyFont="1" applyBorder="1"/>
    <xf numFmtId="165" fontId="33" fillId="0" borderId="17" xfId="0" applyNumberFormat="1" applyFont="1" applyBorder="1"/>
    <xf numFmtId="165" fontId="33" fillId="0" borderId="11" xfId="0" applyNumberFormat="1" applyFont="1" applyBorder="1"/>
    <xf numFmtId="4" fontId="33" fillId="0" borderId="56" xfId="0" applyNumberFormat="1" applyFont="1" applyBorder="1"/>
    <xf numFmtId="4" fontId="33" fillId="0" borderId="17" xfId="0" applyNumberFormat="1" applyFont="1" applyBorder="1"/>
    <xf numFmtId="4" fontId="33" fillId="0" borderId="11" xfId="0" applyNumberFormat="1" applyFont="1" applyBorder="1"/>
    <xf numFmtId="0" fontId="33" fillId="0" borderId="38" xfId="1" applyFont="1" applyBorder="1" applyAlignment="1">
      <alignment vertical="top" wrapText="1"/>
    </xf>
    <xf numFmtId="4" fontId="33" fillId="0" borderId="33" xfId="0" applyNumberFormat="1" applyFont="1" applyBorder="1"/>
    <xf numFmtId="4" fontId="33" fillId="0" borderId="35" xfId="0" applyNumberFormat="1" applyFont="1" applyBorder="1"/>
    <xf numFmtId="4" fontId="33" fillId="0" borderId="36" xfId="0" applyNumberFormat="1" applyFont="1" applyBorder="1"/>
    <xf numFmtId="0" fontId="16" fillId="0" borderId="53" xfId="0" applyFont="1" applyBorder="1"/>
    <xf numFmtId="0" fontId="16" fillId="0" borderId="26" xfId="0" applyFont="1" applyBorder="1"/>
    <xf numFmtId="10" fontId="32" fillId="0" borderId="0" xfId="1" applyNumberFormat="1" applyFont="1" applyBorder="1"/>
    <xf numFmtId="10" fontId="32" fillId="0" borderId="0" xfId="0" applyNumberFormat="1" applyFont="1"/>
    <xf numFmtId="10" fontId="34" fillId="0" borderId="0" xfId="0" applyNumberFormat="1" applyFont="1"/>
    <xf numFmtId="10" fontId="33" fillId="0" borderId="56" xfId="0" applyNumberFormat="1" applyFont="1" applyBorder="1"/>
    <xf numFmtId="10" fontId="33" fillId="0" borderId="33" xfId="0" applyNumberFormat="1" applyFont="1" applyBorder="1"/>
    <xf numFmtId="10" fontId="13" fillId="6" borderId="7" xfId="1" applyNumberFormat="1" applyFont="1" applyFill="1" applyBorder="1" applyAlignment="1">
      <alignment horizontal="right" vertical="top"/>
    </xf>
    <xf numFmtId="10" fontId="2" fillId="0" borderId="75" xfId="1" applyNumberFormat="1" applyFont="1" applyBorder="1"/>
    <xf numFmtId="10" fontId="32" fillId="0" borderId="74" xfId="1" applyNumberFormat="1" applyFont="1" applyBorder="1"/>
    <xf numFmtId="10" fontId="32" fillId="0" borderId="68" xfId="1" applyNumberFormat="1" applyFont="1" applyBorder="1"/>
    <xf numFmtId="10" fontId="32" fillId="0" borderId="75" xfId="0" applyNumberFormat="1" applyFont="1" applyBorder="1"/>
    <xf numFmtId="10" fontId="32" fillId="0" borderId="68" xfId="0" applyNumberFormat="1" applyFont="1" applyBorder="1"/>
    <xf numFmtId="10" fontId="33" fillId="0" borderId="68" xfId="0" applyNumberFormat="1" applyFont="1" applyBorder="1"/>
    <xf numFmtId="0" fontId="1" fillId="0" borderId="17" xfId="0" applyFont="1" applyBorder="1"/>
    <xf numFmtId="169" fontId="13" fillId="0" borderId="34" xfId="1" quotePrefix="1" applyNumberFormat="1" applyFont="1" applyBorder="1" applyAlignment="1">
      <alignment horizontal="left" vertical="top"/>
    </xf>
    <xf numFmtId="173" fontId="13" fillId="0" borderId="89" xfId="1" applyNumberFormat="1" applyFont="1" applyBorder="1" applyAlignment="1">
      <alignment horizontal="right" vertical="top"/>
    </xf>
    <xf numFmtId="4" fontId="11" fillId="0" borderId="89" xfId="1" applyNumberFormat="1" applyFont="1" applyBorder="1" applyAlignment="1">
      <alignment vertical="top"/>
    </xf>
    <xf numFmtId="10" fontId="11" fillId="0" borderId="89" xfId="1" applyNumberFormat="1" applyFont="1" applyBorder="1" applyAlignment="1">
      <alignment vertical="top"/>
    </xf>
    <xf numFmtId="4" fontId="11" fillId="0" borderId="90" xfId="1" applyNumberFormat="1" applyFont="1" applyBorder="1" applyAlignment="1">
      <alignment vertical="top"/>
    </xf>
    <xf numFmtId="10" fontId="12" fillId="0" borderId="60" xfId="1" applyNumberFormat="1" applyFont="1" applyFill="1" applyBorder="1" applyAlignment="1">
      <alignment horizontal="right" vertical="top"/>
    </xf>
    <xf numFmtId="10" fontId="11" fillId="0" borderId="44" xfId="1" applyNumberFormat="1" applyFont="1" applyBorder="1" applyAlignment="1">
      <alignment vertical="top"/>
    </xf>
    <xf numFmtId="167" fontId="13" fillId="0" borderId="52" xfId="1" quotePrefix="1" applyNumberFormat="1" applyFont="1" applyBorder="1" applyAlignment="1">
      <alignment horizontal="left" vertical="top"/>
    </xf>
    <xf numFmtId="2" fontId="13" fillId="0" borderId="44" xfId="1" applyNumberFormat="1" applyFont="1" applyBorder="1" applyAlignment="1">
      <alignment horizontal="left" vertical="top" wrapText="1"/>
    </xf>
    <xf numFmtId="169" fontId="13" fillId="0" borderId="50" xfId="1" applyNumberFormat="1" applyFont="1" applyBorder="1" applyAlignment="1">
      <alignment horizontal="left" vertical="top"/>
    </xf>
    <xf numFmtId="4" fontId="11" fillId="0" borderId="165" xfId="1" applyNumberFormat="1" applyFont="1" applyBorder="1" applyAlignment="1">
      <alignment vertical="top"/>
    </xf>
    <xf numFmtId="10" fontId="12" fillId="3" borderId="75" xfId="1" applyNumberFormat="1" applyFont="1" applyFill="1" applyBorder="1" applyAlignment="1">
      <alignment horizontal="right" vertical="top"/>
    </xf>
    <xf numFmtId="10" fontId="13" fillId="6" borderId="83" xfId="1" applyNumberFormat="1" applyFont="1" applyFill="1" applyBorder="1" applyAlignment="1">
      <alignment horizontal="right" vertical="top"/>
    </xf>
    <xf numFmtId="10" fontId="11" fillId="0" borderId="75" xfId="1" applyNumberFormat="1" applyFont="1" applyBorder="1" applyAlignment="1">
      <alignment vertical="top"/>
    </xf>
    <xf numFmtId="10" fontId="22" fillId="0" borderId="76" xfId="1" applyNumberFormat="1" applyFont="1" applyFill="1" applyBorder="1" applyAlignment="1">
      <alignment horizontal="right" vertical="top"/>
    </xf>
    <xf numFmtId="4" fontId="10" fillId="3" borderId="53" xfId="1" applyNumberFormat="1" applyFont="1" applyFill="1" applyBorder="1" applyAlignment="1">
      <alignment horizontal="right" vertical="top"/>
    </xf>
    <xf numFmtId="4" fontId="13" fillId="3" borderId="73" xfId="1" applyNumberFormat="1" applyFont="1" applyFill="1" applyBorder="1" applyAlignment="1">
      <alignment horizontal="right" vertical="top"/>
    </xf>
    <xf numFmtId="4" fontId="13" fillId="3" borderId="73" xfId="1" applyNumberFormat="1" applyFont="1" applyFill="1" applyBorder="1" applyAlignment="1">
      <alignment horizontal="left" vertical="top" wrapText="1"/>
    </xf>
    <xf numFmtId="10" fontId="5" fillId="0" borderId="75" xfId="1" applyNumberFormat="1" applyFont="1" applyBorder="1" applyAlignment="1">
      <alignment horizontal="center" vertical="top" wrapText="1"/>
    </xf>
    <xf numFmtId="10" fontId="10" fillId="2" borderId="68" xfId="1" applyNumberFormat="1" applyFont="1" applyFill="1" applyBorder="1" applyAlignment="1">
      <alignment horizontal="right" vertical="top"/>
    </xf>
    <xf numFmtId="10" fontId="13" fillId="6" borderId="69" xfId="1" applyNumberFormat="1" applyFont="1" applyFill="1" applyBorder="1" applyAlignment="1">
      <alignment horizontal="right" vertical="top"/>
    </xf>
    <xf numFmtId="10" fontId="13" fillId="3" borderId="69" xfId="1" applyNumberFormat="1" applyFont="1" applyFill="1" applyBorder="1" applyAlignment="1">
      <alignment horizontal="right" vertical="top"/>
    </xf>
    <xf numFmtId="10" fontId="13" fillId="6" borderId="78" xfId="1" applyNumberFormat="1" applyFont="1" applyFill="1" applyBorder="1" applyAlignment="1">
      <alignment horizontal="right" vertical="top"/>
    </xf>
    <xf numFmtId="10" fontId="24" fillId="0" borderId="26" xfId="1" applyNumberFormat="1" applyFont="1" applyFill="1" applyBorder="1" applyAlignment="1">
      <alignment horizontal="right" vertical="top"/>
    </xf>
    <xf numFmtId="4" fontId="13" fillId="3" borderId="7" xfId="1" applyNumberFormat="1" applyFont="1" applyFill="1" applyBorder="1" applyAlignment="1">
      <alignment horizontal="right" vertical="top"/>
    </xf>
    <xf numFmtId="4" fontId="13" fillId="3" borderId="55" xfId="1" applyNumberFormat="1" applyFont="1" applyFill="1" applyBorder="1" applyAlignment="1">
      <alignment horizontal="right" vertical="top"/>
    </xf>
    <xf numFmtId="10" fontId="13" fillId="0" borderId="75" xfId="1" applyNumberFormat="1" applyFont="1" applyFill="1" applyBorder="1" applyAlignment="1">
      <alignment horizontal="right" vertical="top"/>
    </xf>
    <xf numFmtId="10" fontId="13" fillId="3" borderId="78" xfId="1" applyNumberFormat="1" applyFont="1" applyFill="1" applyBorder="1" applyAlignment="1">
      <alignment horizontal="right" vertical="top"/>
    </xf>
    <xf numFmtId="10" fontId="13" fillId="3" borderId="83" xfId="1" applyNumberFormat="1" applyFont="1" applyFill="1" applyBorder="1" applyAlignment="1">
      <alignment horizontal="right" vertical="top"/>
    </xf>
    <xf numFmtId="10" fontId="13" fillId="0" borderId="69" xfId="1" applyNumberFormat="1" applyFont="1" applyFill="1" applyBorder="1" applyAlignment="1">
      <alignment horizontal="right" vertical="top"/>
    </xf>
    <xf numFmtId="10" fontId="13" fillId="0" borderId="83" xfId="1" applyNumberFormat="1" applyFont="1" applyFill="1" applyBorder="1" applyAlignment="1">
      <alignment horizontal="right" vertical="top"/>
    </xf>
    <xf numFmtId="4" fontId="10" fillId="3" borderId="7" xfId="1" applyNumberFormat="1" applyFont="1" applyFill="1" applyBorder="1" applyAlignment="1">
      <alignment horizontal="right" vertical="top"/>
    </xf>
    <xf numFmtId="173" fontId="13" fillId="3" borderId="22" xfId="1" applyNumberFormat="1" applyFont="1" applyFill="1" applyBorder="1" applyAlignment="1">
      <alignment horizontal="right" vertical="top"/>
    </xf>
    <xf numFmtId="10" fontId="10" fillId="2" borderId="57" xfId="1" applyNumberFormat="1" applyFont="1" applyFill="1" applyBorder="1" applyAlignment="1">
      <alignment horizontal="right" vertical="top"/>
    </xf>
    <xf numFmtId="10" fontId="13" fillId="6" borderId="75" xfId="1" applyNumberFormat="1" applyFont="1" applyFill="1" applyBorder="1" applyAlignment="1">
      <alignment horizontal="right" vertical="top"/>
    </xf>
    <xf numFmtId="10" fontId="13" fillId="6" borderId="166" xfId="1" applyNumberFormat="1" applyFont="1" applyFill="1" applyBorder="1" applyAlignment="1">
      <alignment horizontal="right" vertical="top"/>
    </xf>
    <xf numFmtId="4" fontId="11" fillId="0" borderId="19" xfId="0" applyNumberFormat="1" applyFont="1" applyBorder="1" applyAlignment="1">
      <alignment vertical="top"/>
    </xf>
    <xf numFmtId="4" fontId="11" fillId="0" borderId="19" xfId="0" applyNumberFormat="1" applyFont="1" applyBorder="1" applyAlignment="1">
      <alignment vertical="top" wrapText="1"/>
    </xf>
    <xf numFmtId="10" fontId="13" fillId="6" borderId="44" xfId="1" applyNumberFormat="1" applyFont="1" applyFill="1" applyBorder="1" applyAlignment="1">
      <alignment horizontal="right" vertical="top"/>
    </xf>
    <xf numFmtId="10" fontId="13" fillId="0" borderId="78" xfId="1" applyNumberFormat="1" applyFont="1" applyFill="1" applyBorder="1" applyAlignment="1">
      <alignment horizontal="right" vertical="top"/>
    </xf>
    <xf numFmtId="4" fontId="11" fillId="3" borderId="7" xfId="1" applyNumberFormat="1" applyFont="1" applyFill="1" applyBorder="1" applyAlignment="1">
      <alignment vertical="top"/>
    </xf>
    <xf numFmtId="4" fontId="10" fillId="3" borderId="55" xfId="1" applyNumberFormat="1" applyFont="1" applyFill="1" applyBorder="1" applyAlignment="1">
      <alignment horizontal="right" vertical="top"/>
    </xf>
    <xf numFmtId="4" fontId="13" fillId="3" borderId="26" xfId="1" applyNumberFormat="1" applyFont="1" applyFill="1" applyBorder="1" applyAlignment="1">
      <alignment horizontal="right" vertical="top"/>
    </xf>
    <xf numFmtId="10" fontId="11" fillId="6" borderId="75" xfId="1" applyNumberFormat="1" applyFont="1" applyFill="1" applyBorder="1" applyAlignment="1">
      <alignment vertical="top"/>
    </xf>
    <xf numFmtId="10" fontId="13" fillId="0" borderId="166" xfId="1" applyNumberFormat="1" applyFont="1" applyFill="1" applyBorder="1" applyAlignment="1">
      <alignment horizontal="right" vertical="top"/>
    </xf>
    <xf numFmtId="10" fontId="13" fillId="0" borderId="76" xfId="1" applyNumberFormat="1" applyFont="1" applyFill="1" applyBorder="1" applyAlignment="1">
      <alignment horizontal="right" vertical="top"/>
    </xf>
    <xf numFmtId="10" fontId="13" fillId="0" borderId="71" xfId="1" applyNumberFormat="1" applyFont="1" applyFill="1" applyBorder="1" applyAlignment="1">
      <alignment horizontal="right" vertical="top"/>
    </xf>
    <xf numFmtId="10" fontId="10" fillId="2" borderId="78" xfId="1" applyNumberFormat="1" applyFont="1" applyFill="1" applyBorder="1" applyAlignment="1">
      <alignment horizontal="right" vertical="top"/>
    </xf>
    <xf numFmtId="10" fontId="13" fillId="6" borderId="76" xfId="1" applyNumberFormat="1" applyFont="1" applyFill="1" applyBorder="1" applyAlignment="1">
      <alignment horizontal="right" vertical="top"/>
    </xf>
    <xf numFmtId="175" fontId="15" fillId="3" borderId="94" xfId="1" applyNumberFormat="1" applyFont="1" applyFill="1" applyBorder="1" applyAlignment="1">
      <alignment horizontal="right" vertical="center"/>
    </xf>
    <xf numFmtId="175" fontId="12" fillId="0" borderId="7" xfId="1" applyNumberFormat="1" applyFont="1" applyBorder="1" applyAlignment="1">
      <alignment horizontal="right" vertical="center"/>
    </xf>
    <xf numFmtId="175" fontId="30" fillId="0" borderId="7" xfId="1" applyNumberFormat="1" applyFont="1" applyBorder="1" applyAlignment="1">
      <alignment horizontal="right" vertical="center"/>
    </xf>
    <xf numFmtId="4" fontId="16" fillId="0" borderId="7" xfId="1" applyNumberFormat="1" applyFont="1" applyBorder="1"/>
    <xf numFmtId="4" fontId="10" fillId="3" borderId="63" xfId="1" applyNumberFormat="1" applyFont="1" applyFill="1" applyBorder="1" applyAlignment="1">
      <alignment horizontal="right" vertical="top"/>
    </xf>
    <xf numFmtId="173" fontId="10" fillId="3" borderId="22" xfId="1" applyNumberFormat="1" applyFont="1" applyFill="1" applyBorder="1" applyAlignment="1">
      <alignment horizontal="right" vertical="top"/>
    </xf>
    <xf numFmtId="173" fontId="12" fillId="3" borderId="7" xfId="1" applyNumberFormat="1" applyFont="1" applyFill="1" applyBorder="1" applyAlignment="1">
      <alignment horizontal="right" vertical="top"/>
    </xf>
    <xf numFmtId="4" fontId="12" fillId="3" borderId="26" xfId="1" applyNumberFormat="1" applyFont="1" applyFill="1" applyBorder="1" applyAlignment="1">
      <alignment horizontal="right" vertical="top"/>
    </xf>
    <xf numFmtId="4" fontId="13" fillId="3" borderId="22" xfId="1" applyNumberFormat="1" applyFont="1" applyFill="1" applyBorder="1" applyAlignment="1">
      <alignment horizontal="right" vertical="top"/>
    </xf>
    <xf numFmtId="4" fontId="10" fillId="3" borderId="26" xfId="1" applyNumberFormat="1" applyFont="1" applyFill="1" applyBorder="1" applyAlignment="1">
      <alignment horizontal="right" vertical="top"/>
    </xf>
    <xf numFmtId="4" fontId="13" fillId="3" borderId="64" xfId="1" applyNumberFormat="1" applyFont="1" applyFill="1" applyBorder="1" applyAlignment="1">
      <alignment horizontal="right" vertical="top"/>
    </xf>
    <xf numFmtId="173" fontId="13" fillId="3" borderId="7" xfId="1" applyNumberFormat="1" applyFont="1" applyFill="1" applyBorder="1" applyAlignment="1">
      <alignment horizontal="right" vertical="top"/>
    </xf>
    <xf numFmtId="4" fontId="10" fillId="3" borderId="73" xfId="1" applyNumberFormat="1" applyFont="1" applyFill="1" applyBorder="1" applyAlignment="1">
      <alignment horizontal="right" vertical="top"/>
    </xf>
    <xf numFmtId="10" fontId="10" fillId="2" borderId="71" xfId="1" applyNumberFormat="1" applyFont="1" applyFill="1" applyBorder="1" applyAlignment="1">
      <alignment horizontal="right" vertical="top"/>
    </xf>
    <xf numFmtId="10" fontId="12" fillId="6" borderId="76" xfId="1" applyNumberFormat="1" applyFont="1" applyFill="1" applyBorder="1" applyAlignment="1">
      <alignment horizontal="right" vertical="top"/>
    </xf>
    <xf numFmtId="10" fontId="13" fillId="6" borderId="68" xfId="1" applyNumberFormat="1" applyFont="1" applyFill="1" applyBorder="1" applyAlignment="1">
      <alignment horizontal="right" vertical="top"/>
    </xf>
    <xf numFmtId="10" fontId="13" fillId="6" borderId="74" xfId="1" applyNumberFormat="1" applyFont="1" applyFill="1" applyBorder="1" applyAlignment="1">
      <alignment horizontal="right" vertical="top"/>
    </xf>
    <xf numFmtId="10" fontId="10" fillId="2" borderId="76" xfId="1" applyNumberFormat="1" applyFont="1" applyFill="1" applyBorder="1" applyAlignment="1">
      <alignment horizontal="right" vertical="top"/>
    </xf>
    <xf numFmtId="10" fontId="10" fillId="2" borderId="69" xfId="1" applyNumberFormat="1" applyFont="1" applyFill="1" applyBorder="1" applyAlignment="1">
      <alignment horizontal="right" vertical="top"/>
    </xf>
    <xf numFmtId="10" fontId="10" fillId="2" borderId="75" xfId="1" applyNumberFormat="1" applyFont="1" applyFill="1" applyBorder="1" applyAlignment="1">
      <alignment horizontal="right" vertical="top"/>
    </xf>
    <xf numFmtId="10" fontId="13" fillId="0" borderId="37" xfId="1" applyNumberFormat="1" applyFont="1" applyFill="1" applyBorder="1" applyAlignment="1">
      <alignment horizontal="right" vertical="top"/>
    </xf>
    <xf numFmtId="0" fontId="11" fillId="6" borderId="9" xfId="1" applyFont="1" applyFill="1" applyBorder="1" applyAlignment="1">
      <alignment horizontal="left"/>
    </xf>
    <xf numFmtId="173" fontId="12" fillId="6" borderId="36" xfId="1" applyNumberFormat="1" applyFont="1" applyFill="1" applyBorder="1" applyAlignment="1">
      <alignment horizontal="right" vertical="top"/>
    </xf>
    <xf numFmtId="168" fontId="13" fillId="3" borderId="33" xfId="1" applyNumberFormat="1" applyFont="1" applyFill="1" applyBorder="1" applyAlignment="1">
      <alignment horizontal="right" vertical="top"/>
    </xf>
    <xf numFmtId="4" fontId="13" fillId="3" borderId="27" xfId="1" applyNumberFormat="1" applyFont="1" applyFill="1" applyBorder="1" applyAlignment="1">
      <alignment horizontal="right" vertical="top"/>
    </xf>
    <xf numFmtId="10" fontId="11" fillId="3" borderId="77" xfId="1" applyNumberFormat="1" applyFont="1" applyFill="1" applyBorder="1" applyAlignment="1">
      <alignment vertical="top"/>
    </xf>
    <xf numFmtId="0" fontId="11" fillId="3" borderId="44" xfId="1" applyFont="1" applyFill="1" applyBorder="1" applyAlignment="1">
      <alignment horizontal="center"/>
    </xf>
    <xf numFmtId="10" fontId="13" fillId="0" borderId="9" xfId="1" applyNumberFormat="1" applyFont="1" applyFill="1" applyBorder="1" applyAlignment="1">
      <alignment horizontal="right" vertical="top"/>
    </xf>
    <xf numFmtId="4" fontId="13" fillId="0" borderId="36" xfId="1" applyNumberFormat="1" applyFont="1" applyFill="1" applyBorder="1" applyAlignment="1">
      <alignment horizontal="right" vertical="top"/>
    </xf>
    <xf numFmtId="165" fontId="13" fillId="0" borderId="91" xfId="1" applyNumberFormat="1" applyFont="1" applyBorder="1" applyAlignment="1">
      <alignment horizontal="right" vertical="top"/>
    </xf>
    <xf numFmtId="165" fontId="13" fillId="6" borderId="33" xfId="1" applyNumberFormat="1" applyFont="1" applyFill="1" applyBorder="1" applyAlignment="1">
      <alignment horizontal="right" vertical="top"/>
    </xf>
    <xf numFmtId="10" fontId="13" fillId="6" borderId="64" xfId="1" applyNumberFormat="1" applyFont="1" applyFill="1" applyBorder="1" applyAlignment="1">
      <alignment horizontal="right" vertical="top"/>
    </xf>
    <xf numFmtId="49" fontId="22" fillId="0" borderId="44" xfId="1" applyNumberFormat="1" applyFont="1" applyBorder="1" applyAlignment="1">
      <alignment horizontal="left" vertical="top" wrapText="1"/>
    </xf>
    <xf numFmtId="165" fontId="22" fillId="0" borderId="39" xfId="1" applyNumberFormat="1" applyFont="1" applyBorder="1" applyAlignment="1">
      <alignment horizontal="right" vertical="top"/>
    </xf>
    <xf numFmtId="10" fontId="22" fillId="0" borderId="26" xfId="1" applyNumberFormat="1" applyFont="1" applyFill="1" applyBorder="1" applyAlignment="1">
      <alignment horizontal="right" vertical="top"/>
    </xf>
    <xf numFmtId="0" fontId="13" fillId="3" borderId="2" xfId="1" applyFont="1" applyFill="1" applyBorder="1" applyAlignment="1">
      <alignment horizontal="left" vertical="top" wrapText="1"/>
    </xf>
    <xf numFmtId="173" fontId="13" fillId="3" borderId="33" xfId="1" applyNumberFormat="1" applyFont="1" applyFill="1" applyBorder="1" applyAlignment="1">
      <alignment horizontal="right" vertical="top"/>
    </xf>
    <xf numFmtId="4" fontId="13" fillId="3" borderId="170" xfId="1" applyNumberFormat="1" applyFont="1" applyFill="1" applyBorder="1" applyAlignment="1">
      <alignment horizontal="right" vertical="top"/>
    </xf>
    <xf numFmtId="165" fontId="22" fillId="0" borderId="44" xfId="1" applyNumberFormat="1" applyFont="1" applyBorder="1" applyAlignment="1">
      <alignment horizontal="right" vertical="top"/>
    </xf>
    <xf numFmtId="4" fontId="23" fillId="0" borderId="44" xfId="1" applyNumberFormat="1" applyFont="1" applyBorder="1" applyAlignment="1">
      <alignment vertical="top"/>
    </xf>
    <xf numFmtId="10" fontId="23" fillId="0" borderId="44" xfId="1" applyNumberFormat="1" applyFont="1" applyBorder="1" applyAlignment="1">
      <alignment vertical="top"/>
    </xf>
    <xf numFmtId="4" fontId="23" fillId="0" borderId="39" xfId="1" applyNumberFormat="1" applyFont="1" applyBorder="1" applyAlignment="1">
      <alignment vertical="top"/>
    </xf>
    <xf numFmtId="172" fontId="13" fillId="0" borderId="10" xfId="1" applyNumberFormat="1" applyFont="1" applyFill="1" applyBorder="1" applyAlignment="1">
      <alignment horizontal="left" vertical="top"/>
    </xf>
    <xf numFmtId="170" fontId="10" fillId="3" borderId="8" xfId="1" applyNumberFormat="1" applyFont="1" applyFill="1" applyBorder="1" applyAlignment="1">
      <alignment horizontal="center" vertical="top"/>
    </xf>
    <xf numFmtId="170" fontId="10" fillId="3" borderId="45" xfId="1" applyNumberFormat="1" applyFont="1" applyFill="1" applyBorder="1" applyAlignment="1">
      <alignment horizontal="center" vertical="top"/>
    </xf>
    <xf numFmtId="170" fontId="10" fillId="3" borderId="43" xfId="1" applyNumberFormat="1" applyFont="1" applyFill="1" applyBorder="1" applyAlignment="1">
      <alignment horizontal="center" vertical="top"/>
    </xf>
    <xf numFmtId="0" fontId="0" fillId="0" borderId="18" xfId="1" applyFont="1" applyBorder="1" applyAlignment="1">
      <alignment horizontal="center"/>
    </xf>
    <xf numFmtId="0" fontId="0" fillId="0" borderId="10" xfId="1" applyFont="1" applyBorder="1" applyAlignment="1">
      <alignment horizontal="center"/>
    </xf>
    <xf numFmtId="0" fontId="0" fillId="0" borderId="44" xfId="1" applyFont="1" applyBorder="1" applyAlignment="1">
      <alignment horizontal="center"/>
    </xf>
    <xf numFmtId="0" fontId="15" fillId="0" borderId="5" xfId="1" applyFont="1" applyBorder="1" applyAlignment="1">
      <alignment horizontal="right" vertical="center" wrapText="1"/>
    </xf>
    <xf numFmtId="10" fontId="32" fillId="0" borderId="75" xfId="0" applyNumberFormat="1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11" fillId="5" borderId="1" xfId="1" quotePrefix="1" applyFont="1" applyFill="1" applyBorder="1" applyAlignment="1">
      <alignment horizontal="left"/>
    </xf>
    <xf numFmtId="0" fontId="11" fillId="5" borderId="23" xfId="1" applyFont="1" applyFill="1" applyBorder="1" applyAlignment="1">
      <alignment horizontal="left"/>
    </xf>
    <xf numFmtId="0" fontId="11" fillId="5" borderId="7" xfId="1" applyFont="1" applyFill="1" applyBorder="1" applyAlignment="1">
      <alignment horizontal="left"/>
    </xf>
    <xf numFmtId="0" fontId="0" fillId="0" borderId="8" xfId="1" applyFont="1" applyBorder="1" applyAlignment="1">
      <alignment horizontal="center"/>
    </xf>
    <xf numFmtId="0" fontId="0" fillId="0" borderId="45" xfId="1" applyFont="1" applyBorder="1" applyAlignment="1">
      <alignment horizontal="center"/>
    </xf>
    <xf numFmtId="0" fontId="0" fillId="0" borderId="43" xfId="1" applyFont="1" applyBorder="1" applyAlignment="1">
      <alignment horizontal="center"/>
    </xf>
    <xf numFmtId="0" fontId="11" fillId="6" borderId="2" xfId="1" applyFont="1" applyFill="1" applyBorder="1" applyAlignment="1">
      <alignment horizontal="left"/>
    </xf>
    <xf numFmtId="0" fontId="11" fillId="6" borderId="23" xfId="1" applyFont="1" applyFill="1" applyBorder="1" applyAlignment="1">
      <alignment horizontal="left"/>
    </xf>
    <xf numFmtId="0" fontId="11" fillId="6" borderId="51" xfId="1" applyFont="1" applyFill="1" applyBorder="1" applyAlignment="1">
      <alignment horizontal="left"/>
    </xf>
    <xf numFmtId="0" fontId="0" fillId="0" borderId="46" xfId="1" applyFont="1" applyBorder="1" applyAlignment="1">
      <alignment horizontal="center"/>
    </xf>
    <xf numFmtId="0" fontId="0" fillId="0" borderId="35" xfId="1" applyFont="1" applyBorder="1" applyAlignment="1">
      <alignment horizontal="center"/>
    </xf>
    <xf numFmtId="175" fontId="9" fillId="0" borderId="97" xfId="0" applyNumberFormat="1" applyFont="1" applyBorder="1" applyAlignment="1">
      <alignment horizontal="center"/>
    </xf>
    <xf numFmtId="0" fontId="9" fillId="0" borderId="98" xfId="0" applyFont="1" applyBorder="1" applyAlignment="1">
      <alignment horizontal="center"/>
    </xf>
    <xf numFmtId="0" fontId="9" fillId="0" borderId="99" xfId="0" applyFont="1" applyBorder="1" applyAlignment="1">
      <alignment horizontal="center"/>
    </xf>
    <xf numFmtId="0" fontId="1" fillId="0" borderId="0" xfId="1" applyFont="1" applyAlignment="1">
      <alignment horizontal="center" vertical="top" wrapText="1"/>
    </xf>
    <xf numFmtId="0" fontId="0" fillId="0" borderId="0" xfId="1" applyFont="1" applyAlignment="1">
      <alignment horizontal="center" vertical="top" wrapText="1"/>
    </xf>
    <xf numFmtId="0" fontId="4" fillId="0" borderId="2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11" fillId="3" borderId="34" xfId="1" applyFont="1" applyFill="1" applyBorder="1" applyAlignment="1">
      <alignment horizontal="center"/>
    </xf>
    <xf numFmtId="0" fontId="11" fillId="3" borderId="44" xfId="1" applyFont="1" applyFill="1" applyBorder="1" applyAlignment="1">
      <alignment horizontal="center"/>
    </xf>
    <xf numFmtId="172" fontId="13" fillId="3" borderId="10" xfId="1" applyNumberFormat="1" applyFont="1" applyFill="1" applyBorder="1" applyAlignment="1">
      <alignment horizontal="center" vertical="top"/>
    </xf>
    <xf numFmtId="172" fontId="13" fillId="3" borderId="44" xfId="1" applyNumberFormat="1" applyFont="1" applyFill="1" applyBorder="1" applyAlignment="1">
      <alignment horizontal="center" vertical="top"/>
    </xf>
    <xf numFmtId="172" fontId="13" fillId="3" borderId="34" xfId="1" applyNumberFormat="1" applyFont="1" applyFill="1" applyBorder="1" applyAlignment="1">
      <alignment horizontal="center" vertical="top"/>
    </xf>
    <xf numFmtId="0" fontId="16" fillId="0" borderId="101" xfId="4" applyFont="1" applyBorder="1" applyAlignment="1">
      <alignment horizontal="center" vertical="top"/>
    </xf>
    <xf numFmtId="0" fontId="16" fillId="0" borderId="102" xfId="4" applyFont="1" applyBorder="1" applyAlignment="1">
      <alignment horizontal="left" vertical="top" wrapText="1"/>
    </xf>
    <xf numFmtId="0" fontId="1" fillId="0" borderId="0" xfId="4" applyBorder="1" applyAlignment="1"/>
    <xf numFmtId="0" fontId="2" fillId="0" borderId="101" xfId="4" applyFont="1" applyBorder="1" applyAlignment="1">
      <alignment horizontal="center" vertical="top"/>
    </xf>
    <xf numFmtId="0" fontId="2" fillId="0" borderId="102" xfId="4" applyFont="1" applyBorder="1" applyAlignment="1">
      <alignment horizontal="left" vertical="top" wrapText="1"/>
    </xf>
    <xf numFmtId="0" fontId="1" fillId="0" borderId="103" xfId="4" applyBorder="1" applyAlignment="1">
      <alignment horizontal="center" vertical="top"/>
    </xf>
    <xf numFmtId="0" fontId="1" fillId="0" borderId="110" xfId="4" applyBorder="1" applyAlignment="1">
      <alignment horizontal="center" vertical="top"/>
    </xf>
    <xf numFmtId="0" fontId="32" fillId="0" borderId="102" xfId="4" applyFont="1" applyBorder="1" applyAlignment="1">
      <alignment horizontal="center" wrapText="1"/>
    </xf>
    <xf numFmtId="0" fontId="1" fillId="0" borderId="101" xfId="4" applyBorder="1" applyAlignment="1">
      <alignment horizontal="center"/>
    </xf>
    <xf numFmtId="0" fontId="1" fillId="0" borderId="102" xfId="4" applyBorder="1" applyAlignment="1">
      <alignment horizontal="center"/>
    </xf>
    <xf numFmtId="0" fontId="1" fillId="0" borderId="104" xfId="4" applyBorder="1" applyAlignment="1">
      <alignment horizontal="center"/>
    </xf>
    <xf numFmtId="0" fontId="36" fillId="0" borderId="0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03" xfId="4" applyFont="1" applyBorder="1" applyAlignment="1">
      <alignment horizontal="left" vertical="top" wrapText="1"/>
    </xf>
    <xf numFmtId="0" fontId="35" fillId="0" borderId="116" xfId="3" applyNumberFormat="1" applyFont="1" applyFill="1" applyBorder="1" applyAlignment="1" applyProtection="1">
      <alignment horizontal="left" vertical="top"/>
      <protection locked="0"/>
    </xf>
    <xf numFmtId="0" fontId="35" fillId="0" borderId="128" xfId="3" applyNumberFormat="1" applyFont="1" applyFill="1" applyBorder="1" applyAlignment="1" applyProtection="1">
      <alignment horizontal="left" vertical="top"/>
      <protection locked="0"/>
    </xf>
    <xf numFmtId="0" fontId="35" fillId="0" borderId="129" xfId="3" applyNumberFormat="1" applyFont="1" applyFill="1" applyBorder="1" applyAlignment="1" applyProtection="1">
      <alignment horizontal="left" vertical="top"/>
      <protection locked="0"/>
    </xf>
    <xf numFmtId="0" fontId="35" fillId="0" borderId="110" xfId="3" applyNumberFormat="1" applyFont="1" applyFill="1" applyBorder="1" applyAlignment="1" applyProtection="1">
      <alignment horizontal="left" vertical="top"/>
      <protection locked="0"/>
    </xf>
    <xf numFmtId="0" fontId="35" fillId="0" borderId="139" xfId="3" applyNumberFormat="1" applyFont="1" applyFill="1" applyBorder="1" applyAlignment="1" applyProtection="1">
      <alignment horizontal="left" vertical="top"/>
      <protection locked="0"/>
    </xf>
    <xf numFmtId="0" fontId="2" fillId="0" borderId="102" xfId="4" applyFont="1" applyBorder="1" applyAlignment="1">
      <alignment horizontal="left" vertical="center"/>
    </xf>
    <xf numFmtId="0" fontId="1" fillId="0" borderId="108" xfId="4" applyBorder="1" applyAlignment="1">
      <alignment horizontal="center"/>
    </xf>
    <xf numFmtId="0" fontId="1" fillId="0" borderId="109" xfId="4" applyBorder="1" applyAlignment="1">
      <alignment horizontal="center"/>
    </xf>
    <xf numFmtId="0" fontId="1" fillId="0" borderId="107" xfId="4" applyBorder="1" applyAlignment="1">
      <alignment horizontal="center"/>
    </xf>
    <xf numFmtId="0" fontId="1" fillId="0" borderId="106" xfId="4" applyBorder="1" applyAlignment="1">
      <alignment horizontal="center"/>
    </xf>
    <xf numFmtId="0" fontId="1" fillId="0" borderId="116" xfId="4" applyFont="1" applyBorder="1" applyAlignment="1">
      <alignment horizontal="left" vertical="top" wrapText="1"/>
    </xf>
    <xf numFmtId="0" fontId="1" fillId="0" borderId="129" xfId="4" applyFont="1" applyBorder="1" applyAlignment="1">
      <alignment horizontal="left" vertical="top" wrapText="1"/>
    </xf>
    <xf numFmtId="0" fontId="1" fillId="0" borderId="132" xfId="4" applyFont="1" applyBorder="1" applyAlignment="1">
      <alignment horizontal="left" vertical="top" wrapText="1"/>
    </xf>
    <xf numFmtId="0" fontId="1" fillId="0" borderId="117" xfId="4" applyFont="1" applyBorder="1" applyAlignment="1">
      <alignment horizontal="left" vertical="top" wrapText="1"/>
    </xf>
    <xf numFmtId="0" fontId="1" fillId="0" borderId="117" xfId="4" applyBorder="1" applyAlignment="1">
      <alignment horizontal="left" vertical="top" wrapText="1"/>
    </xf>
    <xf numFmtId="0" fontId="1" fillId="0" borderId="105" xfId="4" applyBorder="1" applyAlignment="1">
      <alignment horizontal="center"/>
    </xf>
    <xf numFmtId="0" fontId="2" fillId="0" borderId="104" xfId="4" applyFont="1" applyBorder="1" applyAlignment="1">
      <alignment horizontal="center" vertical="center"/>
    </xf>
    <xf numFmtId="10" fontId="16" fillId="0" borderId="22" xfId="1" applyNumberFormat="1" applyFont="1" applyBorder="1"/>
    <xf numFmtId="10" fontId="33" fillId="0" borderId="26" xfId="0" applyNumberFormat="1" applyFont="1" applyBorder="1"/>
    <xf numFmtId="10" fontId="33" fillId="0" borderId="53" xfId="0" applyNumberFormat="1" applyFont="1" applyBorder="1"/>
    <xf numFmtId="0" fontId="11" fillId="3" borderId="5" xfId="1" quotePrefix="1" applyFont="1" applyFill="1" applyBorder="1" applyAlignment="1">
      <alignment horizontal="left" vertical="top"/>
    </xf>
    <xf numFmtId="171" fontId="0" fillId="0" borderId="0" xfId="0" applyNumberFormat="1"/>
    <xf numFmtId="0" fontId="33" fillId="0" borderId="0" xfId="0" applyFont="1" applyAlignment="1">
      <alignment horizontal="justify" vertical="center"/>
    </xf>
    <xf numFmtId="0" fontId="42" fillId="0" borderId="167" xfId="1" applyFont="1" applyBorder="1" applyAlignment="1">
      <alignment horizontal="right" vertical="center" wrapText="1"/>
    </xf>
    <xf numFmtId="0" fontId="42" fillId="0" borderId="93" xfId="1" applyFont="1" applyBorder="1" applyAlignment="1">
      <alignment horizontal="right" vertical="center" wrapText="1"/>
    </xf>
    <xf numFmtId="0" fontId="42" fillId="0" borderId="168" xfId="1" applyFont="1" applyBorder="1" applyAlignment="1">
      <alignment horizontal="right" vertical="center" wrapText="1"/>
    </xf>
    <xf numFmtId="175" fontId="42" fillId="0" borderId="92" xfId="1" applyNumberFormat="1" applyFont="1" applyBorder="1" applyAlignment="1">
      <alignment horizontal="right" vertical="center"/>
    </xf>
    <xf numFmtId="10" fontId="42" fillId="0" borderId="92" xfId="1" applyNumberFormat="1" applyFont="1" applyBorder="1" applyAlignment="1">
      <alignment horizontal="right" vertical="center"/>
    </xf>
    <xf numFmtId="175" fontId="42" fillId="0" borderId="167" xfId="1" applyNumberFormat="1" applyFont="1" applyBorder="1" applyAlignment="1">
      <alignment horizontal="right" vertical="center"/>
    </xf>
    <xf numFmtId="175" fontId="42" fillId="0" borderId="169" xfId="1" applyNumberFormat="1" applyFont="1" applyBorder="1" applyAlignment="1">
      <alignment horizontal="right" vertical="center"/>
    </xf>
    <xf numFmtId="10" fontId="42" fillId="0" borderId="153" xfId="1" applyNumberFormat="1" applyFont="1" applyBorder="1" applyAlignment="1">
      <alignment horizontal="right" vertical="center"/>
    </xf>
    <xf numFmtId="0" fontId="0" fillId="0" borderId="0" xfId="1" applyFont="1" applyBorder="1" applyAlignment="1">
      <alignment vertical="top" wrapText="1"/>
    </xf>
    <xf numFmtId="4" fontId="40" fillId="0" borderId="0" xfId="1" applyNumberFormat="1" applyFont="1" applyBorder="1"/>
    <xf numFmtId="4" fontId="16" fillId="0" borderId="0" xfId="1" applyNumberFormat="1" applyFont="1" applyBorder="1"/>
    <xf numFmtId="4" fontId="23" fillId="0" borderId="0" xfId="1" applyNumberFormat="1" applyFont="1" applyBorder="1"/>
    <xf numFmtId="0" fontId="2" fillId="0" borderId="0" xfId="1" applyFont="1" applyBorder="1" applyAlignment="1">
      <alignment vertical="top" wrapText="1"/>
    </xf>
    <xf numFmtId="0" fontId="33" fillId="0" borderId="0" xfId="0" applyFont="1" applyBorder="1" applyAlignment="1">
      <alignment horizontal="justify" vertical="center" wrapText="1"/>
    </xf>
    <xf numFmtId="0" fontId="29" fillId="0" borderId="28" xfId="1" applyFont="1" applyBorder="1" applyAlignment="1">
      <alignment vertical="center" wrapText="1"/>
    </xf>
    <xf numFmtId="0" fontId="29" fillId="0" borderId="66" xfId="1" applyFont="1" applyBorder="1" applyAlignment="1">
      <alignment vertical="center" wrapText="1"/>
    </xf>
    <xf numFmtId="0" fontId="39" fillId="0" borderId="22" xfId="1" applyFont="1" applyBorder="1" applyAlignment="1">
      <alignment vertical="center" wrapText="1"/>
    </xf>
    <xf numFmtId="175" fontId="28" fillId="0" borderId="19" xfId="1" applyNumberFormat="1" applyFont="1" applyBorder="1" applyAlignment="1">
      <alignment horizontal="right" vertical="center"/>
    </xf>
    <xf numFmtId="10" fontId="28" fillId="0" borderId="19" xfId="1" applyNumberFormat="1" applyFont="1" applyBorder="1" applyAlignment="1">
      <alignment horizontal="right" vertical="center"/>
    </xf>
    <xf numFmtId="175" fontId="28" fillId="0" borderId="28" xfId="1" applyNumberFormat="1" applyFont="1" applyBorder="1" applyAlignment="1">
      <alignment horizontal="right" vertical="center"/>
    </xf>
    <xf numFmtId="175" fontId="28" fillId="0" borderId="29" xfId="1" applyNumberFormat="1" applyFont="1" applyBorder="1" applyAlignment="1">
      <alignment horizontal="right" vertical="center"/>
    </xf>
    <xf numFmtId="10" fontId="28" fillId="0" borderId="74" xfId="1" applyNumberFormat="1" applyFont="1" applyBorder="1" applyAlignment="1">
      <alignment horizontal="right" vertical="center"/>
    </xf>
    <xf numFmtId="0" fontId="29" fillId="0" borderId="35" xfId="1" applyFont="1" applyBorder="1" applyAlignment="1">
      <alignment vertical="center" wrapText="1"/>
    </xf>
    <xf numFmtId="0" fontId="29" fillId="0" borderId="38" xfId="1" applyFont="1" applyBorder="1" applyAlignment="1">
      <alignment vertical="center" wrapText="1"/>
    </xf>
    <xf numFmtId="175" fontId="37" fillId="0" borderId="33" xfId="1" applyNumberFormat="1" applyFont="1" applyBorder="1" applyAlignment="1">
      <alignment horizontal="right" vertical="center"/>
    </xf>
    <xf numFmtId="0" fontId="29" fillId="0" borderId="17" xfId="1" applyFont="1" applyBorder="1" applyAlignment="1">
      <alignment vertical="center" wrapText="1"/>
    </xf>
    <xf numFmtId="0" fontId="29" fillId="0" borderId="0" xfId="1" applyFont="1" applyBorder="1" applyAlignment="1">
      <alignment vertical="center" wrapText="1"/>
    </xf>
    <xf numFmtId="0" fontId="16" fillId="0" borderId="0" xfId="0" applyFont="1" applyBorder="1"/>
    <xf numFmtId="175" fontId="43" fillId="0" borderId="56" xfId="1" applyNumberFormat="1" applyFont="1" applyBorder="1" applyAlignment="1">
      <alignment horizontal="right" vertical="center"/>
    </xf>
    <xf numFmtId="0" fontId="24" fillId="0" borderId="53" xfId="1" applyFont="1" applyBorder="1" applyAlignment="1">
      <alignment vertical="center" wrapText="1"/>
    </xf>
    <xf numFmtId="175" fontId="24" fillId="0" borderId="56" xfId="1" applyNumberFormat="1" applyFont="1" applyBorder="1" applyAlignment="1">
      <alignment horizontal="right" vertical="center"/>
    </xf>
    <xf numFmtId="0" fontId="23" fillId="0" borderId="53" xfId="0" applyFont="1" applyBorder="1" applyAlignment="1">
      <alignment horizontal="left" vertical="center" wrapText="1"/>
    </xf>
    <xf numFmtId="175" fontId="12" fillId="0" borderId="56" xfId="1" applyNumberFormat="1" applyFont="1" applyBorder="1" applyAlignment="1">
      <alignment horizontal="right" vertical="center"/>
    </xf>
    <xf numFmtId="0" fontId="33" fillId="0" borderId="0" xfId="0" applyFont="1" applyBorder="1"/>
    <xf numFmtId="175" fontId="37" fillId="0" borderId="56" xfId="1" applyNumberFormat="1" applyFont="1" applyBorder="1" applyAlignment="1">
      <alignment horizontal="right" vertical="center"/>
    </xf>
    <xf numFmtId="0" fontId="37" fillId="0" borderId="53" xfId="1" applyFont="1" applyBorder="1" applyAlignment="1">
      <alignment vertical="center" wrapText="1"/>
    </xf>
    <xf numFmtId="0" fontId="0" fillId="0" borderId="28" xfId="1" applyFont="1" applyBorder="1" applyAlignment="1">
      <alignment vertical="top" wrapText="1"/>
    </xf>
    <xf numFmtId="0" fontId="0" fillId="0" borderId="66" xfId="1" applyFont="1" applyBorder="1" applyAlignment="1">
      <alignment vertical="top" wrapText="1"/>
    </xf>
    <xf numFmtId="10" fontId="41" fillId="0" borderId="22" xfId="1" applyNumberFormat="1" applyFont="1" applyBorder="1"/>
    <xf numFmtId="0" fontId="0" fillId="0" borderId="0" xfId="0" applyBorder="1"/>
    <xf numFmtId="0" fontId="33" fillId="0" borderId="0" xfId="0" applyFont="1" applyBorder="1" applyAlignment="1">
      <alignment horizontal="left" vertical="top" wrapText="1"/>
    </xf>
    <xf numFmtId="168" fontId="33" fillId="0" borderId="56" xfId="0" applyNumberFormat="1" applyFont="1" applyBorder="1" applyAlignment="1">
      <alignment vertical="center"/>
    </xf>
    <xf numFmtId="4" fontId="33" fillId="0" borderId="56" xfId="0" applyNumberFormat="1" applyFont="1" applyBorder="1" applyAlignment="1">
      <alignment vertical="center"/>
    </xf>
    <xf numFmtId="171" fontId="33" fillId="0" borderId="33" xfId="0" applyNumberFormat="1" applyFont="1" applyBorder="1" applyAlignment="1">
      <alignment vertical="center"/>
    </xf>
    <xf numFmtId="175" fontId="43" fillId="0" borderId="17" xfId="1" applyNumberFormat="1" applyFont="1" applyBorder="1" applyAlignment="1">
      <alignment horizontal="right" vertical="center"/>
    </xf>
    <xf numFmtId="175" fontId="24" fillId="0" borderId="17" xfId="1" applyNumberFormat="1" applyFont="1" applyBorder="1" applyAlignment="1">
      <alignment horizontal="right" vertical="center"/>
    </xf>
    <xf numFmtId="175" fontId="12" fillId="0" borderId="17" xfId="1" applyNumberFormat="1" applyFont="1" applyBorder="1" applyAlignment="1">
      <alignment horizontal="right" vertical="center"/>
    </xf>
    <xf numFmtId="175" fontId="37" fillId="0" borderId="17" xfId="1" applyNumberFormat="1" applyFont="1" applyBorder="1" applyAlignment="1">
      <alignment horizontal="right" vertical="center"/>
    </xf>
    <xf numFmtId="175" fontId="37" fillId="0" borderId="35" xfId="1" applyNumberFormat="1" applyFont="1" applyBorder="1" applyAlignment="1">
      <alignment horizontal="right" vertical="center"/>
    </xf>
    <xf numFmtId="175" fontId="43" fillId="0" borderId="11" xfId="1" applyNumberFormat="1" applyFont="1" applyBorder="1" applyAlignment="1">
      <alignment horizontal="right" vertical="center"/>
    </xf>
    <xf numFmtId="175" fontId="24" fillId="0" borderId="11" xfId="1" applyNumberFormat="1" applyFont="1" applyBorder="1" applyAlignment="1">
      <alignment horizontal="right" vertical="center"/>
    </xf>
    <xf numFmtId="175" fontId="12" fillId="0" borderId="11" xfId="1" applyNumberFormat="1" applyFont="1" applyBorder="1" applyAlignment="1">
      <alignment horizontal="right" vertical="center"/>
    </xf>
    <xf numFmtId="175" fontId="37" fillId="0" borderId="11" xfId="1" applyNumberFormat="1" applyFont="1" applyBorder="1" applyAlignment="1">
      <alignment horizontal="right" vertical="center"/>
    </xf>
    <xf numFmtId="175" fontId="37" fillId="0" borderId="36" xfId="1" applyNumberFormat="1" applyFont="1" applyBorder="1" applyAlignment="1">
      <alignment horizontal="right" vertical="center"/>
    </xf>
    <xf numFmtId="168" fontId="33" fillId="0" borderId="17" xfId="0" applyNumberFormat="1" applyFont="1" applyBorder="1" applyAlignment="1">
      <alignment vertical="center"/>
    </xf>
    <xf numFmtId="4" fontId="33" fillId="0" borderId="17" xfId="0" applyNumberFormat="1" applyFont="1" applyBorder="1" applyAlignment="1">
      <alignment vertical="center"/>
    </xf>
    <xf numFmtId="171" fontId="33" fillId="0" borderId="35" xfId="0" applyNumberFormat="1" applyFont="1" applyBorder="1" applyAlignment="1">
      <alignment vertical="center"/>
    </xf>
    <xf numFmtId="168" fontId="33" fillId="0" borderId="11" xfId="0" applyNumberFormat="1" applyFont="1" applyBorder="1" applyAlignment="1">
      <alignment vertical="center"/>
    </xf>
    <xf numFmtId="4" fontId="33" fillId="0" borderId="11" xfId="0" applyNumberFormat="1" applyFont="1" applyBorder="1" applyAlignment="1">
      <alignment vertical="center"/>
    </xf>
    <xf numFmtId="171" fontId="33" fillId="0" borderId="36" xfId="0" applyNumberFormat="1" applyFont="1" applyBorder="1" applyAlignment="1">
      <alignment vertical="center"/>
    </xf>
    <xf numFmtId="10" fontId="30" fillId="0" borderId="56" xfId="1" applyNumberFormat="1" applyFont="1" applyBorder="1" applyAlignment="1">
      <alignment horizontal="right" vertical="center"/>
    </xf>
    <xf numFmtId="10" fontId="30" fillId="0" borderId="53" xfId="1" applyNumberFormat="1" applyFont="1" applyBorder="1" applyAlignment="1">
      <alignment horizontal="right" vertical="center"/>
    </xf>
    <xf numFmtId="10" fontId="33" fillId="0" borderId="56" xfId="0" applyNumberFormat="1" applyFont="1" applyBorder="1" applyAlignment="1">
      <alignment vertical="center"/>
    </xf>
    <xf numFmtId="10" fontId="33" fillId="0" borderId="33" xfId="0" applyNumberFormat="1" applyFont="1" applyBorder="1" applyAlignment="1">
      <alignment vertical="center"/>
    </xf>
    <xf numFmtId="0" fontId="33" fillId="0" borderId="26" xfId="0" applyFont="1" applyBorder="1" applyAlignment="1">
      <alignment horizontal="justify" vertical="center" wrapText="1"/>
    </xf>
    <xf numFmtId="0" fontId="0" fillId="0" borderId="17" xfId="1" applyFont="1" applyBorder="1" applyAlignment="1">
      <alignment vertical="top" wrapText="1"/>
    </xf>
    <xf numFmtId="0" fontId="40" fillId="0" borderId="22" xfId="1" applyFont="1" applyBorder="1" applyAlignment="1">
      <alignment vertical="top" wrapText="1"/>
    </xf>
    <xf numFmtId="4" fontId="40" fillId="0" borderId="19" xfId="1" applyNumberFormat="1" applyFont="1" applyBorder="1"/>
    <xf numFmtId="10" fontId="39" fillId="0" borderId="19" xfId="1" applyNumberFormat="1" applyFont="1" applyBorder="1" applyAlignment="1">
      <alignment horizontal="right" vertical="center"/>
    </xf>
    <xf numFmtId="4" fontId="40" fillId="0" borderId="28" xfId="1" applyNumberFormat="1" applyFont="1" applyBorder="1"/>
    <xf numFmtId="4" fontId="40" fillId="0" borderId="29" xfId="1" applyNumberFormat="1" applyFont="1" applyBorder="1"/>
    <xf numFmtId="0" fontId="28" fillId="0" borderId="0" xfId="1" applyFont="1" applyBorder="1" applyAlignment="1">
      <alignment horizontal="left" vertical="center" wrapText="1"/>
    </xf>
    <xf numFmtId="0" fontId="28" fillId="0" borderId="53" xfId="1" applyFont="1" applyBorder="1" applyAlignment="1">
      <alignment horizontal="left" vertical="center" wrapText="1"/>
    </xf>
    <xf numFmtId="10" fontId="33" fillId="0" borderId="53" xfId="0" applyNumberFormat="1" applyFont="1" applyBorder="1" applyAlignment="1">
      <alignment vertical="center"/>
    </xf>
    <xf numFmtId="10" fontId="33" fillId="0" borderId="76" xfId="0" applyNumberFormat="1" applyFont="1" applyBorder="1" applyAlignment="1">
      <alignment vertical="center"/>
    </xf>
  </cellXfs>
  <cellStyles count="5">
    <cellStyle name="Dziesiętny" xfId="1" builtinId="3"/>
    <cellStyle name="Normalny" xfId="0" builtinId="0"/>
    <cellStyle name="Normalny 4" xfId="2"/>
    <cellStyle name="Normalny_Prognoza długu 2011 do WPF mat. pomocnicze" xfId="3"/>
    <cellStyle name="Normalny_Załacznik Nr 3  do Zarządzenia nr 179 Prognoza długu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538</xdr:row>
      <xdr:rowOff>0</xdr:rowOff>
    </xdr:from>
    <xdr:to>
      <xdr:col>3</xdr:col>
      <xdr:colOff>314325</xdr:colOff>
      <xdr:row>538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H="1" flipV="1">
          <a:off x="0" y="125529975"/>
          <a:ext cx="123825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ell/Pulpit/Projekt%202015/Kopia%20Dochody%20i%20Wydatki%20i%20prognoza%20d&#322;ugu%20(Automatycznie%20zapisany)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Zał.1 Dochody "/>
      <sheetName val="Zał. 2 Wydatki "/>
      <sheetName val=" Zał.1 Dochody  (2)"/>
      <sheetName val="Zał. 2 Wydatki  (2)"/>
      <sheetName val=" prognoza zadłużenia 2014) (3)"/>
      <sheetName val=" prognoza zadłużenia 2014) (2)"/>
      <sheetName val="Odpady"/>
      <sheetName val="Arkusz1"/>
      <sheetName val="Arkusz2"/>
    </sheetNames>
    <sheetDataSet>
      <sheetData sheetId="0"/>
      <sheetData sheetId="1">
        <row r="537">
          <cell r="J537">
            <v>51150727.109999999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3"/>
  <sheetViews>
    <sheetView topLeftCell="A195" zoomScaleNormal="100" workbookViewId="0">
      <selection activeCell="F259" sqref="F259:I261"/>
    </sheetView>
  </sheetViews>
  <sheetFormatPr defaultRowHeight="12.75" x14ac:dyDescent="0.2"/>
  <cols>
    <col min="1" max="1" width="4.7109375" customWidth="1"/>
    <col min="2" max="2" width="7.42578125" customWidth="1" collapsed="1"/>
    <col min="3" max="3" width="2.7109375" hidden="1" customWidth="1" collapsed="1"/>
    <col min="4" max="4" width="6.42578125" customWidth="1"/>
    <col min="5" max="5" width="37.42578125" style="1" customWidth="1"/>
    <col min="6" max="6" width="14.140625" customWidth="1" collapsed="1"/>
    <col min="7" max="7" width="13.140625" customWidth="1" collapsed="1"/>
    <col min="8" max="8" width="8.28515625" customWidth="1" collapsed="1"/>
    <col min="9" max="9" width="13.42578125" customWidth="1"/>
    <col min="10" max="10" width="13.28515625" customWidth="1"/>
    <col min="11" max="11" width="12" customWidth="1"/>
    <col min="12" max="12" width="15.42578125" hidden="1" customWidth="1"/>
    <col min="13" max="13" width="0" hidden="1" customWidth="1"/>
  </cols>
  <sheetData>
    <row r="1" spans="1:12" ht="33" customHeight="1" x14ac:dyDescent="0.2">
      <c r="G1" s="1164" t="s">
        <v>0</v>
      </c>
      <c r="H1" s="1164"/>
      <c r="I1" s="1164"/>
      <c r="J1" s="1164"/>
      <c r="K1" s="1164"/>
    </row>
    <row r="2" spans="1:12" ht="39" customHeight="1" x14ac:dyDescent="0.2">
      <c r="A2" s="1165" t="s">
        <v>1</v>
      </c>
      <c r="B2" s="1165"/>
      <c r="C2" s="1165"/>
      <c r="D2" s="1165"/>
      <c r="E2" s="1165"/>
      <c r="F2" s="1165"/>
      <c r="G2" s="1165"/>
      <c r="H2" s="1165"/>
      <c r="I2" s="1165"/>
      <c r="J2" s="1165"/>
      <c r="K2" s="1165"/>
    </row>
    <row r="3" spans="1:12" x14ac:dyDescent="0.2">
      <c r="G3" s="2"/>
      <c r="H3" s="2"/>
      <c r="I3" s="2"/>
      <c r="J3" s="2"/>
      <c r="K3" s="2"/>
      <c r="L3" s="2"/>
    </row>
    <row r="4" spans="1:12" ht="39" x14ac:dyDescent="0.2">
      <c r="A4" s="3" t="s">
        <v>2</v>
      </c>
      <c r="B4" s="4" t="s">
        <v>3</v>
      </c>
      <c r="C4" s="4" t="s">
        <v>4</v>
      </c>
      <c r="D4" s="5" t="s">
        <v>4</v>
      </c>
      <c r="E4" s="6" t="s">
        <v>5</v>
      </c>
      <c r="F4" s="7" t="s">
        <v>6</v>
      </c>
      <c r="G4" s="8" t="s">
        <v>7</v>
      </c>
      <c r="H4" s="9" t="s">
        <v>8</v>
      </c>
      <c r="I4" s="10" t="s">
        <v>9</v>
      </c>
      <c r="J4" s="11" t="s">
        <v>10</v>
      </c>
      <c r="K4" s="12" t="s">
        <v>11</v>
      </c>
      <c r="L4" s="13" t="s">
        <v>12</v>
      </c>
    </row>
    <row r="5" spans="1:12" x14ac:dyDescent="0.2">
      <c r="A5" s="14">
        <v>10</v>
      </c>
      <c r="B5" s="15"/>
      <c r="C5" s="15"/>
      <c r="D5" s="16"/>
      <c r="E5" s="17" t="s">
        <v>13</v>
      </c>
      <c r="F5" s="18">
        <f>F11+F6+F9</f>
        <v>593633.79999999993</v>
      </c>
      <c r="G5" s="18">
        <f>G11+G6+G9</f>
        <v>590988.19999999995</v>
      </c>
      <c r="H5" s="19">
        <f>G5/F5</f>
        <v>0.99554338044767665</v>
      </c>
      <c r="I5" s="20">
        <f>I11+I6+I9</f>
        <v>590988.19999999995</v>
      </c>
      <c r="J5" s="21">
        <f>J11+J6+J9</f>
        <v>20500</v>
      </c>
      <c r="K5" s="22">
        <f>J5/F5</f>
        <v>3.4533074093826874E-2</v>
      </c>
      <c r="L5" s="23"/>
    </row>
    <row r="6" spans="1:12" hidden="1" x14ac:dyDescent="0.2">
      <c r="A6" s="24"/>
      <c r="B6" s="25" t="s">
        <v>14</v>
      </c>
      <c r="C6" s="26"/>
      <c r="D6" s="27"/>
      <c r="E6" s="28" t="s">
        <v>15</v>
      </c>
      <c r="F6" s="29">
        <f>SUM(F7:F8)</f>
        <v>0</v>
      </c>
      <c r="G6" s="30">
        <f>SUM(G7:G8)</f>
        <v>0</v>
      </c>
      <c r="H6" s="31">
        <v>0</v>
      </c>
      <c r="I6" s="30">
        <f>SUM(I7:I8)</f>
        <v>0</v>
      </c>
      <c r="J6" s="32">
        <f>SUM(J7:J8)</f>
        <v>0</v>
      </c>
      <c r="K6" s="33">
        <v>0</v>
      </c>
      <c r="L6" s="23"/>
    </row>
    <row r="7" spans="1:12" hidden="1" x14ac:dyDescent="0.2">
      <c r="A7" s="34"/>
      <c r="B7" s="35"/>
      <c r="C7" s="35"/>
      <c r="D7" s="36" t="s">
        <v>16</v>
      </c>
      <c r="E7" s="37" t="s">
        <v>17</v>
      </c>
      <c r="F7" s="38">
        <v>0</v>
      </c>
      <c r="G7" s="39">
        <v>0</v>
      </c>
      <c r="H7" s="40">
        <v>0</v>
      </c>
      <c r="I7" s="41">
        <v>0</v>
      </c>
      <c r="J7" s="42">
        <v>0</v>
      </c>
      <c r="K7" s="43">
        <v>0</v>
      </c>
      <c r="L7" s="23"/>
    </row>
    <row r="8" spans="1:12" hidden="1" x14ac:dyDescent="0.2">
      <c r="A8" s="34"/>
      <c r="B8" s="35"/>
      <c r="C8" s="35"/>
      <c r="D8" s="44" t="s">
        <v>18</v>
      </c>
      <c r="E8" s="45" t="s">
        <v>19</v>
      </c>
      <c r="F8" s="46">
        <v>0</v>
      </c>
      <c r="G8" s="47"/>
      <c r="H8" s="48">
        <v>0</v>
      </c>
      <c r="I8" s="49">
        <v>0</v>
      </c>
      <c r="J8" s="50">
        <v>0</v>
      </c>
      <c r="K8" s="51">
        <v>0</v>
      </c>
      <c r="L8" s="52"/>
    </row>
    <row r="9" spans="1:12" x14ac:dyDescent="0.2">
      <c r="A9" s="34"/>
      <c r="B9" s="1166" t="s">
        <v>20</v>
      </c>
      <c r="C9" s="1167"/>
      <c r="D9" s="1168"/>
      <c r="E9" s="53" t="s">
        <v>21</v>
      </c>
      <c r="F9" s="54">
        <f>F10</f>
        <v>28125</v>
      </c>
      <c r="G9" s="54">
        <f>G10</f>
        <v>28125</v>
      </c>
      <c r="H9" s="55">
        <f>G9/F9</f>
        <v>1</v>
      </c>
      <c r="I9" s="56">
        <f>I10</f>
        <v>28125</v>
      </c>
      <c r="J9" s="57">
        <f>J10</f>
        <v>0</v>
      </c>
      <c r="K9" s="58">
        <f>J9/F9</f>
        <v>0</v>
      </c>
      <c r="L9" s="59"/>
    </row>
    <row r="10" spans="1:12" ht="56.25" x14ac:dyDescent="0.2">
      <c r="A10" s="34"/>
      <c r="B10" s="35"/>
      <c r="C10" s="35"/>
      <c r="D10" s="1222">
        <v>6300</v>
      </c>
      <c r="E10" s="61" t="s">
        <v>22</v>
      </c>
      <c r="F10" s="62">
        <v>28125</v>
      </c>
      <c r="G10" s="63">
        <v>28125</v>
      </c>
      <c r="H10" s="64">
        <f>G10/F10</f>
        <v>1</v>
      </c>
      <c r="I10" s="63">
        <v>28125</v>
      </c>
      <c r="J10" s="65">
        <v>0</v>
      </c>
      <c r="K10" s="66">
        <f>J10/F10</f>
        <v>0</v>
      </c>
      <c r="L10" s="67"/>
    </row>
    <row r="11" spans="1:12" x14ac:dyDescent="0.2">
      <c r="A11" s="68"/>
      <c r="B11" s="69">
        <v>1095</v>
      </c>
      <c r="C11" s="70"/>
      <c r="D11" s="71"/>
      <c r="E11" s="72" t="s">
        <v>23</v>
      </c>
      <c r="F11" s="73">
        <f>SUM(F12:F16)</f>
        <v>565508.79999999993</v>
      </c>
      <c r="G11" s="73">
        <f>SUM(G12:G16)</f>
        <v>562863.19999999995</v>
      </c>
      <c r="H11" s="74">
        <f>G11/F11</f>
        <v>0.99532173504638655</v>
      </c>
      <c r="I11" s="75">
        <f>SUM(I12:I16)</f>
        <v>562863.19999999995</v>
      </c>
      <c r="J11" s="76">
        <f>SUM(J12:J16)</f>
        <v>20500</v>
      </c>
      <c r="K11" s="77">
        <f t="shared" ref="K11:K92" si="0">J11/F11</f>
        <v>3.6250541105637975E-2</v>
      </c>
      <c r="L11" s="23"/>
    </row>
    <row r="12" spans="1:12" ht="56.25" x14ac:dyDescent="0.2">
      <c r="A12" s="78"/>
      <c r="B12" s="79"/>
      <c r="C12" s="80"/>
      <c r="D12" s="81">
        <v>750</v>
      </c>
      <c r="E12" s="37" t="s">
        <v>24</v>
      </c>
      <c r="F12" s="82">
        <v>20500</v>
      </c>
      <c r="G12" s="83">
        <v>17637.580000000002</v>
      </c>
      <c r="H12" s="84">
        <f>G12/F12</f>
        <v>0.86036975609756106</v>
      </c>
      <c r="I12" s="85">
        <v>17637.580000000002</v>
      </c>
      <c r="J12" s="86">
        <v>20500</v>
      </c>
      <c r="K12" s="87">
        <f t="shared" si="0"/>
        <v>1</v>
      </c>
      <c r="L12" s="88" t="s">
        <v>25</v>
      </c>
    </row>
    <row r="13" spans="1:12" x14ac:dyDescent="0.2">
      <c r="A13" s="78"/>
      <c r="B13" s="79"/>
      <c r="C13" s="80"/>
      <c r="D13" s="89" t="s">
        <v>18</v>
      </c>
      <c r="E13" s="90" t="s">
        <v>19</v>
      </c>
      <c r="F13" s="82">
        <v>0</v>
      </c>
      <c r="G13" s="83">
        <v>216.82</v>
      </c>
      <c r="H13" s="84">
        <v>0</v>
      </c>
      <c r="I13" s="85">
        <v>216.82</v>
      </c>
      <c r="J13" s="86">
        <v>0</v>
      </c>
      <c r="K13" s="87">
        <v>0</v>
      </c>
      <c r="L13" s="23"/>
    </row>
    <row r="14" spans="1:12" ht="45" x14ac:dyDescent="0.2">
      <c r="A14" s="78"/>
      <c r="B14" s="79"/>
      <c r="C14" s="80"/>
      <c r="D14" s="91">
        <v>2010</v>
      </c>
      <c r="E14" s="37" t="s">
        <v>26</v>
      </c>
      <c r="F14" s="92">
        <v>460321.41</v>
      </c>
      <c r="G14" s="93">
        <v>460321.41</v>
      </c>
      <c r="H14" s="94">
        <f>G14/F14</f>
        <v>1</v>
      </c>
      <c r="I14" s="95">
        <v>460321.41</v>
      </c>
      <c r="J14" s="96">
        <v>0</v>
      </c>
      <c r="K14" s="87">
        <f t="shared" si="0"/>
        <v>0</v>
      </c>
      <c r="L14" s="23"/>
    </row>
    <row r="15" spans="1:12" ht="45" x14ac:dyDescent="0.2">
      <c r="A15" s="78"/>
      <c r="B15" s="79"/>
      <c r="C15" s="80"/>
      <c r="D15" s="97">
        <v>2710</v>
      </c>
      <c r="E15" s="90" t="s">
        <v>27</v>
      </c>
      <c r="F15" s="98">
        <v>56344.160000000003</v>
      </c>
      <c r="G15" s="83">
        <v>56344.160000000003</v>
      </c>
      <c r="H15" s="94">
        <f t="shared" ref="H15:H16" si="1">G15/F15</f>
        <v>1</v>
      </c>
      <c r="I15" s="85">
        <v>56344.160000000003</v>
      </c>
      <c r="J15" s="86">
        <v>0</v>
      </c>
      <c r="K15" s="87">
        <f t="shared" si="0"/>
        <v>0</v>
      </c>
      <c r="L15" s="23"/>
    </row>
    <row r="16" spans="1:12" ht="56.25" x14ac:dyDescent="0.2">
      <c r="A16" s="78"/>
      <c r="B16" s="79"/>
      <c r="C16" s="80"/>
      <c r="D16" s="97">
        <v>6300</v>
      </c>
      <c r="E16" s="61" t="s">
        <v>22</v>
      </c>
      <c r="F16" s="98">
        <v>28343.23</v>
      </c>
      <c r="G16" s="83">
        <v>28343.23</v>
      </c>
      <c r="H16" s="84">
        <f t="shared" si="1"/>
        <v>1</v>
      </c>
      <c r="I16" s="85">
        <v>28343.23</v>
      </c>
      <c r="J16" s="86">
        <v>0</v>
      </c>
      <c r="K16" s="87">
        <f t="shared" si="0"/>
        <v>0</v>
      </c>
      <c r="L16" s="23"/>
    </row>
    <row r="17" spans="1:12" x14ac:dyDescent="0.2">
      <c r="A17" s="99">
        <v>50</v>
      </c>
      <c r="B17" s="100"/>
      <c r="C17" s="100"/>
      <c r="D17" s="16"/>
      <c r="E17" s="101" t="s">
        <v>28</v>
      </c>
      <c r="F17" s="102">
        <f>F18</f>
        <v>20000</v>
      </c>
      <c r="G17" s="20">
        <f t="shared" ref="G17:J18" si="2">G18</f>
        <v>14500</v>
      </c>
      <c r="H17" s="19">
        <f>G17/F17</f>
        <v>0.72499999999999998</v>
      </c>
      <c r="I17" s="20">
        <f t="shared" si="2"/>
        <v>18500</v>
      </c>
      <c r="J17" s="21">
        <f t="shared" si="2"/>
        <v>20000</v>
      </c>
      <c r="K17" s="22">
        <f t="shared" si="0"/>
        <v>1</v>
      </c>
      <c r="L17" s="23"/>
    </row>
    <row r="18" spans="1:12" x14ac:dyDescent="0.2">
      <c r="A18" s="68"/>
      <c r="B18" s="69">
        <v>5095</v>
      </c>
      <c r="C18" s="70"/>
      <c r="D18" s="103"/>
      <c r="E18" s="104" t="s">
        <v>23</v>
      </c>
      <c r="F18" s="105">
        <f>F19</f>
        <v>20000</v>
      </c>
      <c r="G18" s="75">
        <f t="shared" si="2"/>
        <v>14500</v>
      </c>
      <c r="H18" s="74">
        <f>G18/F18</f>
        <v>0.72499999999999998</v>
      </c>
      <c r="I18" s="75">
        <f t="shared" si="2"/>
        <v>18500</v>
      </c>
      <c r="J18" s="76">
        <f t="shared" si="2"/>
        <v>20000</v>
      </c>
      <c r="K18" s="106">
        <f t="shared" si="0"/>
        <v>1</v>
      </c>
      <c r="L18" s="23"/>
    </row>
    <row r="19" spans="1:12" x14ac:dyDescent="0.2">
      <c r="A19" s="78"/>
      <c r="B19" s="79"/>
      <c r="C19" s="107"/>
      <c r="D19" s="108">
        <v>690</v>
      </c>
      <c r="E19" s="109" t="s">
        <v>29</v>
      </c>
      <c r="F19" s="110">
        <v>20000</v>
      </c>
      <c r="G19" s="83">
        <v>14500</v>
      </c>
      <c r="H19" s="84">
        <f>G19/F19</f>
        <v>0.72499999999999998</v>
      </c>
      <c r="I19" s="85">
        <v>18500</v>
      </c>
      <c r="J19" s="86">
        <v>20000</v>
      </c>
      <c r="K19" s="87">
        <f t="shared" si="0"/>
        <v>1</v>
      </c>
      <c r="L19" s="23"/>
    </row>
    <row r="20" spans="1:12" x14ac:dyDescent="0.2">
      <c r="A20" s="111">
        <v>600</v>
      </c>
      <c r="B20" s="100"/>
      <c r="C20" s="100"/>
      <c r="D20" s="112"/>
      <c r="E20" s="113" t="s">
        <v>30</v>
      </c>
      <c r="F20" s="114">
        <f>F21</f>
        <v>3000</v>
      </c>
      <c r="G20" s="115">
        <f t="shared" ref="G20:J21" si="3">G21</f>
        <v>7311.54</v>
      </c>
      <c r="H20" s="116">
        <f t="shared" si="3"/>
        <v>2.4371800000000001</v>
      </c>
      <c r="I20" s="115">
        <f t="shared" si="3"/>
        <v>7311.54</v>
      </c>
      <c r="J20" s="117">
        <f t="shared" si="3"/>
        <v>7000</v>
      </c>
      <c r="K20" s="22">
        <f>J20/F20</f>
        <v>2.3333333333333335</v>
      </c>
      <c r="L20" s="23"/>
    </row>
    <row r="21" spans="1:12" x14ac:dyDescent="0.2">
      <c r="A21" s="68"/>
      <c r="B21" s="118">
        <v>60016</v>
      </c>
      <c r="C21" s="70"/>
      <c r="D21" s="103"/>
      <c r="E21" s="72" t="s">
        <v>31</v>
      </c>
      <c r="F21" s="119">
        <f>SUM(F22:F22)</f>
        <v>3000</v>
      </c>
      <c r="G21" s="119">
        <f>SUM(G22:G22)</f>
        <v>7311.54</v>
      </c>
      <c r="H21" s="74">
        <f>G21/F21</f>
        <v>2.4371800000000001</v>
      </c>
      <c r="I21" s="75">
        <f>SUM(I22:I22)</f>
        <v>7311.54</v>
      </c>
      <c r="J21" s="76">
        <f t="shared" si="3"/>
        <v>7000</v>
      </c>
      <c r="K21" s="106">
        <f t="shared" si="0"/>
        <v>2.3333333333333335</v>
      </c>
      <c r="L21" s="23"/>
    </row>
    <row r="22" spans="1:12" ht="33.75" x14ac:dyDescent="0.2">
      <c r="A22" s="78"/>
      <c r="B22" s="79"/>
      <c r="C22" s="80"/>
      <c r="D22" s="81">
        <v>490</v>
      </c>
      <c r="E22" s="37" t="s">
        <v>32</v>
      </c>
      <c r="F22" s="120">
        <v>3000</v>
      </c>
      <c r="G22" s="93">
        <v>7311.54</v>
      </c>
      <c r="H22" s="94">
        <f>G22/F22</f>
        <v>2.4371800000000001</v>
      </c>
      <c r="I22" s="95">
        <v>7311.54</v>
      </c>
      <c r="J22" s="96">
        <v>7000</v>
      </c>
      <c r="K22" s="87">
        <f t="shared" si="0"/>
        <v>2.3333333333333335</v>
      </c>
      <c r="L22" s="23"/>
    </row>
    <row r="23" spans="1:12" x14ac:dyDescent="0.2">
      <c r="A23" s="123">
        <v>630</v>
      </c>
      <c r="B23" s="124"/>
      <c r="C23" s="124"/>
      <c r="D23" s="125"/>
      <c r="E23" s="101" t="s">
        <v>37</v>
      </c>
      <c r="F23" s="126">
        <f>F24</f>
        <v>746022.9</v>
      </c>
      <c r="G23" s="126">
        <f t="shared" ref="G23:J24" si="4">G24</f>
        <v>806042.9</v>
      </c>
      <c r="H23" s="127">
        <f t="shared" si="4"/>
        <v>1.1072710601535249</v>
      </c>
      <c r="I23" s="128">
        <f t="shared" si="4"/>
        <v>619537.17000000004</v>
      </c>
      <c r="J23" s="129">
        <f t="shared" si="4"/>
        <v>0</v>
      </c>
      <c r="K23" s="22">
        <f>J23/F23</f>
        <v>0</v>
      </c>
      <c r="L23" s="23"/>
    </row>
    <row r="24" spans="1:12" x14ac:dyDescent="0.2">
      <c r="A24" s="78"/>
      <c r="B24" s="130">
        <v>63095</v>
      </c>
      <c r="C24" s="131"/>
      <c r="D24" s="132"/>
      <c r="E24" s="133" t="s">
        <v>23</v>
      </c>
      <c r="F24" s="134">
        <f>F25+F26</f>
        <v>746022.9</v>
      </c>
      <c r="G24" s="134">
        <f>G25+G26</f>
        <v>806042.9</v>
      </c>
      <c r="H24" s="135">
        <f t="shared" si="4"/>
        <v>1.1072710601535249</v>
      </c>
      <c r="I24" s="136">
        <f t="shared" si="4"/>
        <v>619537.17000000004</v>
      </c>
      <c r="J24" s="137">
        <f t="shared" si="4"/>
        <v>0</v>
      </c>
      <c r="K24" s="33">
        <f>J24/F24</f>
        <v>0</v>
      </c>
      <c r="L24" s="23"/>
    </row>
    <row r="25" spans="1:12" ht="45" x14ac:dyDescent="0.2">
      <c r="A25" s="78"/>
      <c r="B25" s="79"/>
      <c r="C25" s="79"/>
      <c r="D25" s="138">
        <v>6298</v>
      </c>
      <c r="E25" s="139" t="s">
        <v>38</v>
      </c>
      <c r="F25" s="140">
        <v>559517.17000000004</v>
      </c>
      <c r="G25" s="141">
        <v>619537.17000000004</v>
      </c>
      <c r="H25" s="142">
        <f>G25/F25</f>
        <v>1.1072710601535249</v>
      </c>
      <c r="I25" s="143">
        <v>619537.17000000004</v>
      </c>
      <c r="J25" s="144">
        <v>0</v>
      </c>
      <c r="K25" s="43">
        <f>J25/F25</f>
        <v>0</v>
      </c>
      <c r="L25" s="23"/>
    </row>
    <row r="26" spans="1:12" ht="45" x14ac:dyDescent="0.2">
      <c r="A26" s="78"/>
      <c r="B26" s="79"/>
      <c r="C26" s="79"/>
      <c r="D26" s="138">
        <v>6299</v>
      </c>
      <c r="E26" s="139" t="s">
        <v>38</v>
      </c>
      <c r="F26" s="140">
        <v>186505.73</v>
      </c>
      <c r="G26" s="141">
        <v>186505.73</v>
      </c>
      <c r="H26" s="142">
        <f>G26/F26</f>
        <v>1</v>
      </c>
      <c r="I26" s="143">
        <v>186505.73</v>
      </c>
      <c r="J26" s="144">
        <v>0</v>
      </c>
      <c r="K26" s="43">
        <f>J26/F26</f>
        <v>0</v>
      </c>
      <c r="L26" s="23"/>
    </row>
    <row r="27" spans="1:12" x14ac:dyDescent="0.2">
      <c r="A27" s="111">
        <v>700</v>
      </c>
      <c r="B27" s="145"/>
      <c r="C27" s="145"/>
      <c r="D27" s="146"/>
      <c r="E27" s="147" t="s">
        <v>39</v>
      </c>
      <c r="F27" s="148">
        <f>F28</f>
        <v>1224743</v>
      </c>
      <c r="G27" s="148">
        <f>G28</f>
        <v>1348057.1400000001</v>
      </c>
      <c r="H27" s="149">
        <f t="shared" ref="H27:H100" si="5">G27/F27</f>
        <v>1.1006857275363078</v>
      </c>
      <c r="I27" s="150">
        <f>I28</f>
        <v>1358191.56</v>
      </c>
      <c r="J27" s="151">
        <f>J28</f>
        <v>1978900</v>
      </c>
      <c r="K27" s="22">
        <f t="shared" si="0"/>
        <v>1.6157675528661932</v>
      </c>
      <c r="L27" s="23"/>
    </row>
    <row r="28" spans="1:12" x14ac:dyDescent="0.2">
      <c r="A28" s="68"/>
      <c r="B28" s="152">
        <v>70005</v>
      </c>
      <c r="C28" s="71"/>
      <c r="D28" s="153"/>
      <c r="E28" s="104" t="s">
        <v>40</v>
      </c>
      <c r="F28" s="154">
        <f>SUM(F29:F39)</f>
        <v>1224743</v>
      </c>
      <c r="G28" s="154">
        <f>SUM(G29:G39)</f>
        <v>1348057.1400000001</v>
      </c>
      <c r="H28" s="155">
        <f t="shared" si="5"/>
        <v>1.1006857275363078</v>
      </c>
      <c r="I28" s="156">
        <f>SUM(I29:I38)</f>
        <v>1358191.56</v>
      </c>
      <c r="J28" s="157">
        <f>SUM(J29:J38)</f>
        <v>1978900</v>
      </c>
      <c r="K28" s="158">
        <f t="shared" si="0"/>
        <v>1.6157675528661932</v>
      </c>
      <c r="L28" s="23"/>
    </row>
    <row r="29" spans="1:12" ht="33.75" x14ac:dyDescent="0.2">
      <c r="A29" s="78"/>
      <c r="B29" s="79"/>
      <c r="C29" s="80"/>
      <c r="D29" s="81">
        <v>470</v>
      </c>
      <c r="E29" s="37" t="s">
        <v>41</v>
      </c>
      <c r="F29" s="82">
        <v>125400</v>
      </c>
      <c r="G29" s="83">
        <v>97901.6</v>
      </c>
      <c r="H29" s="84">
        <f t="shared" si="5"/>
        <v>0.78071451355661892</v>
      </c>
      <c r="I29" s="85">
        <v>101230.01</v>
      </c>
      <c r="J29" s="86">
        <v>125400</v>
      </c>
      <c r="K29" s="87">
        <f t="shared" si="0"/>
        <v>1</v>
      </c>
      <c r="L29" s="88" t="s">
        <v>42</v>
      </c>
    </row>
    <row r="30" spans="1:12" x14ac:dyDescent="0.2">
      <c r="A30" s="78"/>
      <c r="B30" s="79"/>
      <c r="C30" s="80"/>
      <c r="D30" s="159">
        <v>690</v>
      </c>
      <c r="E30" s="160" t="s">
        <v>29</v>
      </c>
      <c r="F30" s="161">
        <v>0</v>
      </c>
      <c r="G30" s="83">
        <v>96</v>
      </c>
      <c r="H30" s="84">
        <v>0</v>
      </c>
      <c r="I30" s="85">
        <v>96</v>
      </c>
      <c r="J30" s="86">
        <v>0</v>
      </c>
      <c r="K30" s="87">
        <v>0</v>
      </c>
      <c r="L30" s="23"/>
    </row>
    <row r="31" spans="1:12" ht="33.75" x14ac:dyDescent="0.2">
      <c r="A31" s="78"/>
      <c r="B31" s="79"/>
      <c r="C31" s="80"/>
      <c r="D31" s="162" t="s">
        <v>43</v>
      </c>
      <c r="E31" s="163" t="s">
        <v>44</v>
      </c>
      <c r="F31" s="164">
        <v>190000</v>
      </c>
      <c r="G31" s="83">
        <v>190000</v>
      </c>
      <c r="H31" s="84">
        <f>G31/F31</f>
        <v>1</v>
      </c>
      <c r="I31" s="85">
        <v>190000</v>
      </c>
      <c r="J31" s="86">
        <v>0</v>
      </c>
      <c r="K31" s="87">
        <f>J31/F31</f>
        <v>0</v>
      </c>
      <c r="L31" s="23"/>
    </row>
    <row r="32" spans="1:12" ht="56.25" x14ac:dyDescent="0.2">
      <c r="A32" s="78"/>
      <c r="B32" s="79"/>
      <c r="C32" s="80"/>
      <c r="D32" s="165">
        <v>750</v>
      </c>
      <c r="E32" s="166" t="s">
        <v>24</v>
      </c>
      <c r="F32" s="167">
        <v>280000</v>
      </c>
      <c r="G32" s="83">
        <v>266514.65999999997</v>
      </c>
      <c r="H32" s="84">
        <f t="shared" ref="H32:H39" si="6">G32/F32</f>
        <v>0.95183807142857135</v>
      </c>
      <c r="I32" s="85">
        <v>276907.3</v>
      </c>
      <c r="J32" s="86">
        <f>330000+4500</f>
        <v>334500</v>
      </c>
      <c r="K32" s="87">
        <f t="shared" ref="K32:K39" si="7">J32/F32</f>
        <v>1.1946428571428571</v>
      </c>
      <c r="L32" s="88"/>
    </row>
    <row r="33" spans="1:12" ht="33.75" x14ac:dyDescent="0.2">
      <c r="A33" s="78"/>
      <c r="B33" s="79"/>
      <c r="C33" s="80"/>
      <c r="D33" s="168">
        <v>760</v>
      </c>
      <c r="E33" s="169" t="s">
        <v>45</v>
      </c>
      <c r="F33" s="170">
        <v>4500</v>
      </c>
      <c r="G33" s="141">
        <v>6197.56</v>
      </c>
      <c r="H33" s="84">
        <f t="shared" si="6"/>
        <v>1.3772355555555555</v>
      </c>
      <c r="I33" s="143">
        <v>6718.9</v>
      </c>
      <c r="J33" s="144">
        <v>6000</v>
      </c>
      <c r="K33" s="87">
        <f t="shared" si="7"/>
        <v>1.3333333333333333</v>
      </c>
      <c r="L33" s="23"/>
    </row>
    <row r="34" spans="1:12" ht="24" customHeight="1" x14ac:dyDescent="0.2">
      <c r="A34" s="78"/>
      <c r="B34" s="79"/>
      <c r="C34" s="80"/>
      <c r="D34" s="172">
        <v>770</v>
      </c>
      <c r="E34" s="90" t="s">
        <v>46</v>
      </c>
      <c r="F34" s="173">
        <v>600900</v>
      </c>
      <c r="G34" s="83">
        <v>767782.17</v>
      </c>
      <c r="H34" s="84">
        <f t="shared" si="6"/>
        <v>1.2777203694458312</v>
      </c>
      <c r="I34" s="85">
        <v>767782.17</v>
      </c>
      <c r="J34" s="86">
        <v>1500000</v>
      </c>
      <c r="K34" s="87">
        <f t="shared" si="7"/>
        <v>2.4962556165751373</v>
      </c>
      <c r="L34" s="23"/>
    </row>
    <row r="35" spans="1:12" ht="24" customHeight="1" x14ac:dyDescent="0.2">
      <c r="A35" s="78"/>
      <c r="B35" s="79"/>
      <c r="C35" s="80"/>
      <c r="D35" s="174" t="s">
        <v>16</v>
      </c>
      <c r="E35" s="160" t="s">
        <v>17</v>
      </c>
      <c r="F35" s="175">
        <v>0</v>
      </c>
      <c r="G35" s="83">
        <v>4449.7700000000004</v>
      </c>
      <c r="H35" s="84">
        <v>0</v>
      </c>
      <c r="I35" s="85">
        <v>5126.47</v>
      </c>
      <c r="J35" s="86">
        <v>0</v>
      </c>
      <c r="K35" s="87">
        <v>0</v>
      </c>
      <c r="L35" s="23"/>
    </row>
    <row r="36" spans="1:12" ht="24" customHeight="1" x14ac:dyDescent="0.2">
      <c r="A36" s="78"/>
      <c r="B36" s="79"/>
      <c r="C36" s="80"/>
      <c r="D36" s="176" t="s">
        <v>33</v>
      </c>
      <c r="E36" s="177" t="s">
        <v>34</v>
      </c>
      <c r="F36" s="178">
        <v>1000</v>
      </c>
      <c r="G36" s="141">
        <v>1022.03</v>
      </c>
      <c r="H36" s="84">
        <f t="shared" si="6"/>
        <v>1.02203</v>
      </c>
      <c r="I36" s="143">
        <v>1022.03</v>
      </c>
      <c r="J36" s="144">
        <v>1000</v>
      </c>
      <c r="K36" s="87">
        <f t="shared" si="7"/>
        <v>1</v>
      </c>
      <c r="L36" s="67"/>
    </row>
    <row r="37" spans="1:12" x14ac:dyDescent="0.2">
      <c r="A37" s="78"/>
      <c r="B37" s="79"/>
      <c r="C37" s="107"/>
      <c r="D37" s="108">
        <v>920</v>
      </c>
      <c r="E37" s="109" t="s">
        <v>19</v>
      </c>
      <c r="F37" s="179">
        <v>8000</v>
      </c>
      <c r="G37" s="83">
        <v>3284.67</v>
      </c>
      <c r="H37" s="84">
        <f t="shared" si="6"/>
        <v>0.41058375000000003</v>
      </c>
      <c r="I37" s="85">
        <v>4500</v>
      </c>
      <c r="J37" s="86">
        <v>4000</v>
      </c>
      <c r="K37" s="87">
        <f t="shared" si="7"/>
        <v>0.5</v>
      </c>
      <c r="L37" s="23"/>
    </row>
    <row r="38" spans="1:12" x14ac:dyDescent="0.2">
      <c r="A38" s="78"/>
      <c r="B38" s="79"/>
      <c r="C38" s="107"/>
      <c r="D38" s="159">
        <v>970</v>
      </c>
      <c r="E38" s="160" t="s">
        <v>36</v>
      </c>
      <c r="F38" s="161">
        <v>8943</v>
      </c>
      <c r="G38" s="83">
        <v>4808.68</v>
      </c>
      <c r="H38" s="84">
        <f t="shared" si="6"/>
        <v>0.53770323157777034</v>
      </c>
      <c r="I38" s="85">
        <v>4808.68</v>
      </c>
      <c r="J38" s="86">
        <v>8000</v>
      </c>
      <c r="K38" s="87">
        <f t="shared" si="7"/>
        <v>0.89455440008945541</v>
      </c>
      <c r="L38" s="23"/>
    </row>
    <row r="39" spans="1:12" ht="45" x14ac:dyDescent="0.2">
      <c r="A39" s="78"/>
      <c r="B39" s="79"/>
      <c r="C39" s="80"/>
      <c r="D39" s="180">
        <v>2700</v>
      </c>
      <c r="E39" s="45" t="s">
        <v>47</v>
      </c>
      <c r="F39" s="181">
        <v>6000</v>
      </c>
      <c r="G39" s="83">
        <v>6000</v>
      </c>
      <c r="H39" s="84">
        <f t="shared" si="6"/>
        <v>1</v>
      </c>
      <c r="I39" s="182">
        <v>6000</v>
      </c>
      <c r="J39" s="183">
        <v>0</v>
      </c>
      <c r="K39" s="87">
        <f t="shared" si="7"/>
        <v>0</v>
      </c>
      <c r="L39" s="23"/>
    </row>
    <row r="40" spans="1:12" x14ac:dyDescent="0.2">
      <c r="A40" s="111">
        <v>750</v>
      </c>
      <c r="B40" s="100"/>
      <c r="C40" s="100"/>
      <c r="D40" s="16"/>
      <c r="E40" s="113" t="s">
        <v>48</v>
      </c>
      <c r="F40" s="18">
        <f>F41+F44</f>
        <v>124061</v>
      </c>
      <c r="G40" s="20">
        <f>G41+G44</f>
        <v>92849.650000000009</v>
      </c>
      <c r="H40" s="19">
        <f t="shared" si="5"/>
        <v>0.74841932597673733</v>
      </c>
      <c r="I40" s="115">
        <f>I41+I44</f>
        <v>124503</v>
      </c>
      <c r="J40" s="117">
        <f>J41+J44</f>
        <v>129143</v>
      </c>
      <c r="K40" s="22">
        <f t="shared" si="0"/>
        <v>1.0409637194605879</v>
      </c>
      <c r="L40" s="23"/>
    </row>
    <row r="41" spans="1:12" x14ac:dyDescent="0.2">
      <c r="A41" s="68"/>
      <c r="B41" s="118">
        <v>75011</v>
      </c>
      <c r="C41" s="70"/>
      <c r="D41" s="103"/>
      <c r="E41" s="72" t="s">
        <v>49</v>
      </c>
      <c r="F41" s="73">
        <f>F42</f>
        <v>122261</v>
      </c>
      <c r="G41" s="75">
        <f>G42+G43</f>
        <v>90872.1</v>
      </c>
      <c r="H41" s="74">
        <f t="shared" si="5"/>
        <v>0.74326318286289172</v>
      </c>
      <c r="I41" s="75">
        <f>I42+I43</f>
        <v>122341.6</v>
      </c>
      <c r="J41" s="76">
        <f>J42+J43</f>
        <v>126943</v>
      </c>
      <c r="K41" s="106">
        <f t="shared" si="0"/>
        <v>1.0382951227292432</v>
      </c>
      <c r="L41" s="23"/>
    </row>
    <row r="42" spans="1:12" ht="45" x14ac:dyDescent="0.2">
      <c r="A42" s="78"/>
      <c r="B42" s="79"/>
      <c r="C42" s="80"/>
      <c r="D42" s="184">
        <v>2010</v>
      </c>
      <c r="E42" s="160" t="s">
        <v>26</v>
      </c>
      <c r="F42" s="185">
        <v>122261</v>
      </c>
      <c r="G42" s="83">
        <v>90807</v>
      </c>
      <c r="H42" s="84">
        <f t="shared" si="5"/>
        <v>0.74273071543664781</v>
      </c>
      <c r="I42" s="85">
        <v>122261</v>
      </c>
      <c r="J42" s="86">
        <v>126943</v>
      </c>
      <c r="K42" s="87">
        <f t="shared" si="0"/>
        <v>1.0382951227292432</v>
      </c>
      <c r="L42" s="186" t="s">
        <v>50</v>
      </c>
    </row>
    <row r="43" spans="1:12" ht="45" x14ac:dyDescent="0.2">
      <c r="A43" s="78"/>
      <c r="B43" s="79"/>
      <c r="C43" s="80"/>
      <c r="D43" s="187">
        <v>2360</v>
      </c>
      <c r="E43" s="163" t="s">
        <v>51</v>
      </c>
      <c r="F43" s="188">
        <v>0</v>
      </c>
      <c r="G43" s="141">
        <v>65.099999999999994</v>
      </c>
      <c r="H43" s="142">
        <v>0</v>
      </c>
      <c r="I43" s="143">
        <v>80.599999999999994</v>
      </c>
      <c r="J43" s="144">
        <v>0</v>
      </c>
      <c r="K43" s="171">
        <v>0</v>
      </c>
      <c r="L43" s="67"/>
    </row>
    <row r="44" spans="1:12" x14ac:dyDescent="0.2">
      <c r="A44" s="78"/>
      <c r="B44" s="118">
        <v>75023</v>
      </c>
      <c r="C44" s="70"/>
      <c r="D44" s="103"/>
      <c r="E44" s="104" t="s">
        <v>52</v>
      </c>
      <c r="F44" s="189">
        <f>F45+F46+F48+F47</f>
        <v>1800</v>
      </c>
      <c r="G44" s="189">
        <f>G45+G46+G48+G47</f>
        <v>1977.55</v>
      </c>
      <c r="H44" s="155">
        <f t="shared" si="5"/>
        <v>1.0986388888888889</v>
      </c>
      <c r="I44" s="156">
        <f>I45+I46+I48+I47</f>
        <v>2161.4</v>
      </c>
      <c r="J44" s="157">
        <f>J45+J46+J48+J47</f>
        <v>2200</v>
      </c>
      <c r="K44" s="158">
        <f t="shared" si="0"/>
        <v>1.2222222222222223</v>
      </c>
      <c r="L44" s="67"/>
    </row>
    <row r="45" spans="1:12" ht="22.5" x14ac:dyDescent="0.2">
      <c r="A45" s="78"/>
      <c r="B45" s="79"/>
      <c r="C45" s="80"/>
      <c r="D45" s="81">
        <v>570</v>
      </c>
      <c r="E45" s="37" t="s">
        <v>53</v>
      </c>
      <c r="F45" s="120">
        <v>1000</v>
      </c>
      <c r="G45" s="83">
        <v>1350</v>
      </c>
      <c r="H45" s="84">
        <f t="shared" si="5"/>
        <v>1.35</v>
      </c>
      <c r="I45" s="85">
        <v>1350</v>
      </c>
      <c r="J45" s="86">
        <v>1500</v>
      </c>
      <c r="K45" s="87">
        <f t="shared" si="0"/>
        <v>1.5</v>
      </c>
      <c r="L45" s="23"/>
    </row>
    <row r="46" spans="1:12" x14ac:dyDescent="0.2">
      <c r="A46" s="78"/>
      <c r="B46" s="79"/>
      <c r="C46" s="107"/>
      <c r="D46" s="108">
        <v>690</v>
      </c>
      <c r="E46" s="109" t="s">
        <v>29</v>
      </c>
      <c r="F46" s="179">
        <v>200</v>
      </c>
      <c r="G46" s="83">
        <v>106.6</v>
      </c>
      <c r="H46" s="84">
        <f t="shared" si="5"/>
        <v>0.53299999999999992</v>
      </c>
      <c r="I46" s="85">
        <v>142.13</v>
      </c>
      <c r="J46" s="86">
        <v>100</v>
      </c>
      <c r="K46" s="87">
        <f t="shared" si="0"/>
        <v>0.5</v>
      </c>
      <c r="L46" s="23"/>
    </row>
    <row r="47" spans="1:12" x14ac:dyDescent="0.2">
      <c r="A47" s="78"/>
      <c r="B47" s="79"/>
      <c r="C47" s="107"/>
      <c r="D47" s="190" t="s">
        <v>54</v>
      </c>
      <c r="E47" s="109" t="s">
        <v>55</v>
      </c>
      <c r="F47" s="179">
        <v>0</v>
      </c>
      <c r="G47" s="83">
        <v>76</v>
      </c>
      <c r="H47" s="84">
        <v>0</v>
      </c>
      <c r="I47" s="85">
        <v>76</v>
      </c>
      <c r="J47" s="86">
        <v>0</v>
      </c>
      <c r="K47" s="87">
        <v>0</v>
      </c>
      <c r="L47" s="23"/>
    </row>
    <row r="48" spans="1:12" x14ac:dyDescent="0.2">
      <c r="A48" s="78"/>
      <c r="B48" s="79"/>
      <c r="C48" s="107"/>
      <c r="D48" s="108">
        <v>970</v>
      </c>
      <c r="E48" s="109" t="s">
        <v>36</v>
      </c>
      <c r="F48" s="191">
        <v>600</v>
      </c>
      <c r="G48" s="83">
        <v>444.95</v>
      </c>
      <c r="H48" s="84">
        <f t="shared" si="5"/>
        <v>0.74158333333333326</v>
      </c>
      <c r="I48" s="85">
        <v>593.27</v>
      </c>
      <c r="J48" s="86">
        <v>600</v>
      </c>
      <c r="K48" s="87">
        <f t="shared" si="0"/>
        <v>1</v>
      </c>
      <c r="L48" s="23"/>
    </row>
    <row r="49" spans="1:12" ht="33.75" x14ac:dyDescent="0.2">
      <c r="A49" s="111">
        <v>751</v>
      </c>
      <c r="B49" s="145"/>
      <c r="C49" s="145"/>
      <c r="D49" s="192"/>
      <c r="E49" s="193" t="s">
        <v>56</v>
      </c>
      <c r="F49" s="194">
        <f>F50+F52+F54</f>
        <v>133206</v>
      </c>
      <c r="G49" s="194">
        <f>G50+G52+G54</f>
        <v>35596</v>
      </c>
      <c r="H49" s="195">
        <f t="shared" si="5"/>
        <v>0.2672252000660631</v>
      </c>
      <c r="I49" s="196">
        <f>I50+I52+I54</f>
        <v>133206</v>
      </c>
      <c r="J49" s="197">
        <f>J50</f>
        <v>2949</v>
      </c>
      <c r="K49" s="22">
        <f t="shared" si="0"/>
        <v>2.2138642403495338E-2</v>
      </c>
      <c r="L49" s="23"/>
    </row>
    <row r="50" spans="1:12" ht="22.5" x14ac:dyDescent="0.2">
      <c r="A50" s="1169"/>
      <c r="B50" s="198">
        <v>75101</v>
      </c>
      <c r="C50" s="199"/>
      <c r="D50" s="200"/>
      <c r="E50" s="201" t="s">
        <v>57</v>
      </c>
      <c r="F50" s="202">
        <f>F51</f>
        <v>2930</v>
      </c>
      <c r="G50" s="203">
        <f>G51</f>
        <v>2196</v>
      </c>
      <c r="H50" s="204">
        <f t="shared" si="5"/>
        <v>0.74948805460750856</v>
      </c>
      <c r="I50" s="203">
        <f>I51</f>
        <v>2930</v>
      </c>
      <c r="J50" s="205">
        <f>J51</f>
        <v>2949</v>
      </c>
      <c r="K50" s="158">
        <f t="shared" si="0"/>
        <v>1.0064846416382252</v>
      </c>
      <c r="L50" s="23"/>
    </row>
    <row r="51" spans="1:12" ht="45" x14ac:dyDescent="0.2">
      <c r="A51" s="1170"/>
      <c r="B51" s="206"/>
      <c r="C51" s="206"/>
      <c r="D51" s="207">
        <v>2010</v>
      </c>
      <c r="E51" s="163" t="s">
        <v>26</v>
      </c>
      <c r="F51" s="208">
        <v>2930</v>
      </c>
      <c r="G51" s="141">
        <v>2196</v>
      </c>
      <c r="H51" s="142">
        <f t="shared" si="5"/>
        <v>0.74948805460750856</v>
      </c>
      <c r="I51" s="143">
        <v>2930</v>
      </c>
      <c r="J51" s="144">
        <v>2949</v>
      </c>
      <c r="K51" s="87">
        <f t="shared" si="0"/>
        <v>1.0064846416382252</v>
      </c>
      <c r="L51" s="67"/>
    </row>
    <row r="52" spans="1:12" ht="45" x14ac:dyDescent="0.2">
      <c r="A52" s="1170"/>
      <c r="B52" s="198">
        <v>75109</v>
      </c>
      <c r="C52" s="199"/>
      <c r="D52" s="200"/>
      <c r="E52" s="201" t="s">
        <v>58</v>
      </c>
      <c r="F52" s="202">
        <f>F53</f>
        <v>96876</v>
      </c>
      <c r="G52" s="203">
        <f>G53</f>
        <v>0</v>
      </c>
      <c r="H52" s="204">
        <f t="shared" si="5"/>
        <v>0</v>
      </c>
      <c r="I52" s="203">
        <f>I53</f>
        <v>96876</v>
      </c>
      <c r="J52" s="205">
        <f>J53</f>
        <v>0</v>
      </c>
      <c r="K52" s="158">
        <f t="shared" si="0"/>
        <v>0</v>
      </c>
      <c r="L52" s="23"/>
    </row>
    <row r="53" spans="1:12" ht="45" x14ac:dyDescent="0.2">
      <c r="A53" s="1170"/>
      <c r="B53" s="206"/>
      <c r="C53" s="206"/>
      <c r="D53" s="207">
        <v>2010</v>
      </c>
      <c r="E53" s="163" t="s">
        <v>26</v>
      </c>
      <c r="F53" s="208">
        <v>96876</v>
      </c>
      <c r="G53" s="141">
        <v>0</v>
      </c>
      <c r="H53" s="142">
        <f t="shared" si="5"/>
        <v>0</v>
      </c>
      <c r="I53" s="143">
        <v>96876</v>
      </c>
      <c r="J53" s="144">
        <v>0</v>
      </c>
      <c r="K53" s="87">
        <f t="shared" si="0"/>
        <v>0</v>
      </c>
      <c r="L53" s="67"/>
    </row>
    <row r="54" spans="1:12" x14ac:dyDescent="0.2">
      <c r="A54" s="1170"/>
      <c r="B54" s="198">
        <v>75113</v>
      </c>
      <c r="C54" s="199"/>
      <c r="D54" s="200"/>
      <c r="E54" s="201" t="s">
        <v>59</v>
      </c>
      <c r="F54" s="202">
        <f>F55</f>
        <v>33400</v>
      </c>
      <c r="G54" s="203">
        <f>G55</f>
        <v>33400</v>
      </c>
      <c r="H54" s="204">
        <f t="shared" si="5"/>
        <v>1</v>
      </c>
      <c r="I54" s="203">
        <f>I55</f>
        <v>33400</v>
      </c>
      <c r="J54" s="205">
        <v>0</v>
      </c>
      <c r="K54" s="158">
        <f t="shared" si="0"/>
        <v>0</v>
      </c>
      <c r="L54" s="67"/>
    </row>
    <row r="55" spans="1:12" ht="45" x14ac:dyDescent="0.2">
      <c r="A55" s="1171"/>
      <c r="B55" s="206"/>
      <c r="C55" s="206"/>
      <c r="D55" s="207">
        <v>2010</v>
      </c>
      <c r="E55" s="163" t="s">
        <v>26</v>
      </c>
      <c r="F55" s="121">
        <v>33400</v>
      </c>
      <c r="G55" s="83">
        <v>33400</v>
      </c>
      <c r="H55" s="84">
        <f>G55/F55</f>
        <v>1</v>
      </c>
      <c r="I55" s="209">
        <v>33400</v>
      </c>
      <c r="J55" s="144">
        <v>0</v>
      </c>
      <c r="K55" s="87">
        <f>J55/F55</f>
        <v>0</v>
      </c>
      <c r="L55" s="67"/>
    </row>
    <row r="56" spans="1:12" ht="22.5" x14ac:dyDescent="0.2">
      <c r="A56" s="210">
        <v>754</v>
      </c>
      <c r="B56" s="211"/>
      <c r="C56" s="211"/>
      <c r="D56" s="212"/>
      <c r="E56" s="213" t="s">
        <v>249</v>
      </c>
      <c r="F56" s="126">
        <f>F57</f>
        <v>0</v>
      </c>
      <c r="G56" s="214">
        <f>G57</f>
        <v>1120.8699999999999</v>
      </c>
      <c r="H56" s="215">
        <v>0</v>
      </c>
      <c r="I56" s="216">
        <f>I57</f>
        <v>1321.88</v>
      </c>
      <c r="J56" s="217">
        <f>J57</f>
        <v>1000</v>
      </c>
      <c r="K56" s="218">
        <v>0</v>
      </c>
      <c r="L56" s="219"/>
    </row>
    <row r="57" spans="1:12" x14ac:dyDescent="0.2">
      <c r="A57" s="1169"/>
      <c r="B57" s="1172">
        <v>75412</v>
      </c>
      <c r="C57" s="1173"/>
      <c r="D57" s="1174"/>
      <c r="E57" s="220" t="s">
        <v>60</v>
      </c>
      <c r="F57" s="221">
        <f>F58</f>
        <v>0</v>
      </c>
      <c r="G57" s="222">
        <f>G58</f>
        <v>1120.8699999999999</v>
      </c>
      <c r="H57" s="223">
        <v>0</v>
      </c>
      <c r="I57" s="224">
        <f>I58</f>
        <v>1321.88</v>
      </c>
      <c r="J57" s="225">
        <f>J58</f>
        <v>1000</v>
      </c>
      <c r="K57" s="106">
        <v>0</v>
      </c>
      <c r="L57" s="226"/>
    </row>
    <row r="58" spans="1:12" x14ac:dyDescent="0.2">
      <c r="A58" s="1171"/>
      <c r="B58" s="206"/>
      <c r="C58" s="206"/>
      <c r="D58" s="89" t="s">
        <v>16</v>
      </c>
      <c r="E58" s="227" t="s">
        <v>17</v>
      </c>
      <c r="F58" s="121">
        <v>0</v>
      </c>
      <c r="G58" s="83">
        <v>1120.8699999999999</v>
      </c>
      <c r="H58" s="84">
        <v>0</v>
      </c>
      <c r="I58" s="209">
        <v>1321.88</v>
      </c>
      <c r="J58" s="144">
        <v>1000</v>
      </c>
      <c r="K58" s="87">
        <v>0</v>
      </c>
      <c r="L58" s="67"/>
    </row>
    <row r="59" spans="1:12" ht="45" x14ac:dyDescent="0.2">
      <c r="A59" s="111">
        <v>756</v>
      </c>
      <c r="B59" s="228"/>
      <c r="C59" s="228"/>
      <c r="D59" s="229"/>
      <c r="E59" s="147" t="s">
        <v>61</v>
      </c>
      <c r="F59" s="230">
        <f>F60+F63+F72+F83+F89</f>
        <v>18543925</v>
      </c>
      <c r="G59" s="231">
        <f>G60+G63+G72+G83+G89</f>
        <v>14657550.299999999</v>
      </c>
      <c r="H59" s="232">
        <f t="shared" si="5"/>
        <v>0.79042329496047892</v>
      </c>
      <c r="I59" s="231">
        <f>I60+I63+I72+I83+I89</f>
        <v>19278482.48</v>
      </c>
      <c r="J59" s="233">
        <f>J60+J63+J72+J83+J89</f>
        <v>20689777</v>
      </c>
      <c r="K59" s="22">
        <f t="shared" si="0"/>
        <v>1.1157172497192476</v>
      </c>
      <c r="L59" s="23"/>
    </row>
    <row r="60" spans="1:12" ht="22.5" x14ac:dyDescent="0.2">
      <c r="A60" s="78"/>
      <c r="B60" s="152">
        <v>75601</v>
      </c>
      <c r="C60" s="234"/>
      <c r="D60" s="71"/>
      <c r="E60" s="104" t="s">
        <v>62</v>
      </c>
      <c r="F60" s="235">
        <f>F61+F62</f>
        <v>42000</v>
      </c>
      <c r="G60" s="235">
        <f>G61+G62</f>
        <v>42257.020000000004</v>
      </c>
      <c r="H60" s="155">
        <f t="shared" si="5"/>
        <v>1.006119523809524</v>
      </c>
      <c r="I60" s="156">
        <f>I61+I62</f>
        <v>76904.67</v>
      </c>
      <c r="J60" s="157">
        <f>J61+J62</f>
        <v>49000</v>
      </c>
      <c r="K60" s="158">
        <f t="shared" si="0"/>
        <v>1.1666666666666667</v>
      </c>
      <c r="L60" s="23"/>
    </row>
    <row r="61" spans="1:12" ht="22.5" x14ac:dyDescent="0.2">
      <c r="A61" s="78"/>
      <c r="B61" s="1175"/>
      <c r="C61" s="80"/>
      <c r="D61" s="108">
        <v>350</v>
      </c>
      <c r="E61" s="37" t="s">
        <v>63</v>
      </c>
      <c r="F61" s="82">
        <v>42000</v>
      </c>
      <c r="G61" s="83">
        <v>41729.47</v>
      </c>
      <c r="H61" s="84">
        <f t="shared" si="5"/>
        <v>0.99355880952380959</v>
      </c>
      <c r="I61" s="85">
        <v>76377.119999999995</v>
      </c>
      <c r="J61" s="86">
        <v>49000</v>
      </c>
      <c r="K61" s="87">
        <f t="shared" si="0"/>
        <v>1.1666666666666667</v>
      </c>
      <c r="L61" s="23"/>
    </row>
    <row r="62" spans="1:12" ht="22.5" x14ac:dyDescent="0.2">
      <c r="A62" s="78"/>
      <c r="B62" s="1176"/>
      <c r="C62" s="236"/>
      <c r="D62" s="180">
        <v>910</v>
      </c>
      <c r="E62" s="90" t="s">
        <v>34</v>
      </c>
      <c r="F62" s="98">
        <v>0</v>
      </c>
      <c r="G62" s="83">
        <v>527.54999999999995</v>
      </c>
      <c r="H62" s="84">
        <v>0</v>
      </c>
      <c r="I62" s="85">
        <v>527.54999999999995</v>
      </c>
      <c r="J62" s="86">
        <v>0</v>
      </c>
      <c r="K62" s="87">
        <v>0</v>
      </c>
      <c r="L62" s="23"/>
    </row>
    <row r="63" spans="1:12" ht="45" x14ac:dyDescent="0.2">
      <c r="A63" s="78"/>
      <c r="B63" s="237">
        <v>75615</v>
      </c>
      <c r="C63" s="238"/>
      <c r="D63" s="239"/>
      <c r="E63" s="240" t="s">
        <v>64</v>
      </c>
      <c r="F63" s="241">
        <f>SUM(F64:F71)</f>
        <v>5353305</v>
      </c>
      <c r="G63" s="241">
        <f>SUM(G64:G71)</f>
        <v>4480909.9200000009</v>
      </c>
      <c r="H63" s="242">
        <f t="shared" si="5"/>
        <v>0.83703617111298545</v>
      </c>
      <c r="I63" s="243">
        <f>SUM(I64:I71)</f>
        <v>6062633.1200000001</v>
      </c>
      <c r="J63" s="244">
        <f>SUM(J64:J71)</f>
        <v>6297482</v>
      </c>
      <c r="K63" s="77">
        <f t="shared" si="0"/>
        <v>1.1763727267547806</v>
      </c>
      <c r="L63" s="23"/>
    </row>
    <row r="64" spans="1:12" x14ac:dyDescent="0.2">
      <c r="A64" s="78"/>
      <c r="B64" s="79"/>
      <c r="C64" s="107"/>
      <c r="D64" s="159">
        <v>310</v>
      </c>
      <c r="E64" s="160" t="s">
        <v>65</v>
      </c>
      <c r="F64" s="175">
        <v>4538542</v>
      </c>
      <c r="G64" s="83">
        <v>4015692.7</v>
      </c>
      <c r="H64" s="84">
        <f t="shared" si="5"/>
        <v>0.884797959344653</v>
      </c>
      <c r="I64" s="85">
        <v>5269984.8</v>
      </c>
      <c r="J64" s="86">
        <f>5329870+60000+100000</f>
        <v>5489870</v>
      </c>
      <c r="K64" s="87">
        <f t="shared" si="0"/>
        <v>1.2096109279147356</v>
      </c>
      <c r="L64" s="245"/>
    </row>
    <row r="65" spans="1:12" x14ac:dyDescent="0.2">
      <c r="A65" s="78"/>
      <c r="B65" s="79"/>
      <c r="C65" s="107"/>
      <c r="D65" s="165">
        <v>320</v>
      </c>
      <c r="E65" s="166" t="s">
        <v>66</v>
      </c>
      <c r="F65" s="246">
        <v>108067</v>
      </c>
      <c r="G65" s="83">
        <v>73372.5</v>
      </c>
      <c r="H65" s="84">
        <f t="shared" si="5"/>
        <v>0.67895379718137827</v>
      </c>
      <c r="I65" s="85">
        <v>92786.5</v>
      </c>
      <c r="J65" s="86">
        <v>95043</v>
      </c>
      <c r="K65" s="87">
        <f t="shared" si="0"/>
        <v>0.87948217309631993</v>
      </c>
      <c r="L65" s="247"/>
    </row>
    <row r="66" spans="1:12" x14ac:dyDescent="0.2">
      <c r="A66" s="78"/>
      <c r="B66" s="79"/>
      <c r="C66" s="107"/>
      <c r="D66" s="248">
        <v>330</v>
      </c>
      <c r="E66" s="249" t="s">
        <v>67</v>
      </c>
      <c r="F66" s="250">
        <v>116056</v>
      </c>
      <c r="G66" s="141">
        <v>85465</v>
      </c>
      <c r="H66" s="84">
        <f t="shared" si="5"/>
        <v>0.73641173226718137</v>
      </c>
      <c r="I66" s="143">
        <v>113897</v>
      </c>
      <c r="J66" s="144">
        <v>114665</v>
      </c>
      <c r="K66" s="87">
        <f t="shared" si="0"/>
        <v>0.98801440683807817</v>
      </c>
      <c r="L66" s="245"/>
    </row>
    <row r="67" spans="1:12" x14ac:dyDescent="0.2">
      <c r="A67" s="78"/>
      <c r="B67" s="79"/>
      <c r="C67" s="107"/>
      <c r="D67" s="108">
        <v>340</v>
      </c>
      <c r="E67" s="109" t="s">
        <v>68</v>
      </c>
      <c r="F67" s="110">
        <v>26240</v>
      </c>
      <c r="G67" s="83">
        <v>18303</v>
      </c>
      <c r="H67" s="84">
        <f t="shared" si="5"/>
        <v>0.69752286585365852</v>
      </c>
      <c r="I67" s="85">
        <v>18303</v>
      </c>
      <c r="J67" s="86">
        <v>32504</v>
      </c>
      <c r="K67" s="87">
        <f t="shared" si="0"/>
        <v>1.238719512195122</v>
      </c>
      <c r="L67" s="245"/>
    </row>
    <row r="68" spans="1:12" x14ac:dyDescent="0.2">
      <c r="A68" s="78"/>
      <c r="B68" s="79"/>
      <c r="C68" s="107"/>
      <c r="D68" s="108">
        <v>500</v>
      </c>
      <c r="E68" s="109" t="s">
        <v>69</v>
      </c>
      <c r="F68" s="251">
        <v>5000</v>
      </c>
      <c r="G68" s="83">
        <v>1866.16</v>
      </c>
      <c r="H68" s="84">
        <f t="shared" si="5"/>
        <v>0.37323200000000001</v>
      </c>
      <c r="I68" s="85">
        <v>1866.16</v>
      </c>
      <c r="J68" s="86">
        <v>2000</v>
      </c>
      <c r="K68" s="87">
        <f t="shared" si="0"/>
        <v>0.4</v>
      </c>
      <c r="L68" s="252"/>
    </row>
    <row r="69" spans="1:12" x14ac:dyDescent="0.2">
      <c r="A69" s="78"/>
      <c r="B69" s="79"/>
      <c r="C69" s="236"/>
      <c r="D69" s="180">
        <v>690</v>
      </c>
      <c r="E69" s="90" t="s">
        <v>29</v>
      </c>
      <c r="F69" s="98">
        <v>400</v>
      </c>
      <c r="G69" s="83">
        <v>294.39999999999998</v>
      </c>
      <c r="H69" s="84">
        <f t="shared" si="5"/>
        <v>0.73599999999999999</v>
      </c>
      <c r="I69" s="85">
        <v>340.8</v>
      </c>
      <c r="J69" s="86">
        <v>400</v>
      </c>
      <c r="K69" s="87">
        <f t="shared" si="0"/>
        <v>1</v>
      </c>
      <c r="L69" s="23"/>
    </row>
    <row r="70" spans="1:12" ht="22.5" x14ac:dyDescent="0.2">
      <c r="A70" s="78"/>
      <c r="B70" s="79"/>
      <c r="C70" s="236"/>
      <c r="D70" s="180">
        <v>910</v>
      </c>
      <c r="E70" s="90" t="s">
        <v>34</v>
      </c>
      <c r="F70" s="98">
        <v>2000</v>
      </c>
      <c r="G70" s="83">
        <v>5177.16</v>
      </c>
      <c r="H70" s="84">
        <f t="shared" si="5"/>
        <v>2.5885799999999999</v>
      </c>
      <c r="I70" s="85">
        <v>5743.86</v>
      </c>
      <c r="J70" s="86">
        <v>6000</v>
      </c>
      <c r="K70" s="87">
        <f t="shared" si="0"/>
        <v>3</v>
      </c>
      <c r="L70" s="23"/>
    </row>
    <row r="71" spans="1:12" ht="22.5" x14ac:dyDescent="0.2">
      <c r="A71" s="78"/>
      <c r="B71" s="206"/>
      <c r="C71" s="253"/>
      <c r="D71" s="207">
        <v>2680</v>
      </c>
      <c r="E71" s="163" t="s">
        <v>70</v>
      </c>
      <c r="F71" s="254">
        <v>557000</v>
      </c>
      <c r="G71" s="141">
        <v>280739</v>
      </c>
      <c r="H71" s="84">
        <f t="shared" si="5"/>
        <v>0.50401974865350085</v>
      </c>
      <c r="I71" s="143">
        <v>559711</v>
      </c>
      <c r="J71" s="144">
        <v>557000</v>
      </c>
      <c r="K71" s="87">
        <f t="shared" si="0"/>
        <v>1</v>
      </c>
      <c r="L71" s="67"/>
    </row>
    <row r="72" spans="1:12" ht="45" x14ac:dyDescent="0.2">
      <c r="A72" s="78"/>
      <c r="B72" s="198">
        <v>75616</v>
      </c>
      <c r="C72" s="255"/>
      <c r="D72" s="255"/>
      <c r="E72" s="256" t="s">
        <v>71</v>
      </c>
      <c r="F72" s="257">
        <f>SUM(F73:F82)</f>
        <v>4673774</v>
      </c>
      <c r="G72" s="257">
        <f>SUM(G73:G82)</f>
        <v>3424601.2499999995</v>
      </c>
      <c r="H72" s="258">
        <f t="shared" si="5"/>
        <v>0.73272718150257143</v>
      </c>
      <c r="I72" s="259">
        <f>SUM(I73:I82)</f>
        <v>4376281.28</v>
      </c>
      <c r="J72" s="260">
        <f>SUM(J73:J82)</f>
        <v>4760270</v>
      </c>
      <c r="K72" s="158">
        <f t="shared" si="0"/>
        <v>1.0185066714821898</v>
      </c>
      <c r="L72" s="67"/>
    </row>
    <row r="73" spans="1:12" x14ac:dyDescent="0.2">
      <c r="A73" s="78"/>
      <c r="B73" s="79"/>
      <c r="C73" s="107"/>
      <c r="D73" s="108">
        <v>310</v>
      </c>
      <c r="E73" s="261" t="s">
        <v>65</v>
      </c>
      <c r="F73" s="83">
        <v>3147626</v>
      </c>
      <c r="G73" s="245">
        <v>2116275.67</v>
      </c>
      <c r="H73" s="84">
        <f t="shared" si="5"/>
        <v>0.67234025579913237</v>
      </c>
      <c r="I73" s="85">
        <v>2835327.16</v>
      </c>
      <c r="J73" s="86">
        <f>2995790+100000</f>
        <v>3095790</v>
      </c>
      <c r="K73" s="87">
        <f t="shared" si="0"/>
        <v>0.98353171564855546</v>
      </c>
      <c r="L73" s="245"/>
    </row>
    <row r="74" spans="1:12" x14ac:dyDescent="0.2">
      <c r="A74" s="78"/>
      <c r="B74" s="79"/>
      <c r="C74" s="107"/>
      <c r="D74" s="159">
        <v>320</v>
      </c>
      <c r="E74" s="262" t="s">
        <v>66</v>
      </c>
      <c r="F74" s="83">
        <v>681053</v>
      </c>
      <c r="G74" s="245">
        <v>452293.96</v>
      </c>
      <c r="H74" s="84">
        <f t="shared" si="5"/>
        <v>0.66410978293906642</v>
      </c>
      <c r="I74" s="85">
        <v>588613.34</v>
      </c>
      <c r="J74" s="86">
        <v>646163</v>
      </c>
      <c r="K74" s="87">
        <f t="shared" si="0"/>
        <v>0.94877050684748465</v>
      </c>
      <c r="L74" s="245"/>
    </row>
    <row r="75" spans="1:12" x14ac:dyDescent="0.2">
      <c r="A75" s="78"/>
      <c r="B75" s="79"/>
      <c r="C75" s="107"/>
      <c r="D75" s="248">
        <v>330</v>
      </c>
      <c r="E75" s="263" t="s">
        <v>67</v>
      </c>
      <c r="F75" s="141">
        <v>6163</v>
      </c>
      <c r="G75" s="247">
        <v>5374.4</v>
      </c>
      <c r="H75" s="84">
        <f t="shared" si="5"/>
        <v>0.87204283628103185</v>
      </c>
      <c r="I75" s="143">
        <v>6514.4</v>
      </c>
      <c r="J75" s="144">
        <v>6661</v>
      </c>
      <c r="K75" s="87">
        <f t="shared" si="0"/>
        <v>1.080804802855752</v>
      </c>
      <c r="L75" s="247"/>
    </row>
    <row r="76" spans="1:12" x14ac:dyDescent="0.2">
      <c r="A76" s="78"/>
      <c r="B76" s="79"/>
      <c r="C76" s="107"/>
      <c r="D76" s="108">
        <v>340</v>
      </c>
      <c r="E76" s="261" t="s">
        <v>68</v>
      </c>
      <c r="F76" s="83">
        <v>319707</v>
      </c>
      <c r="G76" s="245">
        <v>259595.1</v>
      </c>
      <c r="H76" s="84">
        <f t="shared" si="5"/>
        <v>0.81197815499817017</v>
      </c>
      <c r="I76" s="85">
        <v>289595.09999999998</v>
      </c>
      <c r="J76" s="86">
        <v>335156</v>
      </c>
      <c r="K76" s="87">
        <f t="shared" si="0"/>
        <v>1.0483223701701871</v>
      </c>
      <c r="L76" s="247"/>
    </row>
    <row r="77" spans="1:12" x14ac:dyDescent="0.2">
      <c r="A77" s="78"/>
      <c r="B77" s="79"/>
      <c r="C77" s="107"/>
      <c r="D77" s="108">
        <v>360</v>
      </c>
      <c r="E77" s="261" t="s">
        <v>72</v>
      </c>
      <c r="F77" s="83">
        <v>66625</v>
      </c>
      <c r="G77" s="245">
        <v>154370.32</v>
      </c>
      <c r="H77" s="84">
        <f t="shared" si="5"/>
        <v>2.3170029268292684</v>
      </c>
      <c r="I77" s="85">
        <v>165435.70000000001</v>
      </c>
      <c r="J77" s="86">
        <v>165000</v>
      </c>
      <c r="K77" s="87">
        <f t="shared" si="0"/>
        <v>2.4765478424015011</v>
      </c>
      <c r="L77" s="247"/>
    </row>
    <row r="78" spans="1:12" x14ac:dyDescent="0.2">
      <c r="A78" s="78"/>
      <c r="B78" s="79"/>
      <c r="C78" s="107"/>
      <c r="D78" s="108">
        <v>430</v>
      </c>
      <c r="E78" s="261" t="s">
        <v>73</v>
      </c>
      <c r="F78" s="83">
        <v>93600</v>
      </c>
      <c r="G78" s="245">
        <v>62877</v>
      </c>
      <c r="H78" s="84">
        <f t="shared" si="5"/>
        <v>0.67176282051282055</v>
      </c>
      <c r="I78" s="85">
        <v>99926.6</v>
      </c>
      <c r="J78" s="86">
        <v>120000</v>
      </c>
      <c r="K78" s="87">
        <f t="shared" si="0"/>
        <v>1.2820512820512822</v>
      </c>
      <c r="L78" s="247"/>
    </row>
    <row r="79" spans="1:12" x14ac:dyDescent="0.2">
      <c r="A79" s="78"/>
      <c r="B79" s="79"/>
      <c r="C79" s="107"/>
      <c r="D79" s="81">
        <v>500</v>
      </c>
      <c r="E79" s="227" t="s">
        <v>69</v>
      </c>
      <c r="F79" s="93">
        <v>310000</v>
      </c>
      <c r="G79" s="264">
        <v>331917.94</v>
      </c>
      <c r="H79" s="84">
        <f t="shared" si="5"/>
        <v>1.0707030322580646</v>
      </c>
      <c r="I79" s="95">
        <v>338013.84</v>
      </c>
      <c r="J79" s="96">
        <v>340000</v>
      </c>
      <c r="K79" s="87">
        <f t="shared" si="0"/>
        <v>1.096774193548387</v>
      </c>
      <c r="L79" s="247"/>
    </row>
    <row r="80" spans="1:12" x14ac:dyDescent="0.2">
      <c r="A80" s="78"/>
      <c r="B80" s="79"/>
      <c r="C80" s="236"/>
      <c r="D80" s="180">
        <v>560</v>
      </c>
      <c r="E80" s="265" t="s">
        <v>74</v>
      </c>
      <c r="F80" s="93">
        <v>0</v>
      </c>
      <c r="G80" s="245">
        <v>22</v>
      </c>
      <c r="H80" s="84">
        <v>0</v>
      </c>
      <c r="I80" s="85">
        <v>22</v>
      </c>
      <c r="J80" s="96">
        <v>0</v>
      </c>
      <c r="K80" s="87">
        <v>0</v>
      </c>
      <c r="L80" s="247"/>
    </row>
    <row r="81" spans="1:12" x14ac:dyDescent="0.2">
      <c r="A81" s="78"/>
      <c r="B81" s="79"/>
      <c r="C81" s="236"/>
      <c r="D81" s="180">
        <v>690</v>
      </c>
      <c r="E81" s="265" t="s">
        <v>29</v>
      </c>
      <c r="F81" s="83">
        <v>9000</v>
      </c>
      <c r="G81" s="245">
        <v>10043.23</v>
      </c>
      <c r="H81" s="84">
        <f t="shared" si="5"/>
        <v>1.1159144444444444</v>
      </c>
      <c r="I81" s="85">
        <v>11390.97</v>
      </c>
      <c r="J81" s="86">
        <v>11500</v>
      </c>
      <c r="K81" s="87">
        <f t="shared" si="0"/>
        <v>1.2777777777777777</v>
      </c>
      <c r="L81" s="247"/>
    </row>
    <row r="82" spans="1:12" ht="22.5" x14ac:dyDescent="0.2">
      <c r="A82" s="78"/>
      <c r="B82" s="206"/>
      <c r="C82" s="266"/>
      <c r="D82" s="180">
        <v>910</v>
      </c>
      <c r="E82" s="265" t="s">
        <v>34</v>
      </c>
      <c r="F82" s="83">
        <v>40000</v>
      </c>
      <c r="G82" s="245">
        <v>31831.63</v>
      </c>
      <c r="H82" s="84">
        <f t="shared" si="5"/>
        <v>0.79579074999999999</v>
      </c>
      <c r="I82" s="85">
        <v>41442.17</v>
      </c>
      <c r="J82" s="86">
        <v>40000</v>
      </c>
      <c r="K82" s="87">
        <f t="shared" si="0"/>
        <v>1</v>
      </c>
      <c r="L82" s="247"/>
    </row>
    <row r="83" spans="1:12" ht="33.75" x14ac:dyDescent="0.2">
      <c r="A83" s="78"/>
      <c r="B83" s="198">
        <v>75618</v>
      </c>
      <c r="C83" s="255"/>
      <c r="D83" s="255"/>
      <c r="E83" s="256" t="s">
        <v>75</v>
      </c>
      <c r="F83" s="267">
        <f>SUM(F84:F88)</f>
        <v>357000</v>
      </c>
      <c r="G83" s="259">
        <f>SUM(G84:G88)</f>
        <v>325332.5199999999</v>
      </c>
      <c r="H83" s="258">
        <f t="shared" si="5"/>
        <v>0.91129557422969165</v>
      </c>
      <c r="I83" s="259">
        <f>SUM(I84:I88)</f>
        <v>336397.83999999991</v>
      </c>
      <c r="J83" s="260">
        <f>SUM(J84:J88)</f>
        <v>337000</v>
      </c>
      <c r="K83" s="268">
        <f t="shared" si="0"/>
        <v>0.94397759103641454</v>
      </c>
      <c r="L83" s="67"/>
    </row>
    <row r="84" spans="1:12" x14ac:dyDescent="0.2">
      <c r="A84" s="78"/>
      <c r="B84" s="79"/>
      <c r="C84" s="107"/>
      <c r="D84" s="165">
        <v>410</v>
      </c>
      <c r="E84" s="269" t="s">
        <v>76</v>
      </c>
      <c r="F84" s="83">
        <v>47000</v>
      </c>
      <c r="G84" s="245">
        <v>36141.599999999999</v>
      </c>
      <c r="H84" s="84">
        <f t="shared" si="5"/>
        <v>0.76897021276595745</v>
      </c>
      <c r="I84" s="85">
        <v>47188.800000000003</v>
      </c>
      <c r="J84" s="86">
        <v>47000</v>
      </c>
      <c r="K84" s="87">
        <f t="shared" si="0"/>
        <v>1</v>
      </c>
      <c r="L84" s="23"/>
    </row>
    <row r="85" spans="1:12" ht="22.5" x14ac:dyDescent="0.2">
      <c r="A85" s="78"/>
      <c r="B85" s="79"/>
      <c r="C85" s="107"/>
      <c r="D85" s="248">
        <v>480</v>
      </c>
      <c r="E85" s="263" t="s">
        <v>77</v>
      </c>
      <c r="F85" s="141">
        <v>290000</v>
      </c>
      <c r="G85" s="247">
        <v>284231.28999999998</v>
      </c>
      <c r="H85" s="84">
        <f t="shared" si="5"/>
        <v>0.98010789655172403</v>
      </c>
      <c r="I85" s="143">
        <v>284249.40999999997</v>
      </c>
      <c r="J85" s="144">
        <v>285000</v>
      </c>
      <c r="K85" s="87">
        <f t="shared" si="0"/>
        <v>0.98275862068965514</v>
      </c>
      <c r="L85" s="23"/>
    </row>
    <row r="86" spans="1:12" ht="33.75" x14ac:dyDescent="0.2">
      <c r="A86" s="78"/>
      <c r="B86" s="79"/>
      <c r="C86" s="80"/>
      <c r="D86" s="159">
        <v>490</v>
      </c>
      <c r="E86" s="262" t="s">
        <v>32</v>
      </c>
      <c r="F86" s="83">
        <v>20000</v>
      </c>
      <c r="G86" s="245">
        <v>4735.3</v>
      </c>
      <c r="H86" s="84">
        <f t="shared" si="5"/>
        <v>0.236765</v>
      </c>
      <c r="I86" s="85">
        <v>4735.3</v>
      </c>
      <c r="J86" s="86">
        <v>5000</v>
      </c>
      <c r="K86" s="87">
        <f t="shared" si="0"/>
        <v>0.25</v>
      </c>
      <c r="L86" s="23"/>
    </row>
    <row r="87" spans="1:12" x14ac:dyDescent="0.2">
      <c r="A87" s="78"/>
      <c r="B87" s="79"/>
      <c r="C87" s="236"/>
      <c r="D87" s="270">
        <v>690</v>
      </c>
      <c r="E87" s="271" t="s">
        <v>29</v>
      </c>
      <c r="F87" s="272">
        <v>0</v>
      </c>
      <c r="G87" s="272">
        <v>17.600000000000001</v>
      </c>
      <c r="H87" s="273">
        <v>0</v>
      </c>
      <c r="I87" s="274">
        <v>17.600000000000001</v>
      </c>
      <c r="J87" s="275">
        <v>0</v>
      </c>
      <c r="K87" s="87">
        <v>0</v>
      </c>
      <c r="L87" s="23"/>
    </row>
    <row r="88" spans="1:12" ht="22.5" x14ac:dyDescent="0.2">
      <c r="A88" s="78"/>
      <c r="B88" s="206"/>
      <c r="C88" s="266"/>
      <c r="D88" s="180">
        <v>910</v>
      </c>
      <c r="E88" s="265" t="s">
        <v>34</v>
      </c>
      <c r="F88" s="276">
        <v>0</v>
      </c>
      <c r="G88" s="276">
        <v>206.73</v>
      </c>
      <c r="H88" s="277">
        <v>0</v>
      </c>
      <c r="I88" s="278">
        <v>206.73</v>
      </c>
      <c r="J88" s="279">
        <v>0</v>
      </c>
      <c r="K88" s="87">
        <v>0</v>
      </c>
      <c r="L88" s="23"/>
    </row>
    <row r="89" spans="1:12" ht="22.5" x14ac:dyDescent="0.2">
      <c r="A89" s="78"/>
      <c r="B89" s="198">
        <v>75621</v>
      </c>
      <c r="C89" s="255"/>
      <c r="D89" s="255"/>
      <c r="E89" s="256" t="s">
        <v>78</v>
      </c>
      <c r="F89" s="257">
        <f>SUM(F90:F91)</f>
        <v>8117846</v>
      </c>
      <c r="G89" s="259">
        <f>SUM(G90:G91)</f>
        <v>6384449.5899999999</v>
      </c>
      <c r="H89" s="258">
        <f t="shared" si="5"/>
        <v>0.78647089264812364</v>
      </c>
      <c r="I89" s="259">
        <f>SUM(I90:I91)</f>
        <v>8426265.5700000003</v>
      </c>
      <c r="J89" s="260">
        <f>SUM(J90:J91)</f>
        <v>9246025</v>
      </c>
      <c r="K89" s="158">
        <f t="shared" si="0"/>
        <v>1.1389751665651209</v>
      </c>
      <c r="L89" s="23"/>
    </row>
    <row r="90" spans="1:12" x14ac:dyDescent="0.2">
      <c r="A90" s="78"/>
      <c r="B90" s="79"/>
      <c r="C90" s="107"/>
      <c r="D90" s="108">
        <v>10</v>
      </c>
      <c r="E90" s="109" t="s">
        <v>79</v>
      </c>
      <c r="F90" s="280">
        <v>7117846</v>
      </c>
      <c r="G90" s="83">
        <v>5044433</v>
      </c>
      <c r="H90" s="84">
        <f t="shared" si="5"/>
        <v>0.70870218321666412</v>
      </c>
      <c r="I90" s="85">
        <v>6994178</v>
      </c>
      <c r="J90" s="86">
        <v>7796025</v>
      </c>
      <c r="K90" s="87">
        <f t="shared" si="0"/>
        <v>1.095278684028848</v>
      </c>
      <c r="L90" s="281"/>
    </row>
    <row r="91" spans="1:12" x14ac:dyDescent="0.2">
      <c r="A91" s="78"/>
      <c r="B91" s="79"/>
      <c r="C91" s="107"/>
      <c r="D91" s="108">
        <v>20</v>
      </c>
      <c r="E91" s="109" t="s">
        <v>80</v>
      </c>
      <c r="F91" s="251">
        <v>1000000</v>
      </c>
      <c r="G91" s="83">
        <v>1340016.5900000001</v>
      </c>
      <c r="H91" s="84">
        <f t="shared" si="5"/>
        <v>1.3400165900000001</v>
      </c>
      <c r="I91" s="85">
        <v>1432087.57</v>
      </c>
      <c r="J91" s="86">
        <v>1450000</v>
      </c>
      <c r="K91" s="87">
        <f t="shared" si="0"/>
        <v>1.45</v>
      </c>
      <c r="L91" s="23"/>
    </row>
    <row r="92" spans="1:12" x14ac:dyDescent="0.2">
      <c r="A92" s="282">
        <v>758</v>
      </c>
      <c r="B92" s="100"/>
      <c r="C92" s="283"/>
      <c r="D92" s="284"/>
      <c r="E92" s="285" t="s">
        <v>81</v>
      </c>
      <c r="F92" s="286">
        <f>F93+F95+F97+F103</f>
        <v>15833285.619999999</v>
      </c>
      <c r="G92" s="286">
        <f>G93+G95+G97+G103</f>
        <v>13067144.15</v>
      </c>
      <c r="H92" s="287">
        <f t="shared" si="5"/>
        <v>0.82529580174402239</v>
      </c>
      <c r="I92" s="288">
        <f>I93+I95+I97+I103</f>
        <v>15813804.859999999</v>
      </c>
      <c r="J92" s="289">
        <f>J93+J95+J97+J103</f>
        <v>16610450.73</v>
      </c>
      <c r="K92" s="22">
        <f t="shared" si="0"/>
        <v>1.0490842601246526</v>
      </c>
      <c r="L92" s="245"/>
    </row>
    <row r="93" spans="1:12" ht="22.5" x14ac:dyDescent="0.2">
      <c r="A93" s="78"/>
      <c r="B93" s="290">
        <v>75801</v>
      </c>
      <c r="C93" s="239"/>
      <c r="D93" s="239"/>
      <c r="E93" s="240" t="s">
        <v>82</v>
      </c>
      <c r="F93" s="291">
        <f>F94</f>
        <v>12164606</v>
      </c>
      <c r="G93" s="243">
        <f>G94</f>
        <v>10293129</v>
      </c>
      <c r="H93" s="242">
        <f t="shared" si="5"/>
        <v>0.84615391571251874</v>
      </c>
      <c r="I93" s="243">
        <f>I94</f>
        <v>12164606</v>
      </c>
      <c r="J93" s="244">
        <f>J94</f>
        <v>12869113</v>
      </c>
      <c r="K93" s="106">
        <f t="shared" ref="K93:K185" si="8">J93/F93</f>
        <v>1.0579144939014054</v>
      </c>
      <c r="L93" s="23"/>
    </row>
    <row r="94" spans="1:12" x14ac:dyDescent="0.2">
      <c r="A94" s="78"/>
      <c r="B94" s="79"/>
      <c r="C94" s="107"/>
      <c r="D94" s="292">
        <v>2920</v>
      </c>
      <c r="E94" s="109" t="s">
        <v>83</v>
      </c>
      <c r="F94" s="293">
        <v>12164606</v>
      </c>
      <c r="G94" s="83">
        <v>10293129</v>
      </c>
      <c r="H94" s="84">
        <f t="shared" si="5"/>
        <v>0.84615391571251874</v>
      </c>
      <c r="I94" s="85">
        <v>12164606</v>
      </c>
      <c r="J94" s="86">
        <v>12869113</v>
      </c>
      <c r="K94" s="87">
        <f t="shared" si="8"/>
        <v>1.0579144939014054</v>
      </c>
      <c r="L94" s="245"/>
    </row>
    <row r="95" spans="1:12" x14ac:dyDescent="0.2">
      <c r="A95" s="78"/>
      <c r="B95" s="118">
        <v>75807</v>
      </c>
      <c r="C95" s="70"/>
      <c r="D95" s="103"/>
      <c r="E95" s="72" t="s">
        <v>84</v>
      </c>
      <c r="F95" s="294">
        <f>F96</f>
        <v>3237289</v>
      </c>
      <c r="G95" s="294">
        <f>G96</f>
        <v>2427966</v>
      </c>
      <c r="H95" s="74">
        <f t="shared" si="5"/>
        <v>0.74999976832466919</v>
      </c>
      <c r="I95" s="75">
        <f>I96</f>
        <v>3237289</v>
      </c>
      <c r="J95" s="76">
        <f>J96</f>
        <v>3386584</v>
      </c>
      <c r="K95" s="106">
        <f t="shared" si="8"/>
        <v>1.0461172913508803</v>
      </c>
      <c r="L95" s="245"/>
    </row>
    <row r="96" spans="1:12" x14ac:dyDescent="0.2">
      <c r="A96" s="78"/>
      <c r="B96" s="206"/>
      <c r="C96" s="253"/>
      <c r="D96" s="184">
        <v>2920</v>
      </c>
      <c r="E96" s="160" t="s">
        <v>83</v>
      </c>
      <c r="F96" s="175">
        <v>3237289</v>
      </c>
      <c r="G96" s="83">
        <v>2427966</v>
      </c>
      <c r="H96" s="84">
        <f t="shared" si="5"/>
        <v>0.74999976832466919</v>
      </c>
      <c r="I96" s="85">
        <v>3237289</v>
      </c>
      <c r="J96" s="86">
        <v>3386584</v>
      </c>
      <c r="K96" s="87">
        <f t="shared" si="8"/>
        <v>1.0461172913508803</v>
      </c>
      <c r="L96" s="245"/>
    </row>
    <row r="97" spans="1:12" x14ac:dyDescent="0.2">
      <c r="A97" s="78"/>
      <c r="B97" s="290">
        <v>75814</v>
      </c>
      <c r="C97" s="295"/>
      <c r="D97" s="296"/>
      <c r="E97" s="297" t="s">
        <v>85</v>
      </c>
      <c r="F97" s="298">
        <f>SUM(F98:F102)</f>
        <v>196435.62</v>
      </c>
      <c r="G97" s="298">
        <f>SUM(G98:G102)</f>
        <v>169829.15</v>
      </c>
      <c r="H97" s="299">
        <f t="shared" si="5"/>
        <v>0.86455374030432974</v>
      </c>
      <c r="I97" s="300">
        <f>SUM(I98:I102)</f>
        <v>176954.86000000002</v>
      </c>
      <c r="J97" s="301">
        <f>SUM(J98:J102)</f>
        <v>99984.73</v>
      </c>
      <c r="K97" s="106">
        <f t="shared" si="8"/>
        <v>0.50899490632096156</v>
      </c>
      <c r="L97" s="302"/>
    </row>
    <row r="98" spans="1:12" x14ac:dyDescent="0.2">
      <c r="A98" s="78"/>
      <c r="B98" s="79"/>
      <c r="C98" s="303"/>
      <c r="D98" s="304">
        <v>920</v>
      </c>
      <c r="E98" s="163" t="s">
        <v>19</v>
      </c>
      <c r="F98" s="254">
        <v>100000</v>
      </c>
      <c r="G98" s="141">
        <v>52725.57</v>
      </c>
      <c r="H98" s="142">
        <f t="shared" si="5"/>
        <v>0.52725569999999999</v>
      </c>
      <c r="I98" s="143">
        <v>59851.28</v>
      </c>
      <c r="J98" s="144">
        <f>70000-80.27+65</f>
        <v>69984.73</v>
      </c>
      <c r="K98" s="171">
        <f t="shared" si="8"/>
        <v>0.69984729999999995</v>
      </c>
      <c r="L98" s="281"/>
    </row>
    <row r="99" spans="1:12" ht="22.5" x14ac:dyDescent="0.2">
      <c r="A99" s="78"/>
      <c r="B99" s="79"/>
      <c r="C99" s="107"/>
      <c r="D99" s="305" t="s">
        <v>86</v>
      </c>
      <c r="E99" s="166" t="s">
        <v>87</v>
      </c>
      <c r="F99" s="246">
        <v>0</v>
      </c>
      <c r="G99" s="83">
        <v>5000</v>
      </c>
      <c r="H99" s="142">
        <v>0</v>
      </c>
      <c r="I99" s="85">
        <v>5000</v>
      </c>
      <c r="J99" s="86">
        <v>0</v>
      </c>
      <c r="K99" s="87">
        <v>0</v>
      </c>
      <c r="L99" s="281"/>
    </row>
    <row r="100" spans="1:12" x14ac:dyDescent="0.2">
      <c r="A100" s="78"/>
      <c r="B100" s="79"/>
      <c r="C100" s="107"/>
      <c r="D100" s="304">
        <v>970</v>
      </c>
      <c r="E100" s="163" t="s">
        <v>36</v>
      </c>
      <c r="F100" s="306">
        <v>15000</v>
      </c>
      <c r="G100" s="141">
        <v>30667.11</v>
      </c>
      <c r="H100" s="142">
        <f t="shared" si="5"/>
        <v>2.0444740000000001</v>
      </c>
      <c r="I100" s="143">
        <v>30667.11</v>
      </c>
      <c r="J100" s="144">
        <v>30000</v>
      </c>
      <c r="K100" s="171">
        <f t="shared" si="8"/>
        <v>2</v>
      </c>
      <c r="L100" s="302"/>
    </row>
    <row r="101" spans="1:12" ht="33.75" x14ac:dyDescent="0.2">
      <c r="A101" s="78"/>
      <c r="B101" s="79"/>
      <c r="C101" s="80"/>
      <c r="D101" s="307">
        <v>2030</v>
      </c>
      <c r="E101" s="166" t="s">
        <v>88</v>
      </c>
      <c r="F101" s="167">
        <v>60092.62</v>
      </c>
      <c r="G101" s="83">
        <v>60092.62</v>
      </c>
      <c r="H101" s="84">
        <f t="shared" ref="H101:H169" si="9">G101/F101</f>
        <v>1</v>
      </c>
      <c r="I101" s="85">
        <v>60092.62</v>
      </c>
      <c r="J101" s="86">
        <v>0</v>
      </c>
      <c r="K101" s="87">
        <f t="shared" si="8"/>
        <v>0</v>
      </c>
      <c r="L101" s="23"/>
    </row>
    <row r="102" spans="1:12" ht="33.75" x14ac:dyDescent="0.2">
      <c r="A102" s="78"/>
      <c r="B102" s="206"/>
      <c r="C102" s="253"/>
      <c r="D102" s="207">
        <v>6680</v>
      </c>
      <c r="E102" s="163" t="s">
        <v>89</v>
      </c>
      <c r="F102" s="208">
        <v>21343</v>
      </c>
      <c r="G102" s="141">
        <v>21343.85</v>
      </c>
      <c r="H102" s="142">
        <f t="shared" si="9"/>
        <v>1.0000398257039778</v>
      </c>
      <c r="I102" s="143">
        <v>21343.85</v>
      </c>
      <c r="J102" s="144">
        <v>0</v>
      </c>
      <c r="K102" s="171">
        <f t="shared" si="8"/>
        <v>0</v>
      </c>
      <c r="L102" s="67"/>
    </row>
    <row r="103" spans="1:12" x14ac:dyDescent="0.2">
      <c r="A103" s="78"/>
      <c r="B103" s="152">
        <v>75831</v>
      </c>
      <c r="C103" s="234"/>
      <c r="D103" s="71"/>
      <c r="E103" s="104" t="s">
        <v>90</v>
      </c>
      <c r="F103" s="308">
        <f>F104</f>
        <v>234955</v>
      </c>
      <c r="G103" s="308">
        <f>G104</f>
        <v>176220</v>
      </c>
      <c r="H103" s="155">
        <f t="shared" si="9"/>
        <v>0.75001596050307506</v>
      </c>
      <c r="I103" s="156">
        <f>I104</f>
        <v>234955</v>
      </c>
      <c r="J103" s="157">
        <f>J104</f>
        <v>254769</v>
      </c>
      <c r="K103" s="158">
        <f t="shared" si="8"/>
        <v>1.0843310421144474</v>
      </c>
      <c r="L103" s="67"/>
    </row>
    <row r="104" spans="1:12" x14ac:dyDescent="0.2">
      <c r="A104" s="78"/>
      <c r="B104" s="79"/>
      <c r="C104" s="107"/>
      <c r="D104" s="292">
        <v>2920</v>
      </c>
      <c r="E104" s="109" t="s">
        <v>83</v>
      </c>
      <c r="F104" s="251">
        <v>234955</v>
      </c>
      <c r="G104" s="83">
        <v>176220</v>
      </c>
      <c r="H104" s="84">
        <f t="shared" si="9"/>
        <v>0.75001596050307506</v>
      </c>
      <c r="I104" s="85">
        <v>234955</v>
      </c>
      <c r="J104" s="86">
        <v>254769</v>
      </c>
      <c r="K104" s="87">
        <f t="shared" si="8"/>
        <v>1.0843310421144474</v>
      </c>
      <c r="L104" s="245"/>
    </row>
    <row r="105" spans="1:12" x14ac:dyDescent="0.2">
      <c r="A105" s="111">
        <v>801</v>
      </c>
      <c r="B105" s="100"/>
      <c r="C105" s="100"/>
      <c r="D105" s="112"/>
      <c r="E105" s="113" t="s">
        <v>91</v>
      </c>
      <c r="F105" s="309">
        <f>F106+F114+F124+F127+F112</f>
        <v>1540824.65</v>
      </c>
      <c r="G105" s="309">
        <f>G106+G114+G124+G127+G112</f>
        <v>1142107.0099999998</v>
      </c>
      <c r="H105" s="116">
        <f t="shared" si="9"/>
        <v>0.74123100899248973</v>
      </c>
      <c r="I105" s="115">
        <f>I106+I114+I124+I127+I112</f>
        <v>1548378.7999999998</v>
      </c>
      <c r="J105" s="117">
        <f>J106+J114+J124+J127+J112</f>
        <v>1491394</v>
      </c>
      <c r="K105" s="22">
        <f t="shared" si="8"/>
        <v>0.96791935409392627</v>
      </c>
      <c r="L105" s="23"/>
    </row>
    <row r="106" spans="1:12" x14ac:dyDescent="0.2">
      <c r="A106" s="68"/>
      <c r="B106" s="310">
        <v>80101</v>
      </c>
      <c r="C106" s="311"/>
      <c r="D106" s="312"/>
      <c r="E106" s="313" t="s">
        <v>92</v>
      </c>
      <c r="F106" s="314">
        <f>SUM(F107:F111)</f>
        <v>53407.65</v>
      </c>
      <c r="G106" s="314">
        <f>SUM(G107:G111)</f>
        <v>52742.95</v>
      </c>
      <c r="H106" s="315">
        <f>G106/F106</f>
        <v>0.98755421742016347</v>
      </c>
      <c r="I106" s="314">
        <f>SUM(I107:I111)</f>
        <v>53548.34</v>
      </c>
      <c r="J106" s="316">
        <f>SUM(J107:J111)</f>
        <v>18549</v>
      </c>
      <c r="K106" s="317">
        <f>J106/F106</f>
        <v>0.34730979550682345</v>
      </c>
      <c r="L106" s="23"/>
    </row>
    <row r="107" spans="1:12" ht="22.5" x14ac:dyDescent="0.2">
      <c r="A107" s="78"/>
      <c r="B107" s="318"/>
      <c r="C107" s="319"/>
      <c r="D107" s="60" t="s">
        <v>93</v>
      </c>
      <c r="E107" s="90" t="s">
        <v>53</v>
      </c>
      <c r="F107" s="320">
        <v>0</v>
      </c>
      <c r="G107" s="321">
        <v>50</v>
      </c>
      <c r="H107" s="322">
        <v>0</v>
      </c>
      <c r="I107" s="323">
        <v>50</v>
      </c>
      <c r="J107" s="324">
        <v>0</v>
      </c>
      <c r="K107" s="325">
        <v>0</v>
      </c>
      <c r="L107" s="302"/>
    </row>
    <row r="108" spans="1:12" ht="56.25" x14ac:dyDescent="0.2">
      <c r="A108" s="78"/>
      <c r="B108" s="79"/>
      <c r="C108" s="79"/>
      <c r="D108" s="168">
        <v>750</v>
      </c>
      <c r="E108" s="169" t="s">
        <v>24</v>
      </c>
      <c r="F108" s="326">
        <v>19935</v>
      </c>
      <c r="G108" s="327">
        <v>19129.61</v>
      </c>
      <c r="H108" s="328">
        <f t="shared" si="9"/>
        <v>0.95959919739152244</v>
      </c>
      <c r="I108" s="329">
        <v>19935</v>
      </c>
      <c r="J108" s="183">
        <v>18549</v>
      </c>
      <c r="K108" s="330">
        <f t="shared" si="8"/>
        <v>0.93047404063205419</v>
      </c>
      <c r="L108" s="67"/>
    </row>
    <row r="109" spans="1:12" x14ac:dyDescent="0.2">
      <c r="A109" s="331"/>
      <c r="B109" s="331"/>
      <c r="C109" s="332"/>
      <c r="D109" s="333" t="s">
        <v>18</v>
      </c>
      <c r="E109" s="109" t="s">
        <v>19</v>
      </c>
      <c r="F109" s="181">
        <v>0</v>
      </c>
      <c r="G109" s="83">
        <v>90.69</v>
      </c>
      <c r="H109" s="84">
        <v>0</v>
      </c>
      <c r="I109" s="85">
        <v>90.69</v>
      </c>
      <c r="J109" s="86">
        <v>0</v>
      </c>
      <c r="K109" s="87">
        <v>0</v>
      </c>
      <c r="L109" s="67"/>
    </row>
    <row r="110" spans="1:12" ht="45" x14ac:dyDescent="0.2">
      <c r="A110" s="331"/>
      <c r="B110" s="2"/>
      <c r="C110" s="2"/>
      <c r="D110" s="307">
        <v>2010</v>
      </c>
      <c r="E110" s="166" t="s">
        <v>26</v>
      </c>
      <c r="F110" s="334">
        <v>23472.65</v>
      </c>
      <c r="G110" s="141">
        <v>23472.65</v>
      </c>
      <c r="H110" s="328">
        <f>G110/F110</f>
        <v>1</v>
      </c>
      <c r="I110" s="85">
        <v>23472.65</v>
      </c>
      <c r="J110" s="86">
        <v>0</v>
      </c>
      <c r="K110" s="87">
        <f>J110/F110</f>
        <v>0</v>
      </c>
      <c r="L110" s="67"/>
    </row>
    <row r="111" spans="1:12" ht="45" x14ac:dyDescent="0.2">
      <c r="A111" s="331"/>
      <c r="B111" s="2"/>
      <c r="C111" s="2"/>
      <c r="D111" s="180">
        <v>2700</v>
      </c>
      <c r="E111" s="45" t="s">
        <v>47</v>
      </c>
      <c r="F111" s="334">
        <v>10000</v>
      </c>
      <c r="G111" s="141">
        <v>10000</v>
      </c>
      <c r="H111" s="84">
        <f t="shared" si="9"/>
        <v>1</v>
      </c>
      <c r="I111" s="85">
        <v>10000</v>
      </c>
      <c r="J111" s="86">
        <v>0</v>
      </c>
      <c r="K111" s="87">
        <v>0</v>
      </c>
      <c r="L111" s="67"/>
    </row>
    <row r="112" spans="1:12" x14ac:dyDescent="0.2">
      <c r="A112" s="78"/>
      <c r="B112" s="335">
        <v>80103</v>
      </c>
      <c r="C112" s="336"/>
      <c r="D112" s="337"/>
      <c r="E112" s="338" t="s">
        <v>94</v>
      </c>
      <c r="F112" s="339">
        <f>SUM(F113:F113)</f>
        <v>204154</v>
      </c>
      <c r="G112" s="339">
        <f>G113</f>
        <v>153117</v>
      </c>
      <c r="H112" s="340">
        <f>G112/F112</f>
        <v>0.75000734739461383</v>
      </c>
      <c r="I112" s="341">
        <f>I113</f>
        <v>204154</v>
      </c>
      <c r="J112" s="342">
        <f>J113</f>
        <v>243432</v>
      </c>
      <c r="K112" s="343">
        <f>J112/F112</f>
        <v>1.1923939770957219</v>
      </c>
      <c r="L112" s="67"/>
    </row>
    <row r="113" spans="1:12" ht="33.75" x14ac:dyDescent="0.2">
      <c r="A113" s="78"/>
      <c r="B113" s="344"/>
      <c r="C113" s="345"/>
      <c r="D113" s="333">
        <v>2030</v>
      </c>
      <c r="E113" s="37" t="s">
        <v>88</v>
      </c>
      <c r="F113" s="181">
        <v>204154</v>
      </c>
      <c r="G113" s="85">
        <v>153117</v>
      </c>
      <c r="H113" s="346">
        <f>G113/F113</f>
        <v>0.75000734739461383</v>
      </c>
      <c r="I113" s="85">
        <v>204154</v>
      </c>
      <c r="J113" s="86">
        <v>243432</v>
      </c>
      <c r="K113" s="87">
        <f>J113/F113</f>
        <v>1.1923939770957219</v>
      </c>
      <c r="L113" s="67"/>
    </row>
    <row r="114" spans="1:12" x14ac:dyDescent="0.2">
      <c r="A114" s="78"/>
      <c r="B114" s="290">
        <v>80104</v>
      </c>
      <c r="C114" s="295"/>
      <c r="D114" s="296"/>
      <c r="E114" s="297" t="s">
        <v>95</v>
      </c>
      <c r="F114" s="347">
        <f>SUM(F115:F123)</f>
        <v>939263</v>
      </c>
      <c r="G114" s="347">
        <f>SUM(G115:G123)</f>
        <v>723678.73</v>
      </c>
      <c r="H114" s="299">
        <f t="shared" si="9"/>
        <v>0.77047507460636688</v>
      </c>
      <c r="I114" s="300">
        <f>SUM(I115:I123)</f>
        <v>981345.1399999999</v>
      </c>
      <c r="J114" s="301">
        <f>SUM(J115:J123)</f>
        <v>886813</v>
      </c>
      <c r="K114" s="106">
        <f t="shared" si="8"/>
        <v>0.94415834542614796</v>
      </c>
      <c r="L114" s="23"/>
    </row>
    <row r="115" spans="1:12" x14ac:dyDescent="0.2">
      <c r="A115" s="78"/>
      <c r="B115" s="79"/>
      <c r="C115" s="303"/>
      <c r="D115" s="165">
        <v>690</v>
      </c>
      <c r="E115" s="166" t="s">
        <v>29</v>
      </c>
      <c r="F115" s="246">
        <v>87000</v>
      </c>
      <c r="G115" s="83">
        <v>77341</v>
      </c>
      <c r="H115" s="84">
        <f t="shared" si="9"/>
        <v>0.8889770114942529</v>
      </c>
      <c r="I115" s="85">
        <v>110609</v>
      </c>
      <c r="J115" s="86">
        <f>107000+10000</f>
        <v>117000</v>
      </c>
      <c r="K115" s="87">
        <f t="shared" si="8"/>
        <v>1.3448275862068966</v>
      </c>
      <c r="L115" s="23"/>
    </row>
    <row r="116" spans="1:12" ht="56.25" x14ac:dyDescent="0.2">
      <c r="A116" s="78"/>
      <c r="B116" s="79"/>
      <c r="C116" s="80"/>
      <c r="D116" s="165">
        <v>750</v>
      </c>
      <c r="E116" s="166" t="s">
        <v>24</v>
      </c>
      <c r="F116" s="348">
        <v>1440</v>
      </c>
      <c r="G116" s="83">
        <v>3206.61</v>
      </c>
      <c r="H116" s="84">
        <f t="shared" si="9"/>
        <v>2.2268125000000003</v>
      </c>
      <c r="I116" s="85">
        <v>3919.19</v>
      </c>
      <c r="J116" s="86">
        <v>4275</v>
      </c>
      <c r="K116" s="87">
        <f t="shared" si="8"/>
        <v>2.96875</v>
      </c>
      <c r="L116" s="23"/>
    </row>
    <row r="117" spans="1:12" x14ac:dyDescent="0.2">
      <c r="A117" s="78"/>
      <c r="B117" s="79"/>
      <c r="C117" s="107"/>
      <c r="D117" s="165">
        <v>830</v>
      </c>
      <c r="E117" s="166" t="s">
        <v>17</v>
      </c>
      <c r="F117" s="246">
        <v>253000</v>
      </c>
      <c r="G117" s="83">
        <v>175031.3</v>
      </c>
      <c r="H117" s="84">
        <f t="shared" si="9"/>
        <v>0.69182332015810277</v>
      </c>
      <c r="I117" s="85">
        <v>251545.3</v>
      </c>
      <c r="J117" s="86">
        <v>268000</v>
      </c>
      <c r="K117" s="87">
        <f t="shared" si="8"/>
        <v>1.0592885375494072</v>
      </c>
      <c r="L117" s="23"/>
    </row>
    <row r="118" spans="1:12" x14ac:dyDescent="0.2">
      <c r="A118" s="78"/>
      <c r="B118" s="79"/>
      <c r="C118" s="80"/>
      <c r="D118" s="162" t="s">
        <v>54</v>
      </c>
      <c r="E118" s="163" t="s">
        <v>55</v>
      </c>
      <c r="F118" s="254">
        <v>0</v>
      </c>
      <c r="G118" s="141">
        <v>21.6</v>
      </c>
      <c r="H118" s="142">
        <v>0</v>
      </c>
      <c r="I118" s="143">
        <v>21.6</v>
      </c>
      <c r="J118" s="144">
        <v>0</v>
      </c>
      <c r="K118" s="87">
        <v>0</v>
      </c>
      <c r="L118" s="23"/>
    </row>
    <row r="119" spans="1:12" ht="56.25" x14ac:dyDescent="0.2">
      <c r="A119" s="78"/>
      <c r="B119" s="79"/>
      <c r="C119" s="80"/>
      <c r="D119" s="1071" t="s">
        <v>96</v>
      </c>
      <c r="E119" s="163" t="s">
        <v>97</v>
      </c>
      <c r="F119" s="170">
        <v>0</v>
      </c>
      <c r="G119" s="327">
        <v>549</v>
      </c>
      <c r="H119" s="328">
        <v>0</v>
      </c>
      <c r="I119" s="143">
        <v>549</v>
      </c>
      <c r="J119" s="144">
        <v>0</v>
      </c>
      <c r="K119" s="171">
        <v>0</v>
      </c>
      <c r="L119" s="23"/>
    </row>
    <row r="120" spans="1:12" x14ac:dyDescent="0.2">
      <c r="A120" s="78"/>
      <c r="B120" s="79"/>
      <c r="C120" s="80"/>
      <c r="D120" s="333" t="s">
        <v>35</v>
      </c>
      <c r="E120" s="90" t="s">
        <v>36</v>
      </c>
      <c r="F120" s="121">
        <v>5000</v>
      </c>
      <c r="G120" s="93">
        <v>2063.2600000000002</v>
      </c>
      <c r="H120" s="94">
        <v>0</v>
      </c>
      <c r="I120" s="85">
        <v>2877.55</v>
      </c>
      <c r="J120" s="86">
        <v>4400</v>
      </c>
      <c r="K120" s="87">
        <f t="shared" si="8"/>
        <v>0.88</v>
      </c>
      <c r="L120" s="23"/>
    </row>
    <row r="121" spans="1:12" ht="33.75" x14ac:dyDescent="0.2">
      <c r="A121" s="78"/>
      <c r="B121" s="79"/>
      <c r="C121" s="107"/>
      <c r="D121" s="333">
        <v>2030</v>
      </c>
      <c r="E121" s="37" t="s">
        <v>88</v>
      </c>
      <c r="F121" s="98">
        <v>565323</v>
      </c>
      <c r="G121" s="83">
        <v>423997</v>
      </c>
      <c r="H121" s="84">
        <f t="shared" si="9"/>
        <v>0.7500084022762209</v>
      </c>
      <c r="I121" s="85">
        <v>565323</v>
      </c>
      <c r="J121" s="86">
        <v>483138</v>
      </c>
      <c r="K121" s="87">
        <f t="shared" si="8"/>
        <v>0.85462293237671205</v>
      </c>
      <c r="L121" s="23"/>
    </row>
    <row r="122" spans="1:12" ht="45" x14ac:dyDescent="0.2">
      <c r="A122" s="78"/>
      <c r="B122" s="79"/>
      <c r="C122" s="107"/>
      <c r="D122" s="333">
        <v>2310</v>
      </c>
      <c r="E122" s="90" t="s">
        <v>98</v>
      </c>
      <c r="F122" s="98">
        <v>5000</v>
      </c>
      <c r="G122" s="83">
        <v>8721.3799999999992</v>
      </c>
      <c r="H122" s="84">
        <f t="shared" si="9"/>
        <v>1.7442759999999999</v>
      </c>
      <c r="I122" s="85">
        <v>13752.92</v>
      </c>
      <c r="J122" s="86">
        <v>10000</v>
      </c>
      <c r="K122" s="87">
        <f t="shared" si="8"/>
        <v>2</v>
      </c>
      <c r="L122" s="23"/>
    </row>
    <row r="123" spans="1:12" ht="56.25" x14ac:dyDescent="0.2">
      <c r="A123" s="78"/>
      <c r="B123" s="79"/>
      <c r="C123" s="107"/>
      <c r="D123" s="333">
        <v>2910</v>
      </c>
      <c r="E123" s="163" t="s">
        <v>99</v>
      </c>
      <c r="F123" s="98">
        <v>22500</v>
      </c>
      <c r="G123" s="83">
        <v>32747.58</v>
      </c>
      <c r="H123" s="84">
        <f t="shared" si="9"/>
        <v>1.4554480000000001</v>
      </c>
      <c r="I123" s="209">
        <v>32747.58</v>
      </c>
      <c r="J123" s="144">
        <v>0</v>
      </c>
      <c r="K123" s="87">
        <f t="shared" si="8"/>
        <v>0</v>
      </c>
      <c r="L123" s="23"/>
    </row>
    <row r="124" spans="1:12" x14ac:dyDescent="0.2">
      <c r="A124" s="78"/>
      <c r="B124" s="118">
        <v>80110</v>
      </c>
      <c r="C124" s="70"/>
      <c r="D124" s="199"/>
      <c r="E124" s="350" t="s">
        <v>100</v>
      </c>
      <c r="F124" s="351">
        <f>SUM(F125:F126)</f>
        <v>2000</v>
      </c>
      <c r="G124" s="351">
        <f>SUM(G125:G126)</f>
        <v>2252</v>
      </c>
      <c r="H124" s="204">
        <f t="shared" si="9"/>
        <v>1.1259999999999999</v>
      </c>
      <c r="I124" s="203">
        <f>SUM(I125:I126)</f>
        <v>2252</v>
      </c>
      <c r="J124" s="205">
        <f>SUM(J125:J126)</f>
        <v>3600</v>
      </c>
      <c r="K124" s="106">
        <f t="shared" si="8"/>
        <v>1.8</v>
      </c>
      <c r="L124" s="23"/>
    </row>
    <row r="125" spans="1:12" x14ac:dyDescent="0.2">
      <c r="A125" s="78"/>
      <c r="B125" s="352"/>
      <c r="C125" s="353"/>
      <c r="D125" s="354" t="s">
        <v>101</v>
      </c>
      <c r="E125" s="166" t="s">
        <v>29</v>
      </c>
      <c r="F125" s="355">
        <v>0</v>
      </c>
      <c r="G125" s="355">
        <v>52</v>
      </c>
      <c r="H125" s="322">
        <v>0</v>
      </c>
      <c r="I125" s="356">
        <v>52</v>
      </c>
      <c r="J125" s="357">
        <v>0</v>
      </c>
      <c r="K125" s="358">
        <v>0</v>
      </c>
      <c r="L125" s="23"/>
    </row>
    <row r="126" spans="1:12" ht="56.25" x14ac:dyDescent="0.2">
      <c r="A126" s="78"/>
      <c r="B126" s="79"/>
      <c r="C126" s="80"/>
      <c r="D126" s="180">
        <v>750</v>
      </c>
      <c r="E126" s="90" t="s">
        <v>24</v>
      </c>
      <c r="F126" s="121">
        <v>2000</v>
      </c>
      <c r="G126" s="141">
        <v>2200</v>
      </c>
      <c r="H126" s="142">
        <f t="shared" si="9"/>
        <v>1.1000000000000001</v>
      </c>
      <c r="I126" s="143">
        <v>2200</v>
      </c>
      <c r="J126" s="144">
        <f>1626+1974</f>
        <v>3600</v>
      </c>
      <c r="K126" s="87">
        <f t="shared" si="8"/>
        <v>1.8</v>
      </c>
      <c r="L126" s="23"/>
    </row>
    <row r="127" spans="1:12" x14ac:dyDescent="0.2">
      <c r="A127" s="78"/>
      <c r="B127" s="118">
        <v>80148</v>
      </c>
      <c r="C127" s="70"/>
      <c r="D127" s="71"/>
      <c r="E127" s="104" t="s">
        <v>102</v>
      </c>
      <c r="F127" s="308">
        <f>SUM(F128:F130)</f>
        <v>342000</v>
      </c>
      <c r="G127" s="308">
        <f>SUM(G128:G130)</f>
        <v>210316.33</v>
      </c>
      <c r="H127" s="155">
        <f t="shared" si="9"/>
        <v>0.614960029239766</v>
      </c>
      <c r="I127" s="75">
        <f>SUM(I128:I130)</f>
        <v>307079.32</v>
      </c>
      <c r="J127" s="76">
        <f>SUM(J128:J130)</f>
        <v>339000</v>
      </c>
      <c r="K127" s="106">
        <f t="shared" si="8"/>
        <v>0.99122807017543857</v>
      </c>
      <c r="L127" s="23"/>
    </row>
    <row r="128" spans="1:12" x14ac:dyDescent="0.2">
      <c r="A128" s="78"/>
      <c r="B128" s="79"/>
      <c r="C128" s="107"/>
      <c r="D128" s="108">
        <v>830</v>
      </c>
      <c r="E128" s="160" t="s">
        <v>17</v>
      </c>
      <c r="F128" s="185">
        <v>306000</v>
      </c>
      <c r="G128" s="83">
        <v>186490.58</v>
      </c>
      <c r="H128" s="84">
        <f t="shared" si="9"/>
        <v>0.60944633986928098</v>
      </c>
      <c r="I128" s="85">
        <v>272398.5</v>
      </c>
      <c r="J128" s="86">
        <v>303000</v>
      </c>
      <c r="K128" s="87">
        <f t="shared" si="8"/>
        <v>0.99019607843137258</v>
      </c>
      <c r="L128" s="23"/>
    </row>
    <row r="129" spans="1:12" x14ac:dyDescent="0.2">
      <c r="A129" s="78"/>
      <c r="B129" s="79"/>
      <c r="C129" s="107"/>
      <c r="D129" s="168">
        <v>970</v>
      </c>
      <c r="E129" s="169" t="s">
        <v>36</v>
      </c>
      <c r="F129" s="326">
        <v>18000</v>
      </c>
      <c r="G129" s="327">
        <v>10325.75</v>
      </c>
      <c r="H129" s="84">
        <f t="shared" si="9"/>
        <v>0.57365277777777779</v>
      </c>
      <c r="I129" s="329">
        <v>16680.82</v>
      </c>
      <c r="J129" s="183">
        <f>14500+3500</f>
        <v>18000</v>
      </c>
      <c r="K129" s="87">
        <f t="shared" si="8"/>
        <v>1</v>
      </c>
      <c r="L129" s="67"/>
    </row>
    <row r="130" spans="1:12" ht="45" x14ac:dyDescent="0.2">
      <c r="A130" s="78"/>
      <c r="B130" s="79"/>
      <c r="C130" s="80"/>
      <c r="D130" s="359">
        <v>2700</v>
      </c>
      <c r="E130" s="45" t="s">
        <v>47</v>
      </c>
      <c r="F130" s="360">
        <v>18000</v>
      </c>
      <c r="G130" s="93">
        <v>13500</v>
      </c>
      <c r="H130" s="328">
        <f t="shared" si="9"/>
        <v>0.75</v>
      </c>
      <c r="I130" s="95">
        <v>18000</v>
      </c>
      <c r="J130" s="96">
        <v>18000</v>
      </c>
      <c r="K130" s="87">
        <f t="shared" si="8"/>
        <v>1</v>
      </c>
      <c r="L130" s="361"/>
    </row>
    <row r="131" spans="1:12" x14ac:dyDescent="0.2">
      <c r="A131" s="362">
        <v>852</v>
      </c>
      <c r="B131" s="228"/>
      <c r="C131" s="228"/>
      <c r="D131" s="229"/>
      <c r="E131" s="147" t="s">
        <v>103</v>
      </c>
      <c r="F131" s="363">
        <f>F134+F139+F143+F148+F151+F159+F153+F132+F146+F157</f>
        <v>6888100</v>
      </c>
      <c r="G131" s="363">
        <f>G134+G139+G143+G148+G151+G159+G153+G132+G146+G157</f>
        <v>5550513.1000000006</v>
      </c>
      <c r="H131" s="232">
        <f>G131/F131</f>
        <v>0.80581192201042384</v>
      </c>
      <c r="I131" s="363">
        <f>I134+I139+I143+I148+I151+I159+I153+I132</f>
        <v>6807109.9399999995</v>
      </c>
      <c r="J131" s="364">
        <f>J134+J139+J143+J148+J151+J159+J153+J132+J157+J146</f>
        <v>6176460</v>
      </c>
      <c r="K131" s="218">
        <f>J131/F131</f>
        <v>0.89668558818832478</v>
      </c>
      <c r="L131" s="23"/>
    </row>
    <row r="132" spans="1:12" x14ac:dyDescent="0.2">
      <c r="A132" s="1156"/>
      <c r="B132" s="365">
        <v>85206</v>
      </c>
      <c r="C132" s="366"/>
      <c r="D132" s="366"/>
      <c r="E132" s="367" t="s">
        <v>104</v>
      </c>
      <c r="F132" s="368">
        <f>F133</f>
        <v>53973</v>
      </c>
      <c r="G132" s="369">
        <f>G133</f>
        <v>53973</v>
      </c>
      <c r="H132" s="370">
        <f>G132/F132</f>
        <v>1</v>
      </c>
      <c r="I132" s="369">
        <f>I133</f>
        <v>53973</v>
      </c>
      <c r="J132" s="371">
        <f>J133</f>
        <v>0</v>
      </c>
      <c r="K132" s="372">
        <f>J132/F132</f>
        <v>0</v>
      </c>
      <c r="L132" s="23"/>
    </row>
    <row r="133" spans="1:12" ht="33.75" x14ac:dyDescent="0.2">
      <c r="A133" s="1157"/>
      <c r="B133" s="373"/>
      <c r="C133" s="374"/>
      <c r="D133" s="375">
        <v>2030</v>
      </c>
      <c r="E133" s="169" t="s">
        <v>88</v>
      </c>
      <c r="F133" s="376">
        <v>53973</v>
      </c>
      <c r="G133" s="377">
        <v>53973</v>
      </c>
      <c r="H133" s="378">
        <f>G133/F133</f>
        <v>1</v>
      </c>
      <c r="I133" s="377">
        <v>53973</v>
      </c>
      <c r="J133" s="379">
        <v>0</v>
      </c>
      <c r="K133" s="325">
        <f>J133/F133</f>
        <v>0</v>
      </c>
      <c r="L133" s="67"/>
    </row>
    <row r="134" spans="1:12" ht="33.75" x14ac:dyDescent="0.2">
      <c r="A134" s="1157"/>
      <c r="B134" s="290">
        <v>85212</v>
      </c>
      <c r="C134" s="312"/>
      <c r="D134" s="312"/>
      <c r="E134" s="313" t="s">
        <v>105</v>
      </c>
      <c r="F134" s="426">
        <f>SUM(F135:F138)</f>
        <v>5929784</v>
      </c>
      <c r="G134" s="426">
        <f>SUM(G135:G138)</f>
        <v>4745158.6100000003</v>
      </c>
      <c r="H134" s="315">
        <f t="shared" si="9"/>
        <v>0.8002245292577268</v>
      </c>
      <c r="I134" s="388">
        <f>SUM(I135:I138)</f>
        <v>5928957.46</v>
      </c>
      <c r="J134" s="389">
        <f>SUM(J135:J138)</f>
        <v>5708359</v>
      </c>
      <c r="K134" s="106">
        <f t="shared" si="8"/>
        <v>0.96265884221077869</v>
      </c>
      <c r="L134" s="52"/>
    </row>
    <row r="135" spans="1:12" ht="56.25" x14ac:dyDescent="0.2">
      <c r="A135" s="1157"/>
      <c r="B135" s="79"/>
      <c r="C135" s="79"/>
      <c r="D135" s="304">
        <v>900</v>
      </c>
      <c r="E135" s="163" t="s">
        <v>97</v>
      </c>
      <c r="F135" s="208">
        <v>1500</v>
      </c>
      <c r="G135" s="141">
        <v>673.46</v>
      </c>
      <c r="H135" s="142">
        <f t="shared" si="9"/>
        <v>0.44897333333333334</v>
      </c>
      <c r="I135" s="143">
        <v>673.46</v>
      </c>
      <c r="J135" s="144">
        <v>1500</v>
      </c>
      <c r="K135" s="171">
        <f t="shared" si="8"/>
        <v>1</v>
      </c>
      <c r="L135" s="67"/>
    </row>
    <row r="136" spans="1:12" ht="45" x14ac:dyDescent="0.2">
      <c r="A136" s="1157"/>
      <c r="B136" s="79"/>
      <c r="C136" s="80"/>
      <c r="D136" s="307">
        <v>2010</v>
      </c>
      <c r="E136" s="166" t="s">
        <v>26</v>
      </c>
      <c r="F136" s="381">
        <v>5859644</v>
      </c>
      <c r="G136" s="83">
        <v>4684384</v>
      </c>
      <c r="H136" s="84">
        <f t="shared" si="9"/>
        <v>0.79943150129939633</v>
      </c>
      <c r="I136" s="85">
        <v>5859644</v>
      </c>
      <c r="J136" s="86">
        <v>5638219</v>
      </c>
      <c r="K136" s="87">
        <f t="shared" si="8"/>
        <v>0.96221186816127391</v>
      </c>
      <c r="L136" s="382" t="s">
        <v>106</v>
      </c>
    </row>
    <row r="137" spans="1:12" ht="45" x14ac:dyDescent="0.2">
      <c r="A137" s="1157"/>
      <c r="B137" s="79"/>
      <c r="C137" s="80"/>
      <c r="D137" s="307">
        <v>2360</v>
      </c>
      <c r="E137" s="166" t="s">
        <v>51</v>
      </c>
      <c r="F137" s="167">
        <v>59640</v>
      </c>
      <c r="G137" s="83">
        <v>52759.21</v>
      </c>
      <c r="H137" s="84">
        <f t="shared" si="9"/>
        <v>0.88462793427230046</v>
      </c>
      <c r="I137" s="85">
        <v>59640</v>
      </c>
      <c r="J137" s="86">
        <v>59640</v>
      </c>
      <c r="K137" s="87">
        <f t="shared" si="8"/>
        <v>1</v>
      </c>
      <c r="L137" s="23"/>
    </row>
    <row r="138" spans="1:12" ht="56.25" x14ac:dyDescent="0.2">
      <c r="A138" s="1157"/>
      <c r="B138" s="206"/>
      <c r="C138" s="253"/>
      <c r="D138" s="207">
        <v>2910</v>
      </c>
      <c r="E138" s="163" t="s">
        <v>99</v>
      </c>
      <c r="F138" s="164">
        <v>9000</v>
      </c>
      <c r="G138" s="141">
        <v>7341.94</v>
      </c>
      <c r="H138" s="84">
        <f t="shared" si="9"/>
        <v>0.81577111111111111</v>
      </c>
      <c r="I138" s="143">
        <v>9000</v>
      </c>
      <c r="J138" s="144">
        <v>9000</v>
      </c>
      <c r="K138" s="171">
        <f t="shared" si="8"/>
        <v>1</v>
      </c>
      <c r="L138" s="23"/>
    </row>
    <row r="139" spans="1:12" ht="56.25" x14ac:dyDescent="0.2">
      <c r="A139" s="1157"/>
      <c r="B139" s="290">
        <v>85213</v>
      </c>
      <c r="C139" s="296"/>
      <c r="D139" s="296"/>
      <c r="E139" s="297" t="s">
        <v>107</v>
      </c>
      <c r="F139" s="383">
        <f>SUM(F140:F142)</f>
        <v>37044</v>
      </c>
      <c r="G139" s="383">
        <f>SUM(G140:G142)</f>
        <v>31128.16</v>
      </c>
      <c r="H139" s="299">
        <f t="shared" si="9"/>
        <v>0.84030234315948604</v>
      </c>
      <c r="I139" s="300">
        <f>SUM(I140:I142)</f>
        <v>37010.160000000003</v>
      </c>
      <c r="J139" s="301">
        <f>SUM(J140:J142)</f>
        <v>29946</v>
      </c>
      <c r="K139" s="106">
        <f t="shared" si="8"/>
        <v>0.80839002267573701</v>
      </c>
      <c r="L139" s="23"/>
    </row>
    <row r="140" spans="1:12" ht="45" x14ac:dyDescent="0.2">
      <c r="A140" s="1157"/>
      <c r="B140" s="79"/>
      <c r="C140" s="79"/>
      <c r="D140" s="384">
        <v>2010</v>
      </c>
      <c r="E140" s="169" t="s">
        <v>26</v>
      </c>
      <c r="F140" s="170">
        <v>16198</v>
      </c>
      <c r="G140" s="141">
        <v>12892</v>
      </c>
      <c r="H140" s="142">
        <f t="shared" si="9"/>
        <v>0.79590072848499815</v>
      </c>
      <c r="I140" s="143">
        <v>16198</v>
      </c>
      <c r="J140" s="144">
        <v>13705</v>
      </c>
      <c r="K140" s="171">
        <f t="shared" si="8"/>
        <v>0.84609211013705399</v>
      </c>
      <c r="L140" s="23" t="s">
        <v>108</v>
      </c>
    </row>
    <row r="141" spans="1:12" ht="33.75" x14ac:dyDescent="0.2">
      <c r="A141" s="1157"/>
      <c r="B141" s="79"/>
      <c r="C141" s="80"/>
      <c r="D141" s="184">
        <v>2030</v>
      </c>
      <c r="E141" s="160" t="s">
        <v>88</v>
      </c>
      <c r="F141" s="161">
        <v>20796</v>
      </c>
      <c r="G141" s="83">
        <v>18220</v>
      </c>
      <c r="H141" s="142">
        <f t="shared" si="9"/>
        <v>0.87613002500480863</v>
      </c>
      <c r="I141" s="85">
        <v>20796</v>
      </c>
      <c r="J141" s="86">
        <v>16191</v>
      </c>
      <c r="K141" s="171">
        <f t="shared" si="8"/>
        <v>0.77856318522792844</v>
      </c>
      <c r="L141" s="23" t="s">
        <v>109</v>
      </c>
    </row>
    <row r="142" spans="1:12" ht="56.25" x14ac:dyDescent="0.2">
      <c r="A142" s="1157"/>
      <c r="B142" s="79"/>
      <c r="C142" s="236"/>
      <c r="D142" s="385">
        <v>2910</v>
      </c>
      <c r="E142" s="177" t="s">
        <v>99</v>
      </c>
      <c r="F142" s="386">
        <v>50</v>
      </c>
      <c r="G142" s="141">
        <v>16.16</v>
      </c>
      <c r="H142" s="142">
        <f t="shared" si="9"/>
        <v>0.32319999999999999</v>
      </c>
      <c r="I142" s="209">
        <v>16.16</v>
      </c>
      <c r="J142" s="144">
        <v>50</v>
      </c>
      <c r="K142" s="171">
        <f t="shared" si="8"/>
        <v>1</v>
      </c>
      <c r="L142" s="67"/>
    </row>
    <row r="143" spans="1:12" ht="22.5" x14ac:dyDescent="0.2">
      <c r="A143" s="1157"/>
      <c r="B143" s="290">
        <v>85214</v>
      </c>
      <c r="C143" s="239"/>
      <c r="D143" s="312"/>
      <c r="E143" s="350" t="s">
        <v>110</v>
      </c>
      <c r="F143" s="387">
        <f>F144+F145</f>
        <v>169412</v>
      </c>
      <c r="G143" s="387">
        <f>G144+G145</f>
        <v>111207</v>
      </c>
      <c r="H143" s="204">
        <f t="shared" si="9"/>
        <v>0.65642929662597693</v>
      </c>
      <c r="I143" s="388">
        <f>SUM(I144:I145)</f>
        <v>169401</v>
      </c>
      <c r="J143" s="389">
        <f>SUM(J144:J145)</f>
        <v>89522</v>
      </c>
      <c r="K143" s="106">
        <f t="shared" si="8"/>
        <v>0.52842773829480794</v>
      </c>
      <c r="L143" s="23"/>
    </row>
    <row r="144" spans="1:12" ht="33.75" x14ac:dyDescent="0.2">
      <c r="A144" s="1157"/>
      <c r="B144" s="79"/>
      <c r="C144" s="253"/>
      <c r="D144" s="207">
        <v>2030</v>
      </c>
      <c r="E144" s="163" t="s">
        <v>88</v>
      </c>
      <c r="F144" s="254">
        <v>129412</v>
      </c>
      <c r="G144" s="141">
        <v>71218</v>
      </c>
      <c r="H144" s="142">
        <f t="shared" si="9"/>
        <v>0.55031990850925727</v>
      </c>
      <c r="I144" s="143">
        <v>129412</v>
      </c>
      <c r="J144" s="144">
        <v>89522</v>
      </c>
      <c r="K144" s="87">
        <f t="shared" si="8"/>
        <v>0.69175965134608841</v>
      </c>
      <c r="L144" s="23" t="s">
        <v>111</v>
      </c>
    </row>
    <row r="145" spans="1:12" ht="45" x14ac:dyDescent="0.2">
      <c r="A145" s="1157"/>
      <c r="B145" s="390"/>
      <c r="C145" s="206"/>
      <c r="D145" s="391">
        <v>2700</v>
      </c>
      <c r="E145" s="392" t="s">
        <v>47</v>
      </c>
      <c r="F145" s="98">
        <v>40000</v>
      </c>
      <c r="G145" s="83">
        <v>39989</v>
      </c>
      <c r="H145" s="84">
        <f t="shared" si="9"/>
        <v>0.99972499999999997</v>
      </c>
      <c r="I145" s="209">
        <v>39989</v>
      </c>
      <c r="J145" s="144">
        <v>0</v>
      </c>
      <c r="K145" s="171">
        <f t="shared" si="8"/>
        <v>0</v>
      </c>
      <c r="L145" s="67"/>
    </row>
    <row r="146" spans="1:12" x14ac:dyDescent="0.2">
      <c r="A146" s="1157"/>
      <c r="B146" s="290">
        <v>82515</v>
      </c>
      <c r="C146" s="295"/>
      <c r="D146" s="296"/>
      <c r="E146" s="297" t="s">
        <v>112</v>
      </c>
      <c r="F146" s="347">
        <f>F147</f>
        <v>11210</v>
      </c>
      <c r="G146" s="347">
        <f>G147</f>
        <v>6384</v>
      </c>
      <c r="H146" s="299">
        <f t="shared" si="9"/>
        <v>0.56949152542372883</v>
      </c>
      <c r="I146" s="300">
        <f>SUM(I148:I149)</f>
        <v>421782.39</v>
      </c>
      <c r="J146" s="301">
        <f>J147</f>
        <v>0</v>
      </c>
      <c r="K146" s="106">
        <f t="shared" si="8"/>
        <v>0</v>
      </c>
      <c r="L146" s="67"/>
    </row>
    <row r="147" spans="1:12" ht="45" x14ac:dyDescent="0.2">
      <c r="A147" s="1157"/>
      <c r="B147" s="393"/>
      <c r="C147" s="394"/>
      <c r="D147" s="184">
        <v>2010</v>
      </c>
      <c r="E147" s="160" t="s">
        <v>26</v>
      </c>
      <c r="F147" s="395">
        <v>11210</v>
      </c>
      <c r="G147" s="396">
        <v>6384</v>
      </c>
      <c r="H147" s="397">
        <f>G147/F147</f>
        <v>0.56949152542372883</v>
      </c>
      <c r="I147" s="396">
        <v>11210</v>
      </c>
      <c r="J147" s="324">
        <v>0</v>
      </c>
      <c r="K147" s="358">
        <f>J147/F147</f>
        <v>0</v>
      </c>
      <c r="L147" s="398" t="s">
        <v>113</v>
      </c>
    </row>
    <row r="148" spans="1:12" x14ac:dyDescent="0.2">
      <c r="A148" s="1157"/>
      <c r="B148" s="290">
        <v>85216</v>
      </c>
      <c r="C148" s="295"/>
      <c r="D148" s="296"/>
      <c r="E148" s="297" t="s">
        <v>114</v>
      </c>
      <c r="F148" s="347">
        <f>SUM(F149:F150)</f>
        <v>211305</v>
      </c>
      <c r="G148" s="300">
        <f>SUM(G149:G150)</f>
        <v>203081.39</v>
      </c>
      <c r="H148" s="299">
        <f t="shared" si="9"/>
        <v>0.96108180118785647</v>
      </c>
      <c r="I148" s="300">
        <f>SUM(I149:I150)</f>
        <v>210977.39</v>
      </c>
      <c r="J148" s="301">
        <f>SUM(J149:J150)</f>
        <v>151537</v>
      </c>
      <c r="K148" s="106">
        <f t="shared" si="8"/>
        <v>0.71714819810226926</v>
      </c>
      <c r="L148" s="67"/>
    </row>
    <row r="149" spans="1:12" ht="33.75" x14ac:dyDescent="0.2">
      <c r="A149" s="1157"/>
      <c r="B149" s="79"/>
      <c r="C149" s="79"/>
      <c r="D149" s="384">
        <v>2030</v>
      </c>
      <c r="E149" s="169" t="s">
        <v>88</v>
      </c>
      <c r="F149" s="349">
        <v>210805</v>
      </c>
      <c r="G149" s="141">
        <v>202909</v>
      </c>
      <c r="H149" s="142">
        <f t="shared" si="9"/>
        <v>0.96254358293209363</v>
      </c>
      <c r="I149" s="143">
        <v>210805</v>
      </c>
      <c r="J149" s="144">
        <v>151037</v>
      </c>
      <c r="K149" s="171">
        <f t="shared" si="8"/>
        <v>0.71647731315670882</v>
      </c>
      <c r="L149" s="23" t="s">
        <v>115</v>
      </c>
    </row>
    <row r="150" spans="1:12" ht="56.25" x14ac:dyDescent="0.2">
      <c r="A150" s="1157"/>
      <c r="B150" s="79"/>
      <c r="C150" s="80"/>
      <c r="D150" s="292">
        <v>2910</v>
      </c>
      <c r="E150" s="37" t="s">
        <v>99</v>
      </c>
      <c r="F150" s="120">
        <v>500</v>
      </c>
      <c r="G150" s="83">
        <v>172.39</v>
      </c>
      <c r="H150" s="84">
        <f t="shared" si="9"/>
        <v>0.34477999999999998</v>
      </c>
      <c r="I150" s="85">
        <v>172.39</v>
      </c>
      <c r="J150" s="86">
        <v>500</v>
      </c>
      <c r="K150" s="87">
        <f t="shared" si="8"/>
        <v>1</v>
      </c>
      <c r="L150" s="23"/>
    </row>
    <row r="151" spans="1:12" x14ac:dyDescent="0.2">
      <c r="A151" s="1157"/>
      <c r="B151" s="310">
        <v>85219</v>
      </c>
      <c r="C151" s="311"/>
      <c r="D151" s="312"/>
      <c r="E151" s="313" t="s">
        <v>116</v>
      </c>
      <c r="F151" s="399">
        <f>F152</f>
        <v>113433</v>
      </c>
      <c r="G151" s="388">
        <f>G152</f>
        <v>87015</v>
      </c>
      <c r="H151" s="315">
        <f t="shared" si="9"/>
        <v>0.76710481076935289</v>
      </c>
      <c r="I151" s="388">
        <f>I152</f>
        <v>113433</v>
      </c>
      <c r="J151" s="389">
        <f>J152</f>
        <v>130044</v>
      </c>
      <c r="K151" s="106">
        <f t="shared" si="8"/>
        <v>1.1464388669963768</v>
      </c>
      <c r="L151" s="23"/>
    </row>
    <row r="152" spans="1:12" ht="33.75" x14ac:dyDescent="0.2">
      <c r="A152" s="1157"/>
      <c r="B152" s="79"/>
      <c r="C152" s="79"/>
      <c r="D152" s="207">
        <v>2030</v>
      </c>
      <c r="E152" s="163" t="s">
        <v>88</v>
      </c>
      <c r="F152" s="254">
        <v>113433</v>
      </c>
      <c r="G152" s="141">
        <v>87015</v>
      </c>
      <c r="H152" s="142">
        <f t="shared" si="9"/>
        <v>0.76710481076935289</v>
      </c>
      <c r="I152" s="143">
        <v>113433</v>
      </c>
      <c r="J152" s="144">
        <v>130044</v>
      </c>
      <c r="K152" s="171">
        <f t="shared" si="8"/>
        <v>1.1464388669963768</v>
      </c>
      <c r="L152" s="23" t="s">
        <v>117</v>
      </c>
    </row>
    <row r="153" spans="1:12" ht="22.5" x14ac:dyDescent="0.2">
      <c r="A153" s="1157"/>
      <c r="B153" s="118">
        <v>85228</v>
      </c>
      <c r="C153" s="70"/>
      <c r="D153" s="71"/>
      <c r="E153" s="104" t="s">
        <v>118</v>
      </c>
      <c r="F153" s="235">
        <f>SUM(F154:F156)</f>
        <v>69490</v>
      </c>
      <c r="G153" s="235">
        <f>SUM(G154:G156)</f>
        <v>54165.94</v>
      </c>
      <c r="H153" s="155">
        <f t="shared" si="9"/>
        <v>0.779478198301914</v>
      </c>
      <c r="I153" s="156">
        <f>SUM(I154:I156)</f>
        <v>70018.930000000008</v>
      </c>
      <c r="J153" s="157">
        <f>SUM(J154:J156)</f>
        <v>67052</v>
      </c>
      <c r="K153" s="158">
        <f t="shared" si="8"/>
        <v>0.9649158152252123</v>
      </c>
      <c r="L153" s="67"/>
    </row>
    <row r="154" spans="1:12" x14ac:dyDescent="0.2">
      <c r="A154" s="1157"/>
      <c r="B154" s="79"/>
      <c r="C154" s="107"/>
      <c r="D154" s="108">
        <v>830</v>
      </c>
      <c r="E154" s="109" t="s">
        <v>17</v>
      </c>
      <c r="F154" s="110">
        <v>31000</v>
      </c>
      <c r="G154" s="83">
        <v>25350.65</v>
      </c>
      <c r="H154" s="84">
        <f t="shared" si="9"/>
        <v>0.81776290322580647</v>
      </c>
      <c r="I154" s="85">
        <v>31604.85</v>
      </c>
      <c r="J154" s="86">
        <v>31000</v>
      </c>
      <c r="K154" s="87">
        <f t="shared" si="8"/>
        <v>1</v>
      </c>
      <c r="L154" s="23"/>
    </row>
    <row r="155" spans="1:12" ht="45" x14ac:dyDescent="0.2">
      <c r="A155" s="1157"/>
      <c r="B155" s="79"/>
      <c r="C155" s="80"/>
      <c r="D155" s="184">
        <v>2010</v>
      </c>
      <c r="E155" s="160" t="s">
        <v>26</v>
      </c>
      <c r="F155" s="161">
        <v>38300</v>
      </c>
      <c r="G155" s="83">
        <v>28728</v>
      </c>
      <c r="H155" s="84">
        <f t="shared" si="9"/>
        <v>0.75007832898172322</v>
      </c>
      <c r="I155" s="85">
        <v>38300</v>
      </c>
      <c r="J155" s="86">
        <v>35927</v>
      </c>
      <c r="K155" s="87">
        <f t="shared" si="8"/>
        <v>0.93804177545691902</v>
      </c>
      <c r="L155" s="23"/>
    </row>
    <row r="156" spans="1:12" ht="45" x14ac:dyDescent="0.2">
      <c r="A156" s="1157"/>
      <c r="B156" s="79"/>
      <c r="C156" s="80"/>
      <c r="D156" s="384">
        <v>2360</v>
      </c>
      <c r="E156" s="400" t="s">
        <v>51</v>
      </c>
      <c r="F156" s="401">
        <v>190</v>
      </c>
      <c r="G156" s="327">
        <v>87.29</v>
      </c>
      <c r="H156" s="328">
        <f t="shared" si="9"/>
        <v>0.45942105263157901</v>
      </c>
      <c r="I156" s="329">
        <v>114.08</v>
      </c>
      <c r="J156" s="183">
        <v>125</v>
      </c>
      <c r="K156" s="330">
        <f t="shared" si="8"/>
        <v>0.65789473684210531</v>
      </c>
      <c r="L156" s="23"/>
    </row>
    <row r="157" spans="1:12" x14ac:dyDescent="0.2">
      <c r="A157" s="1157"/>
      <c r="B157" s="118">
        <v>85278</v>
      </c>
      <c r="C157" s="70"/>
      <c r="D157" s="103"/>
      <c r="E157" s="402" t="s">
        <v>119</v>
      </c>
      <c r="F157" s="403">
        <f>F158</f>
        <v>69110</v>
      </c>
      <c r="G157" s="403">
        <f>G158</f>
        <v>69110</v>
      </c>
      <c r="H157" s="404">
        <f>G157/F157</f>
        <v>1</v>
      </c>
      <c r="I157" s="405">
        <f t="shared" ref="I157:J157" si="10">I158</f>
        <v>69110</v>
      </c>
      <c r="J157" s="406">
        <f t="shared" si="10"/>
        <v>0</v>
      </c>
      <c r="K157" s="1056">
        <f>J157/F157</f>
        <v>0</v>
      </c>
      <c r="L157" s="23"/>
    </row>
    <row r="158" spans="1:12" ht="45" x14ac:dyDescent="0.2">
      <c r="A158" s="1157"/>
      <c r="B158" s="79"/>
      <c r="C158" s="79"/>
      <c r="D158" s="407">
        <v>2010</v>
      </c>
      <c r="E158" s="90" t="s">
        <v>26</v>
      </c>
      <c r="F158" s="181">
        <v>69110</v>
      </c>
      <c r="G158" s="83">
        <v>69110</v>
      </c>
      <c r="H158" s="84">
        <f>G158/F158</f>
        <v>1</v>
      </c>
      <c r="I158" s="85">
        <v>69110</v>
      </c>
      <c r="J158" s="86">
        <v>0</v>
      </c>
      <c r="K158" s="171">
        <f>J158/F158</f>
        <v>0</v>
      </c>
      <c r="L158" s="23"/>
    </row>
    <row r="159" spans="1:12" x14ac:dyDescent="0.2">
      <c r="A159" s="1157"/>
      <c r="B159" s="118">
        <v>85295</v>
      </c>
      <c r="C159" s="70"/>
      <c r="D159" s="103"/>
      <c r="E159" s="408" t="s">
        <v>23</v>
      </c>
      <c r="F159" s="403">
        <f>SUM(F160:F162)</f>
        <v>223339</v>
      </c>
      <c r="G159" s="403">
        <f>SUM(G160:G162)</f>
        <v>189290</v>
      </c>
      <c r="H159" s="404">
        <f>G159/F159</f>
        <v>0.84754565928924186</v>
      </c>
      <c r="I159" s="405">
        <f>SUM(I160:I162)</f>
        <v>223339</v>
      </c>
      <c r="J159" s="406">
        <f>SUM(J160:J162)</f>
        <v>0</v>
      </c>
      <c r="K159" s="409">
        <f>J159/F159</f>
        <v>0</v>
      </c>
      <c r="L159" s="23"/>
    </row>
    <row r="160" spans="1:12" ht="45" x14ac:dyDescent="0.2">
      <c r="A160" s="1157"/>
      <c r="B160" s="1159"/>
      <c r="C160" s="79"/>
      <c r="D160" s="410">
        <v>2010</v>
      </c>
      <c r="E160" s="227" t="s">
        <v>26</v>
      </c>
      <c r="F160" s="181">
        <v>104789</v>
      </c>
      <c r="G160" s="83">
        <v>93740</v>
      </c>
      <c r="H160" s="84">
        <f>G160/F160</f>
        <v>0.8945595434635315</v>
      </c>
      <c r="I160" s="85">
        <v>104789</v>
      </c>
      <c r="J160" s="183">
        <v>0</v>
      </c>
      <c r="K160" s="171">
        <f>J160/F160</f>
        <v>0</v>
      </c>
      <c r="L160" s="23"/>
    </row>
    <row r="161" spans="1:12" ht="33.75" x14ac:dyDescent="0.2">
      <c r="A161" s="1157"/>
      <c r="B161" s="1160"/>
      <c r="C161" s="253"/>
      <c r="D161" s="184">
        <v>2030</v>
      </c>
      <c r="E161" s="160" t="s">
        <v>88</v>
      </c>
      <c r="F161" s="185">
        <v>97100</v>
      </c>
      <c r="G161" s="83">
        <v>74100</v>
      </c>
      <c r="H161" s="84">
        <f t="shared" si="9"/>
        <v>0.76313079299691045</v>
      </c>
      <c r="I161" s="85">
        <v>97100</v>
      </c>
      <c r="J161" s="86">
        <v>0</v>
      </c>
      <c r="K161" s="87">
        <f t="shared" si="8"/>
        <v>0</v>
      </c>
      <c r="L161" s="23"/>
    </row>
    <row r="162" spans="1:12" ht="45" x14ac:dyDescent="0.2">
      <c r="A162" s="1158"/>
      <c r="B162" s="1161"/>
      <c r="C162" s="206"/>
      <c r="D162" s="391">
        <v>2700</v>
      </c>
      <c r="E162" s="392" t="s">
        <v>47</v>
      </c>
      <c r="F162" s="98">
        <v>21450</v>
      </c>
      <c r="G162" s="83">
        <v>21450</v>
      </c>
      <c r="H162" s="84">
        <f t="shared" si="9"/>
        <v>1</v>
      </c>
      <c r="I162" s="209">
        <v>21450</v>
      </c>
      <c r="J162" s="144">
        <v>0</v>
      </c>
      <c r="K162" s="171">
        <f t="shared" si="8"/>
        <v>0</v>
      </c>
      <c r="L162" s="67"/>
    </row>
    <row r="163" spans="1:12" ht="22.5" x14ac:dyDescent="0.2">
      <c r="A163" s="111">
        <v>853</v>
      </c>
      <c r="B163" s="411"/>
      <c r="C163" s="228"/>
      <c r="D163" s="412"/>
      <c r="E163" s="101" t="s">
        <v>120</v>
      </c>
      <c r="F163" s="413">
        <f>F164</f>
        <v>0</v>
      </c>
      <c r="G163" s="214">
        <f>G164</f>
        <v>840</v>
      </c>
      <c r="H163" s="215">
        <v>0</v>
      </c>
      <c r="I163" s="414">
        <f>I164</f>
        <v>840</v>
      </c>
      <c r="J163" s="415">
        <f>J164</f>
        <v>0</v>
      </c>
      <c r="K163" s="218">
        <v>0</v>
      </c>
      <c r="L163" s="416"/>
    </row>
    <row r="164" spans="1:12" x14ac:dyDescent="0.2">
      <c r="A164" s="78"/>
      <c r="B164" s="417">
        <v>85305</v>
      </c>
      <c r="C164" s="295"/>
      <c r="D164" s="418"/>
      <c r="E164" s="419" t="s">
        <v>121</v>
      </c>
      <c r="F164" s="403">
        <f>F165</f>
        <v>0</v>
      </c>
      <c r="G164" s="222">
        <f>G165</f>
        <v>840</v>
      </c>
      <c r="H164" s="223">
        <v>0</v>
      </c>
      <c r="I164" s="420">
        <f>I165</f>
        <v>840</v>
      </c>
      <c r="J164" s="421">
        <f>J165</f>
        <v>0</v>
      </c>
      <c r="K164" s="106">
        <v>0</v>
      </c>
      <c r="L164" s="226"/>
    </row>
    <row r="165" spans="1:12" x14ac:dyDescent="0.2">
      <c r="A165" s="78"/>
      <c r="B165" s="79"/>
      <c r="C165" s="79"/>
      <c r="D165" s="422" t="s">
        <v>101</v>
      </c>
      <c r="E165" s="166" t="s">
        <v>29</v>
      </c>
      <c r="F165" s="98">
        <v>0</v>
      </c>
      <c r="G165" s="83">
        <v>840</v>
      </c>
      <c r="H165" s="84">
        <v>0</v>
      </c>
      <c r="I165" s="85">
        <v>840</v>
      </c>
      <c r="J165" s="183">
        <v>0</v>
      </c>
      <c r="K165" s="171">
        <v>0</v>
      </c>
      <c r="L165" s="67"/>
    </row>
    <row r="166" spans="1:12" x14ac:dyDescent="0.2">
      <c r="A166" s="111">
        <v>854</v>
      </c>
      <c r="B166" s="100"/>
      <c r="C166" s="100"/>
      <c r="D166" s="16"/>
      <c r="E166" s="17" t="s">
        <v>122</v>
      </c>
      <c r="F166" s="18">
        <f>F167</f>
        <v>290896</v>
      </c>
      <c r="G166" s="20">
        <f>G167</f>
        <v>290896</v>
      </c>
      <c r="H166" s="19">
        <f t="shared" si="9"/>
        <v>1</v>
      </c>
      <c r="I166" s="20">
        <f>I167</f>
        <v>290896</v>
      </c>
      <c r="J166" s="117">
        <f>J167</f>
        <v>0</v>
      </c>
      <c r="K166" s="22">
        <f t="shared" si="8"/>
        <v>0</v>
      </c>
      <c r="L166" s="23"/>
    </row>
    <row r="167" spans="1:12" x14ac:dyDescent="0.2">
      <c r="A167" s="68"/>
      <c r="B167" s="118">
        <v>85415</v>
      </c>
      <c r="C167" s="70"/>
      <c r="D167" s="103"/>
      <c r="E167" s="72" t="s">
        <v>123</v>
      </c>
      <c r="F167" s="73">
        <f>F168+F169</f>
        <v>290896</v>
      </c>
      <c r="G167" s="73">
        <f>G168+G169</f>
        <v>290896</v>
      </c>
      <c r="H167" s="74">
        <f t="shared" si="9"/>
        <v>1</v>
      </c>
      <c r="I167" s="75">
        <f>I168+I169</f>
        <v>290896</v>
      </c>
      <c r="J167" s="389">
        <f>J168+J169</f>
        <v>0</v>
      </c>
      <c r="K167" s="372">
        <f t="shared" si="8"/>
        <v>0</v>
      </c>
      <c r="L167" s="23"/>
    </row>
    <row r="168" spans="1:12" ht="33.75" x14ac:dyDescent="0.2">
      <c r="A168" s="78"/>
      <c r="B168" s="79"/>
      <c r="C168" s="80"/>
      <c r="D168" s="91">
        <v>2030</v>
      </c>
      <c r="E168" s="37" t="s">
        <v>88</v>
      </c>
      <c r="F168" s="92">
        <v>244793</v>
      </c>
      <c r="G168" s="93">
        <v>244793</v>
      </c>
      <c r="H168" s="94">
        <f t="shared" si="9"/>
        <v>1</v>
      </c>
      <c r="I168" s="85">
        <v>244793</v>
      </c>
      <c r="J168" s="86">
        <v>0</v>
      </c>
      <c r="K168" s="87">
        <f t="shared" si="8"/>
        <v>0</v>
      </c>
      <c r="L168" s="23"/>
    </row>
    <row r="169" spans="1:12" ht="56.25" x14ac:dyDescent="0.2">
      <c r="A169" s="78"/>
      <c r="B169" s="79"/>
      <c r="C169" s="80"/>
      <c r="D169" s="97">
        <v>2040</v>
      </c>
      <c r="E169" s="90" t="s">
        <v>124</v>
      </c>
      <c r="F169" s="98">
        <v>46103</v>
      </c>
      <c r="G169" s="83">
        <v>46103</v>
      </c>
      <c r="H169" s="84">
        <f t="shared" si="9"/>
        <v>1</v>
      </c>
      <c r="I169" s="85">
        <v>46103</v>
      </c>
      <c r="J169" s="86">
        <v>0</v>
      </c>
      <c r="K169" s="330">
        <f>J169/F169</f>
        <v>0</v>
      </c>
      <c r="L169" s="23"/>
    </row>
    <row r="170" spans="1:12" ht="22.5" x14ac:dyDescent="0.2">
      <c r="A170" s="111">
        <v>900</v>
      </c>
      <c r="B170" s="100"/>
      <c r="C170" s="100"/>
      <c r="D170" s="16"/>
      <c r="E170" s="17" t="s">
        <v>125</v>
      </c>
      <c r="F170" s="423">
        <f>F171+F178+F173+F181</f>
        <v>4670640</v>
      </c>
      <c r="G170" s="423">
        <f>G171+G178+G173+G181</f>
        <v>3286363.42</v>
      </c>
      <c r="H170" s="19">
        <f>G170/F170</f>
        <v>0.70362164928146886</v>
      </c>
      <c r="I170" s="423">
        <f>I171+I178+I173+I181</f>
        <v>4704212.42</v>
      </c>
      <c r="J170" s="424">
        <f>J171+J178+J173+J181</f>
        <v>1785000</v>
      </c>
      <c r="K170" s="425">
        <f>J170/F170</f>
        <v>0.38217460562149941</v>
      </c>
      <c r="L170" s="23"/>
    </row>
    <row r="171" spans="1:12" x14ac:dyDescent="0.2">
      <c r="A171" s="68"/>
      <c r="B171" s="310">
        <v>90001</v>
      </c>
      <c r="C171" s="311"/>
      <c r="D171" s="312"/>
      <c r="E171" s="313" t="s">
        <v>126</v>
      </c>
      <c r="F171" s="426">
        <f>F172</f>
        <v>1894040</v>
      </c>
      <c r="G171" s="388">
        <f>G172</f>
        <v>1780142.41</v>
      </c>
      <c r="H171" s="315">
        <f>H172</f>
        <v>0.93986526683702554</v>
      </c>
      <c r="I171" s="388">
        <f>I172</f>
        <v>1780142.41</v>
      </c>
      <c r="J171" s="389">
        <f>J172</f>
        <v>0</v>
      </c>
      <c r="K171" s="372">
        <f t="shared" si="8"/>
        <v>0</v>
      </c>
      <c r="L171" s="23"/>
    </row>
    <row r="172" spans="1:12" ht="56.25" x14ac:dyDescent="0.2">
      <c r="A172" s="78"/>
      <c r="B172" s="427"/>
      <c r="C172" s="427"/>
      <c r="D172" s="307">
        <v>6207</v>
      </c>
      <c r="E172" s="166" t="s">
        <v>127</v>
      </c>
      <c r="F172" s="428">
        <v>1894040</v>
      </c>
      <c r="G172" s="83">
        <v>1780142.41</v>
      </c>
      <c r="H172" s="84">
        <f>G172/F172</f>
        <v>0.93986526683702554</v>
      </c>
      <c r="I172" s="85">
        <v>1780142.41</v>
      </c>
      <c r="J172" s="86">
        <v>0</v>
      </c>
      <c r="K172" s="87">
        <f t="shared" si="8"/>
        <v>0</v>
      </c>
      <c r="L172" s="67"/>
    </row>
    <row r="173" spans="1:12" x14ac:dyDescent="0.2">
      <c r="A173" s="78"/>
      <c r="B173" s="429">
        <v>90002</v>
      </c>
      <c r="C173" s="430"/>
      <c r="D173" s="431"/>
      <c r="E173" s="432" t="s">
        <v>128</v>
      </c>
      <c r="F173" s="433">
        <f>SUM(F174:F177)</f>
        <v>1561600</v>
      </c>
      <c r="G173" s="433">
        <f>SUM(G174:G177)</f>
        <v>1228849.55</v>
      </c>
      <c r="H173" s="434">
        <f>G173/F173</f>
        <v>0.78691697617827872</v>
      </c>
      <c r="I173" s="435">
        <f>SUM(I174:I177)</f>
        <v>1646698.55</v>
      </c>
      <c r="J173" s="436">
        <f>SUM(J174:J177)</f>
        <v>1560000</v>
      </c>
      <c r="K173" s="437">
        <f>SUM(K174:K174)</f>
        <v>1.000642673521851</v>
      </c>
      <c r="L173" s="67"/>
    </row>
    <row r="174" spans="1:12" ht="33.75" x14ac:dyDescent="0.2">
      <c r="A174" s="78"/>
      <c r="B174" s="79"/>
      <c r="C174" s="2"/>
      <c r="D174" s="1064" t="s">
        <v>129</v>
      </c>
      <c r="E174" s="462" t="s">
        <v>32</v>
      </c>
      <c r="F174" s="1065">
        <v>1556000</v>
      </c>
      <c r="G174" s="1066">
        <v>1225242.21</v>
      </c>
      <c r="H174" s="1067">
        <f>G174/F174</f>
        <v>0.78743072622107968</v>
      </c>
      <c r="I174" s="1068">
        <v>1643091.21</v>
      </c>
      <c r="J174" s="801">
        <v>1557000</v>
      </c>
      <c r="K174" s="1069">
        <f>J174/F174</f>
        <v>1.000642673521851</v>
      </c>
      <c r="L174" s="67"/>
    </row>
    <row r="175" spans="1:12" x14ac:dyDescent="0.2">
      <c r="A175" s="78"/>
      <c r="B175" s="79"/>
      <c r="C175" s="2"/>
      <c r="D175" s="438" t="s">
        <v>101</v>
      </c>
      <c r="E175" s="166" t="s">
        <v>29</v>
      </c>
      <c r="F175" s="306">
        <v>2000</v>
      </c>
      <c r="G175" s="439">
        <v>2860</v>
      </c>
      <c r="H175" s="1070">
        <f t="shared" ref="H175:H176" si="11">G175/F175</f>
        <v>1.43</v>
      </c>
      <c r="I175" s="439">
        <v>2860</v>
      </c>
      <c r="J175" s="144">
        <v>3000</v>
      </c>
      <c r="K175" s="440">
        <f>J175/F175</f>
        <v>1.5</v>
      </c>
      <c r="L175" s="67"/>
    </row>
    <row r="176" spans="1:12" ht="56.25" x14ac:dyDescent="0.2">
      <c r="A176" s="78"/>
      <c r="B176" s="79"/>
      <c r="C176" s="2"/>
      <c r="D176" s="441" t="s">
        <v>130</v>
      </c>
      <c r="E176" s="442" t="s">
        <v>24</v>
      </c>
      <c r="F176" s="178">
        <v>3600</v>
      </c>
      <c r="G176" s="443">
        <v>506.34</v>
      </c>
      <c r="H176" s="273">
        <f t="shared" si="11"/>
        <v>0.14065</v>
      </c>
      <c r="I176" s="443">
        <v>506.34</v>
      </c>
      <c r="J176" s="183">
        <v>0</v>
      </c>
      <c r="K176" s="171">
        <f>J176/F176</f>
        <v>0</v>
      </c>
      <c r="L176" s="361"/>
    </row>
    <row r="177" spans="1:12" ht="22.5" x14ac:dyDescent="0.2">
      <c r="A177" s="78"/>
      <c r="B177" s="206"/>
      <c r="C177" s="345"/>
      <c r="D177" s="438" t="s">
        <v>33</v>
      </c>
      <c r="E177" s="265" t="s">
        <v>34</v>
      </c>
      <c r="F177" s="428">
        <v>0</v>
      </c>
      <c r="G177" s="444">
        <v>241</v>
      </c>
      <c r="H177" s="445">
        <v>0</v>
      </c>
      <c r="I177" s="444">
        <v>241</v>
      </c>
      <c r="J177" s="86">
        <v>0</v>
      </c>
      <c r="K177" s="440">
        <v>0</v>
      </c>
      <c r="L177" s="23"/>
    </row>
    <row r="178" spans="1:12" ht="33.75" x14ac:dyDescent="0.2">
      <c r="A178" s="78"/>
      <c r="B178" s="446">
        <v>90019</v>
      </c>
      <c r="C178" s="447"/>
      <c r="D178" s="447"/>
      <c r="E178" s="448" t="s">
        <v>131</v>
      </c>
      <c r="F178" s="449">
        <f>SUM(F179:F180)</f>
        <v>215000</v>
      </c>
      <c r="G178" s="449">
        <f>SUM(G179:G180)</f>
        <v>277371.45999999996</v>
      </c>
      <c r="H178" s="450">
        <f>G178/F178</f>
        <v>1.2900998139534883</v>
      </c>
      <c r="I178" s="451">
        <f>SUM(I179:I180)</f>
        <v>277371.45999999996</v>
      </c>
      <c r="J178" s="452">
        <f>J179+J180</f>
        <v>225000</v>
      </c>
      <c r="K178" s="380">
        <f t="shared" si="8"/>
        <v>1.0465116279069768</v>
      </c>
      <c r="L178" s="52"/>
    </row>
    <row r="179" spans="1:12" ht="22.5" x14ac:dyDescent="0.2">
      <c r="A179" s="78"/>
      <c r="B179" s="318"/>
      <c r="C179" s="319"/>
      <c r="D179" s="60" t="s">
        <v>132</v>
      </c>
      <c r="E179" s="453" t="s">
        <v>133</v>
      </c>
      <c r="F179" s="454">
        <v>0</v>
      </c>
      <c r="G179" s="321">
        <v>1187.5999999999999</v>
      </c>
      <c r="H179" s="322">
        <v>0</v>
      </c>
      <c r="I179" s="455">
        <v>1187.5999999999999</v>
      </c>
      <c r="J179" s="324">
        <v>0</v>
      </c>
      <c r="K179" s="358">
        <v>0</v>
      </c>
      <c r="L179" s="456"/>
    </row>
    <row r="180" spans="1:12" x14ac:dyDescent="0.2">
      <c r="A180" s="78"/>
      <c r="B180" s="79"/>
      <c r="C180" s="303"/>
      <c r="D180" s="180">
        <v>690</v>
      </c>
      <c r="E180" s="90" t="s">
        <v>29</v>
      </c>
      <c r="F180" s="457">
        <v>215000</v>
      </c>
      <c r="G180" s="327">
        <v>276183.86</v>
      </c>
      <c r="H180" s="328">
        <f>G180/F180</f>
        <v>1.2845760930232557</v>
      </c>
      <c r="I180" s="143">
        <v>276183.86</v>
      </c>
      <c r="J180" s="144">
        <v>225000</v>
      </c>
      <c r="K180" s="171">
        <f t="shared" si="8"/>
        <v>1.0465116279069768</v>
      </c>
      <c r="L180" s="67"/>
    </row>
    <row r="181" spans="1:12" x14ac:dyDescent="0.2">
      <c r="A181" s="78"/>
      <c r="B181" s="417">
        <v>90095</v>
      </c>
      <c r="C181" s="458"/>
      <c r="D181" s="459"/>
      <c r="E181" s="460" t="s">
        <v>23</v>
      </c>
      <c r="F181" s="403">
        <f>F182</f>
        <v>1000000</v>
      </c>
      <c r="G181" s="222">
        <f>G182</f>
        <v>0</v>
      </c>
      <c r="H181" s="223">
        <f>G181/F181</f>
        <v>0</v>
      </c>
      <c r="I181" s="224">
        <f>I182</f>
        <v>1000000</v>
      </c>
      <c r="J181" s="421">
        <f>J182</f>
        <v>0</v>
      </c>
      <c r="K181" s="106">
        <f>J181/F181</f>
        <v>0</v>
      </c>
      <c r="L181" s="461"/>
    </row>
    <row r="182" spans="1:12" ht="45" x14ac:dyDescent="0.2">
      <c r="A182" s="78"/>
      <c r="B182" s="79"/>
      <c r="C182" s="80"/>
      <c r="D182" s="180">
        <v>6298</v>
      </c>
      <c r="E182" s="462" t="s">
        <v>38</v>
      </c>
      <c r="F182" s="98">
        <v>1000000</v>
      </c>
      <c r="G182" s="83">
        <v>0</v>
      </c>
      <c r="H182" s="84">
        <f>G182/F182</f>
        <v>0</v>
      </c>
      <c r="I182" s="182">
        <v>1000000</v>
      </c>
      <c r="J182" s="183">
        <v>0</v>
      </c>
      <c r="K182" s="87">
        <f>J182/F182</f>
        <v>0</v>
      </c>
      <c r="L182" s="23"/>
    </row>
    <row r="183" spans="1:12" x14ac:dyDescent="0.2">
      <c r="A183" s="111">
        <v>921</v>
      </c>
      <c r="B183" s="100"/>
      <c r="C183" s="100"/>
      <c r="D183" s="16"/>
      <c r="E183" s="113" t="s">
        <v>134</v>
      </c>
      <c r="F183" s="18">
        <f>F184+F186</f>
        <v>654128</v>
      </c>
      <c r="G183" s="20">
        <f>G184+G186</f>
        <v>13474.31</v>
      </c>
      <c r="H183" s="19">
        <f t="shared" ref="H183:H185" si="12">G183/F183</f>
        <v>2.05988889024778E-2</v>
      </c>
      <c r="I183" s="115">
        <f>I184+I186</f>
        <v>24811.55</v>
      </c>
      <c r="J183" s="117">
        <f>J184+J186</f>
        <v>10000</v>
      </c>
      <c r="K183" s="22">
        <f t="shared" si="8"/>
        <v>1.5287527823300638E-2</v>
      </c>
      <c r="L183" s="23"/>
    </row>
    <row r="184" spans="1:12" x14ac:dyDescent="0.2">
      <c r="A184" s="68"/>
      <c r="B184" s="118">
        <v>92105</v>
      </c>
      <c r="C184" s="70"/>
      <c r="D184" s="103"/>
      <c r="E184" s="72" t="s">
        <v>135</v>
      </c>
      <c r="F184" s="119">
        <f>F185</f>
        <v>19842</v>
      </c>
      <c r="G184" s="75">
        <f>G185</f>
        <v>10000</v>
      </c>
      <c r="H184" s="74">
        <f t="shared" si="12"/>
        <v>0.50398145348251189</v>
      </c>
      <c r="I184" s="75">
        <f>I185</f>
        <v>19842</v>
      </c>
      <c r="J184" s="76">
        <f>J185</f>
        <v>0</v>
      </c>
      <c r="K184" s="106">
        <f t="shared" si="8"/>
        <v>0</v>
      </c>
      <c r="L184" s="23"/>
    </row>
    <row r="185" spans="1:12" ht="45" x14ac:dyDescent="0.2">
      <c r="A185" s="78"/>
      <c r="B185" s="79"/>
      <c r="C185" s="80"/>
      <c r="D185" s="384">
        <v>2700</v>
      </c>
      <c r="E185" s="169" t="s">
        <v>47</v>
      </c>
      <c r="F185" s="170">
        <v>19842</v>
      </c>
      <c r="G185" s="327">
        <v>10000</v>
      </c>
      <c r="H185" s="328">
        <f t="shared" si="12"/>
        <v>0.50398145348251189</v>
      </c>
      <c r="I185" s="329">
        <v>19842</v>
      </c>
      <c r="J185" s="183">
        <v>0</v>
      </c>
      <c r="K185" s="330">
        <f t="shared" si="8"/>
        <v>0</v>
      </c>
      <c r="L185" s="67"/>
    </row>
    <row r="186" spans="1:12" x14ac:dyDescent="0.2">
      <c r="A186" s="78"/>
      <c r="B186" s="463">
        <v>92109</v>
      </c>
      <c r="C186" s="464"/>
      <c r="D186" s="465"/>
      <c r="E186" s="72" t="s">
        <v>136</v>
      </c>
      <c r="F186" s="221">
        <f>SUM(F187:F189)</f>
        <v>634286</v>
      </c>
      <c r="G186" s="221">
        <f>SUM(G187:G189)</f>
        <v>3474.31</v>
      </c>
      <c r="H186" s="223">
        <f>G186/F186</f>
        <v>5.477513298417433E-3</v>
      </c>
      <c r="I186" s="420">
        <f>SUM(I187:I189)</f>
        <v>4969.55</v>
      </c>
      <c r="J186" s="421">
        <f>SUM(J187:J189)</f>
        <v>10000</v>
      </c>
      <c r="K186" s="106">
        <f>J186/F186</f>
        <v>1.5765758664072673E-2</v>
      </c>
      <c r="L186" s="226"/>
    </row>
    <row r="187" spans="1:12" x14ac:dyDescent="0.2">
      <c r="A187" s="78"/>
      <c r="B187" s="466"/>
      <c r="C187" s="374"/>
      <c r="D187" s="467" t="s">
        <v>16</v>
      </c>
      <c r="E187" s="109" t="s">
        <v>17</v>
      </c>
      <c r="F187" s="468">
        <v>5000</v>
      </c>
      <c r="G187" s="469">
        <v>3470.81</v>
      </c>
      <c r="H187" s="470">
        <f>G187/F187</f>
        <v>0.69416199999999995</v>
      </c>
      <c r="I187" s="471">
        <v>4966.05</v>
      </c>
      <c r="J187" s="472">
        <v>10000</v>
      </c>
      <c r="K187" s="87">
        <f>J187/F187</f>
        <v>2</v>
      </c>
      <c r="L187" s="398"/>
    </row>
    <row r="188" spans="1:12" x14ac:dyDescent="0.2">
      <c r="A188" s="78"/>
      <c r="B188" s="331"/>
      <c r="C188" s="2"/>
      <c r="D188" s="422" t="s">
        <v>18</v>
      </c>
      <c r="E188" s="90" t="s">
        <v>19</v>
      </c>
      <c r="F188" s="121">
        <v>0</v>
      </c>
      <c r="G188" s="83">
        <v>3.5</v>
      </c>
      <c r="H188" s="84">
        <v>0</v>
      </c>
      <c r="I188" s="85">
        <v>3.5</v>
      </c>
      <c r="J188" s="86">
        <v>0</v>
      </c>
      <c r="K188" s="171">
        <v>0</v>
      </c>
      <c r="L188" s="67"/>
    </row>
    <row r="189" spans="1:12" ht="45" x14ac:dyDescent="0.2">
      <c r="A189" s="78"/>
      <c r="B189" s="473"/>
      <c r="C189" s="345"/>
      <c r="D189" s="180">
        <v>6298</v>
      </c>
      <c r="E189" s="90" t="s">
        <v>38</v>
      </c>
      <c r="F189" s="121">
        <v>629286</v>
      </c>
      <c r="G189" s="83">
        <v>0</v>
      </c>
      <c r="H189" s="84">
        <f>G189/F189</f>
        <v>0</v>
      </c>
      <c r="I189" s="122">
        <v>0</v>
      </c>
      <c r="J189" s="86">
        <v>0</v>
      </c>
      <c r="K189" s="87">
        <f>J189/F189</f>
        <v>0</v>
      </c>
      <c r="L189" s="67"/>
    </row>
    <row r="190" spans="1:12" x14ac:dyDescent="0.2">
      <c r="A190" s="474">
        <v>926</v>
      </c>
      <c r="B190" s="475"/>
      <c r="C190" s="476"/>
      <c r="D190" s="476"/>
      <c r="E190" s="17" t="s">
        <v>137</v>
      </c>
      <c r="F190" s="18">
        <f>F191</f>
        <v>0</v>
      </c>
      <c r="G190" s="18">
        <f>G191</f>
        <v>524.26</v>
      </c>
      <c r="H190" s="19">
        <v>0</v>
      </c>
      <c r="I190" s="18">
        <f>I191</f>
        <v>524.24</v>
      </c>
      <c r="J190" s="477">
        <f>J191</f>
        <v>0</v>
      </c>
      <c r="K190" s="478">
        <v>0</v>
      </c>
      <c r="L190" s="479"/>
    </row>
    <row r="191" spans="1:12" x14ac:dyDescent="0.2">
      <c r="A191" s="78"/>
      <c r="B191" s="480">
        <v>92695</v>
      </c>
      <c r="C191" s="366"/>
      <c r="D191" s="481"/>
      <c r="E191" s="133" t="s">
        <v>23</v>
      </c>
      <c r="F191" s="482">
        <f>F193+F192</f>
        <v>0</v>
      </c>
      <c r="G191" s="482">
        <f>G193+G192</f>
        <v>524.26</v>
      </c>
      <c r="H191" s="483">
        <v>0</v>
      </c>
      <c r="I191" s="484">
        <f>I193+I192</f>
        <v>524.24</v>
      </c>
      <c r="J191" s="485">
        <f>J193+J192</f>
        <v>0</v>
      </c>
      <c r="K191" s="372">
        <v>0</v>
      </c>
      <c r="L191" s="23"/>
    </row>
    <row r="192" spans="1:12" x14ac:dyDescent="0.2">
      <c r="A192" s="78"/>
      <c r="B192" s="486"/>
      <c r="C192" s="487"/>
      <c r="D192" s="467" t="s">
        <v>101</v>
      </c>
      <c r="E192" s="90" t="s">
        <v>29</v>
      </c>
      <c r="F192" s="454">
        <v>0</v>
      </c>
      <c r="G192" s="454">
        <v>285.18</v>
      </c>
      <c r="H192" s="470">
        <v>0</v>
      </c>
      <c r="I192" s="471">
        <v>285.16000000000003</v>
      </c>
      <c r="J192" s="472">
        <v>0</v>
      </c>
      <c r="K192" s="358">
        <v>0</v>
      </c>
      <c r="L192" s="23"/>
    </row>
    <row r="193" spans="1:12" ht="56.25" x14ac:dyDescent="0.2">
      <c r="A193" s="344"/>
      <c r="B193" s="344"/>
      <c r="C193" s="345"/>
      <c r="D193" s="97">
        <v>2910</v>
      </c>
      <c r="E193" s="1072" t="s">
        <v>99</v>
      </c>
      <c r="F193" s="98">
        <v>0</v>
      </c>
      <c r="G193" s="83">
        <v>239.08</v>
      </c>
      <c r="H193" s="84">
        <v>0</v>
      </c>
      <c r="I193" s="85">
        <v>239.08</v>
      </c>
      <c r="J193" s="86">
        <v>0</v>
      </c>
      <c r="K193" s="87">
        <v>0</v>
      </c>
      <c r="L193" s="23"/>
    </row>
    <row r="194" spans="1:12" ht="24.75" customHeight="1" x14ac:dyDescent="0.2">
      <c r="A194" s="1162" t="s">
        <v>138</v>
      </c>
      <c r="B194" s="1162"/>
      <c r="C194" s="1162"/>
      <c r="D194" s="1162"/>
      <c r="E194" s="1162"/>
      <c r="F194" s="489">
        <f>F190+F183+F170+F166+F131+F105+F92+F59+F49+F40+F27+F20+F17+F5+F23+F56+F163</f>
        <v>51266465.969999991</v>
      </c>
      <c r="G194" s="489">
        <f>G190+G183+G170+G166+G131+G105+G92+G59+G49+G40+G27+G20+G17+G5+G23+G56+G163</f>
        <v>40905878.849999994</v>
      </c>
      <c r="H194" s="490">
        <f>G194/F194</f>
        <v>0.79790713239210243</v>
      </c>
      <c r="I194" s="491">
        <f>I190+I183+I170+I166+I131+I105+I92+I59+I49+I40+I27+I20+I17+I5+I23+I163+I56</f>
        <v>51322619.640000008</v>
      </c>
      <c r="J194" s="492">
        <f>J190+J183+J170+J166+J131+J105+J92+J59+J49+J40+J27+J20+J17+J5+J23+J163+J56</f>
        <v>48922573.730000004</v>
      </c>
      <c r="K194" s="493">
        <f>J194/F194</f>
        <v>0.95428020645363809</v>
      </c>
      <c r="L194" s="23"/>
    </row>
    <row r="195" spans="1:12" ht="18.75" customHeight="1" x14ac:dyDescent="0.2">
      <c r="A195" s="494"/>
      <c r="B195" s="494"/>
      <c r="C195" s="494"/>
      <c r="D195" s="494"/>
      <c r="E195" s="494" t="s">
        <v>139</v>
      </c>
      <c r="F195" s="495"/>
      <c r="G195" s="495"/>
      <c r="H195" s="496"/>
      <c r="I195" s="495"/>
      <c r="J195" s="495"/>
      <c r="K195" s="497"/>
      <c r="L195" s="52"/>
    </row>
    <row r="196" spans="1:12" x14ac:dyDescent="0.2">
      <c r="A196" s="498"/>
      <c r="B196" s="345"/>
      <c r="C196" s="345"/>
      <c r="D196" s="345"/>
      <c r="E196" s="1002" t="s">
        <v>395</v>
      </c>
      <c r="F196" s="1003">
        <f>F194-F253</f>
        <v>46313905.839999989</v>
      </c>
      <c r="G196" s="1003">
        <f t="shared" ref="G196:J196" si="13">G194-G253</f>
        <v>37467804.129999995</v>
      </c>
      <c r="H196" s="1005">
        <f>G196/F196</f>
        <v>0.8089968541940622</v>
      </c>
      <c r="I196" s="1006">
        <f t="shared" si="13"/>
        <v>46884023.580000006</v>
      </c>
      <c r="J196" s="1007">
        <f t="shared" si="13"/>
        <v>47416573.730000004</v>
      </c>
      <c r="K196" s="1057">
        <f>J196/F196</f>
        <v>1.0238085704498641</v>
      </c>
      <c r="L196" s="1004"/>
    </row>
    <row r="197" spans="1:12" x14ac:dyDescent="0.2">
      <c r="A197" s="1008"/>
      <c r="B197" s="488"/>
      <c r="C197" s="488"/>
      <c r="D197" s="488"/>
      <c r="E197" s="1020" t="s">
        <v>391</v>
      </c>
      <c r="F197" s="1021"/>
      <c r="G197" s="1021"/>
      <c r="H197" s="1022"/>
      <c r="I197" s="1023"/>
      <c r="J197" s="1024"/>
      <c r="K197" s="1058"/>
      <c r="L197" s="1010"/>
    </row>
    <row r="198" spans="1:12" hidden="1" x14ac:dyDescent="0.2">
      <c r="A198" s="78"/>
      <c r="B198" s="2"/>
      <c r="C198" s="2"/>
      <c r="D198" s="2"/>
      <c r="E198" s="1025"/>
      <c r="F198" s="1026"/>
      <c r="G198" s="1026"/>
      <c r="H198" s="1051"/>
      <c r="I198" s="1026"/>
      <c r="J198" s="1027"/>
      <c r="K198" s="1059"/>
    </row>
    <row r="199" spans="1:12" hidden="1" x14ac:dyDescent="0.2">
      <c r="A199" s="1016"/>
      <c r="E199" s="1028"/>
      <c r="F199" s="1029"/>
      <c r="G199" s="1029"/>
      <c r="H199" s="1052" t="s">
        <v>140</v>
      </c>
      <c r="I199" s="1029"/>
      <c r="J199" s="1030">
        <f>J194</f>
        <v>48922573.730000004</v>
      </c>
      <c r="K199" s="1060"/>
    </row>
    <row r="200" spans="1:12" hidden="1" x14ac:dyDescent="0.2">
      <c r="A200" s="1016"/>
      <c r="E200" s="1028"/>
      <c r="F200" s="1029"/>
      <c r="G200" s="1029"/>
      <c r="H200" s="1052" t="s">
        <v>141</v>
      </c>
      <c r="I200" s="1029"/>
      <c r="J200" s="1030">
        <v>1875669</v>
      </c>
      <c r="K200" s="1163">
        <f>J200+J201</f>
        <v>6033206</v>
      </c>
    </row>
    <row r="201" spans="1:12" hidden="1" x14ac:dyDescent="0.2">
      <c r="A201" s="1016"/>
      <c r="E201" s="1028"/>
      <c r="F201" s="1029"/>
      <c r="G201" s="1029"/>
      <c r="H201" s="1052" t="s">
        <v>142</v>
      </c>
      <c r="I201" s="1029"/>
      <c r="J201" s="1030">
        <v>4157537</v>
      </c>
      <c r="K201" s="1163"/>
    </row>
    <row r="202" spans="1:12" hidden="1" x14ac:dyDescent="0.2">
      <c r="A202" s="1016"/>
      <c r="E202" s="1028"/>
      <c r="F202" s="1029"/>
      <c r="G202" s="1029"/>
      <c r="H202" s="1052" t="s">
        <v>138</v>
      </c>
      <c r="I202" s="1029"/>
      <c r="J202" s="1030">
        <f>SUM(J199:J201)</f>
        <v>54955779.730000004</v>
      </c>
      <c r="K202" s="1060"/>
    </row>
    <row r="203" spans="1:12" hidden="1" x14ac:dyDescent="0.2">
      <c r="A203" s="1016"/>
      <c r="E203" s="1028"/>
      <c r="F203" s="1029"/>
      <c r="G203" s="1029"/>
      <c r="H203" s="1052" t="s">
        <v>143</v>
      </c>
      <c r="I203" s="1029"/>
      <c r="J203" s="1030">
        <v>931400</v>
      </c>
      <c r="K203" s="1060"/>
    </row>
    <row r="204" spans="1:12" hidden="1" x14ac:dyDescent="0.2">
      <c r="A204" s="1016"/>
      <c r="E204" s="1028"/>
      <c r="F204" s="1029"/>
      <c r="G204" s="1029"/>
      <c r="H204" s="1052" t="s">
        <v>144</v>
      </c>
      <c r="I204" s="1029"/>
      <c r="J204" s="1030">
        <f>J202-J203</f>
        <v>54024379.730000004</v>
      </c>
      <c r="K204" s="1060"/>
    </row>
    <row r="205" spans="1:12" hidden="1" x14ac:dyDescent="0.2">
      <c r="A205" s="1016"/>
      <c r="E205" s="1028"/>
      <c r="F205" s="1029"/>
      <c r="G205" s="1029"/>
      <c r="H205" s="1052" t="s">
        <v>145</v>
      </c>
      <c r="I205" s="1029"/>
      <c r="J205" s="1030">
        <f>'[1]Zał. 2 Wydatki '!J537</f>
        <v>51150727.109999999</v>
      </c>
      <c r="K205" s="1060"/>
    </row>
    <row r="206" spans="1:12" hidden="1" x14ac:dyDescent="0.2">
      <c r="A206" s="1016"/>
      <c r="E206" s="1028"/>
      <c r="F206" s="1029"/>
      <c r="G206" s="1031"/>
      <c r="H206" s="1053" t="s">
        <v>146</v>
      </c>
      <c r="I206" s="1032"/>
      <c r="J206" s="1033">
        <f>J204-J205</f>
        <v>2873652.6200000048</v>
      </c>
      <c r="K206" s="1060"/>
    </row>
    <row r="207" spans="1:12" hidden="1" x14ac:dyDescent="0.2">
      <c r="A207" s="1063" t="s">
        <v>147</v>
      </c>
      <c r="E207" s="1028"/>
      <c r="F207" s="1029"/>
      <c r="G207" s="1029"/>
      <c r="H207" s="1052"/>
      <c r="I207" s="1029"/>
      <c r="J207" s="1034"/>
      <c r="K207" s="1061"/>
    </row>
    <row r="208" spans="1:12" hidden="1" x14ac:dyDescent="0.2">
      <c r="A208" s="1016"/>
      <c r="E208" s="1028"/>
      <c r="F208" s="1029"/>
      <c r="G208" s="1029"/>
      <c r="H208" s="1052"/>
      <c r="I208" s="1029"/>
      <c r="J208" s="1034"/>
      <c r="K208" s="1061"/>
    </row>
    <row r="209" spans="1:11" hidden="1" x14ac:dyDescent="0.2">
      <c r="A209" s="1016"/>
      <c r="E209" s="1028"/>
      <c r="F209" s="1029"/>
      <c r="G209" s="1029"/>
      <c r="H209" s="1052"/>
      <c r="I209" s="1029"/>
      <c r="J209" s="1034"/>
      <c r="K209" s="1061"/>
    </row>
    <row r="210" spans="1:11" hidden="1" x14ac:dyDescent="0.2">
      <c r="A210" s="1016"/>
      <c r="E210" s="1028"/>
      <c r="F210" s="1029"/>
      <c r="G210" s="1029"/>
      <c r="H210" s="1052"/>
      <c r="I210" s="1029"/>
      <c r="J210" s="1034"/>
      <c r="K210" s="1061"/>
    </row>
    <row r="211" spans="1:11" hidden="1" x14ac:dyDescent="0.2">
      <c r="A211" s="1016"/>
      <c r="E211" s="1028"/>
      <c r="F211" s="1029"/>
      <c r="G211" s="1029"/>
      <c r="H211" s="1052"/>
      <c r="I211" s="1029"/>
      <c r="J211" s="1034"/>
      <c r="K211" s="1061"/>
    </row>
    <row r="212" spans="1:11" hidden="1" x14ac:dyDescent="0.2">
      <c r="A212" s="1016"/>
      <c r="E212" s="1028"/>
      <c r="F212" s="1029"/>
      <c r="G212" s="1029"/>
      <c r="H212" s="1052"/>
      <c r="I212" s="1029"/>
      <c r="J212" s="1034"/>
      <c r="K212" s="1061"/>
    </row>
    <row r="213" spans="1:11" hidden="1" x14ac:dyDescent="0.2">
      <c r="A213" s="1016"/>
      <c r="E213" s="1028"/>
      <c r="F213" s="1029"/>
      <c r="G213" s="1029"/>
      <c r="H213" s="1052"/>
      <c r="I213" s="1029"/>
      <c r="J213" s="1034"/>
      <c r="K213" s="1061"/>
    </row>
    <row r="214" spans="1:11" hidden="1" x14ac:dyDescent="0.2">
      <c r="A214" s="1016"/>
      <c r="E214" s="1028"/>
      <c r="F214" s="1029"/>
      <c r="G214" s="1029"/>
      <c r="H214" s="1052"/>
      <c r="I214" s="1029"/>
      <c r="J214" s="1034"/>
      <c r="K214" s="1061"/>
    </row>
    <row r="215" spans="1:11" hidden="1" x14ac:dyDescent="0.2">
      <c r="A215" s="1016"/>
      <c r="E215" s="1028"/>
      <c r="F215" s="1029"/>
      <c r="G215" s="1029"/>
      <c r="H215" s="1052"/>
      <c r="I215" s="1029"/>
      <c r="J215" s="1034"/>
      <c r="K215" s="1061"/>
    </row>
    <row r="216" spans="1:11" hidden="1" x14ac:dyDescent="0.2">
      <c r="A216" s="1016"/>
      <c r="E216" s="1028"/>
      <c r="F216" s="1029"/>
      <c r="G216" s="1029"/>
      <c r="H216" s="1052"/>
      <c r="I216" s="1029"/>
      <c r="J216" s="1034"/>
      <c r="K216" s="1061"/>
    </row>
    <row r="217" spans="1:11" hidden="1" x14ac:dyDescent="0.2">
      <c r="A217" s="1016"/>
      <c r="E217" s="1028"/>
      <c r="F217" s="1029"/>
      <c r="G217" s="1029"/>
      <c r="H217" s="1052"/>
      <c r="I217" s="1029"/>
      <c r="J217" s="1034"/>
      <c r="K217" s="1061"/>
    </row>
    <row r="218" spans="1:11" hidden="1" x14ac:dyDescent="0.2">
      <c r="A218" s="1016"/>
      <c r="E218" s="1028"/>
      <c r="F218" s="1029"/>
      <c r="G218" s="1029"/>
      <c r="H218" s="1052"/>
      <c r="I218" s="1029"/>
      <c r="J218" s="1034"/>
      <c r="K218" s="1061"/>
    </row>
    <row r="219" spans="1:11" hidden="1" x14ac:dyDescent="0.2">
      <c r="A219" s="1016"/>
      <c r="E219" s="1028"/>
      <c r="F219" s="1029"/>
      <c r="G219" s="1029"/>
      <c r="H219" s="1052"/>
      <c r="I219" s="1029"/>
      <c r="J219" s="1034"/>
      <c r="K219" s="1061"/>
    </row>
    <row r="220" spans="1:11" hidden="1" x14ac:dyDescent="0.2">
      <c r="A220" s="1016"/>
      <c r="E220" s="1028"/>
      <c r="F220" s="1029"/>
      <c r="G220" s="1029"/>
      <c r="H220" s="1052"/>
      <c r="I220" s="1029"/>
      <c r="J220" s="1034"/>
      <c r="K220" s="1061"/>
    </row>
    <row r="221" spans="1:11" hidden="1" x14ac:dyDescent="0.2">
      <c r="A221" s="1016"/>
      <c r="E221" s="1028"/>
      <c r="F221" s="1029"/>
      <c r="G221" s="1029"/>
      <c r="H221" s="1052"/>
      <c r="I221" s="1029"/>
      <c r="J221" s="1034"/>
      <c r="K221" s="1061"/>
    </row>
    <row r="222" spans="1:11" hidden="1" x14ac:dyDescent="0.2">
      <c r="A222" s="1016"/>
      <c r="E222" s="1028"/>
      <c r="F222" s="1029"/>
      <c r="G222" s="1029"/>
      <c r="H222" s="1052"/>
      <c r="I222" s="1029"/>
      <c r="J222" s="1034"/>
      <c r="K222" s="1061"/>
    </row>
    <row r="223" spans="1:11" hidden="1" x14ac:dyDescent="0.2">
      <c r="A223" s="1016"/>
      <c r="E223" s="1028"/>
      <c r="F223" s="1029"/>
      <c r="G223" s="1029"/>
      <c r="H223" s="1052"/>
      <c r="I223" s="1029"/>
      <c r="J223" s="1034"/>
      <c r="K223" s="1061"/>
    </row>
    <row r="224" spans="1:11" hidden="1" x14ac:dyDescent="0.2">
      <c r="A224" s="1016"/>
      <c r="E224" s="1028"/>
      <c r="F224" s="1029"/>
      <c r="G224" s="1029"/>
      <c r="H224" s="1052"/>
      <c r="I224" s="1029"/>
      <c r="J224" s="1034"/>
      <c r="K224" s="1061"/>
    </row>
    <row r="225" spans="1:11" hidden="1" x14ac:dyDescent="0.2">
      <c r="A225" s="1016"/>
      <c r="E225" s="1028"/>
      <c r="F225" s="1029"/>
      <c r="G225" s="1029"/>
      <c r="H225" s="1052"/>
      <c r="I225" s="1029"/>
      <c r="J225" s="1034"/>
      <c r="K225" s="1061"/>
    </row>
    <row r="226" spans="1:11" hidden="1" x14ac:dyDescent="0.2">
      <c r="A226" s="1016"/>
      <c r="E226" s="1028"/>
      <c r="F226" s="1029"/>
      <c r="G226" s="1029"/>
      <c r="H226" s="1052"/>
      <c r="I226" s="1029"/>
      <c r="J226" s="1034"/>
      <c r="K226" s="1061"/>
    </row>
    <row r="227" spans="1:11" hidden="1" x14ac:dyDescent="0.2">
      <c r="A227" s="1016"/>
      <c r="E227" s="1028"/>
      <c r="F227" s="1029"/>
      <c r="G227" s="1029"/>
      <c r="H227" s="1052"/>
      <c r="I227" s="1029"/>
      <c r="J227" s="1034"/>
      <c r="K227" s="1061"/>
    </row>
    <row r="228" spans="1:11" hidden="1" x14ac:dyDescent="0.2">
      <c r="A228" s="1016"/>
      <c r="E228" s="1028"/>
      <c r="F228" s="1029"/>
      <c r="G228" s="1029"/>
      <c r="H228" s="1052"/>
      <c r="I228" s="1029"/>
      <c r="J228" s="1034"/>
      <c r="K228" s="1061"/>
    </row>
    <row r="229" spans="1:11" hidden="1" x14ac:dyDescent="0.2">
      <c r="A229" s="1016"/>
      <c r="E229" s="1028"/>
      <c r="F229" s="1029"/>
      <c r="G229" s="1029"/>
      <c r="H229" s="1052"/>
      <c r="I229" s="1029"/>
      <c r="J229" s="1034"/>
      <c r="K229" s="1061"/>
    </row>
    <row r="230" spans="1:11" hidden="1" x14ac:dyDescent="0.2">
      <c r="A230" s="1016"/>
      <c r="E230" s="1028"/>
      <c r="F230" s="1029"/>
      <c r="G230" s="1029"/>
      <c r="H230" s="1052"/>
      <c r="I230" s="1029"/>
      <c r="J230" s="1034"/>
      <c r="K230" s="1061"/>
    </row>
    <row r="231" spans="1:11" hidden="1" x14ac:dyDescent="0.2">
      <c r="A231" s="1016"/>
      <c r="E231" s="1028"/>
      <c r="F231" s="1029"/>
      <c r="G231" s="1029"/>
      <c r="H231" s="1052"/>
      <c r="I231" s="1029"/>
      <c r="J231" s="1034"/>
      <c r="K231" s="1061"/>
    </row>
    <row r="232" spans="1:11" hidden="1" x14ac:dyDescent="0.2">
      <c r="A232" s="1016"/>
      <c r="E232" s="1028"/>
      <c r="F232" s="1029"/>
      <c r="G232" s="1029"/>
      <c r="H232" s="1052"/>
      <c r="I232" s="1029"/>
      <c r="J232" s="1034"/>
      <c r="K232" s="1061"/>
    </row>
    <row r="233" spans="1:11" hidden="1" x14ac:dyDescent="0.2">
      <c r="A233" s="1016"/>
      <c r="E233" s="1028"/>
      <c r="F233" s="1029"/>
      <c r="G233" s="1029"/>
      <c r="H233" s="1052"/>
      <c r="I233" s="1029"/>
      <c r="J233" s="1034"/>
      <c r="K233" s="1061"/>
    </row>
    <row r="234" spans="1:11" hidden="1" x14ac:dyDescent="0.2">
      <c r="A234" s="1016"/>
      <c r="E234" s="1028"/>
      <c r="F234" s="1029"/>
      <c r="G234" s="1029"/>
      <c r="H234" s="1052"/>
      <c r="I234" s="1029"/>
      <c r="J234" s="1034"/>
      <c r="K234" s="1061"/>
    </row>
    <row r="235" spans="1:11" hidden="1" x14ac:dyDescent="0.2">
      <c r="A235" s="1016"/>
      <c r="E235" s="1028"/>
      <c r="F235" s="1029"/>
      <c r="G235" s="1029"/>
      <c r="H235" s="1052"/>
      <c r="I235" s="1029"/>
      <c r="J235" s="1034"/>
      <c r="K235" s="1061"/>
    </row>
    <row r="236" spans="1:11" hidden="1" x14ac:dyDescent="0.2">
      <c r="A236" s="1016"/>
      <c r="E236" s="1028"/>
      <c r="F236" s="1029"/>
      <c r="G236" s="1029"/>
      <c r="H236" s="1052"/>
      <c r="I236" s="1029"/>
      <c r="J236" s="1034"/>
      <c r="K236" s="1061"/>
    </row>
    <row r="237" spans="1:11" hidden="1" x14ac:dyDescent="0.2">
      <c r="A237" s="1016"/>
      <c r="E237" s="1028"/>
      <c r="F237" s="1029"/>
      <c r="G237" s="1029"/>
      <c r="H237" s="1052"/>
      <c r="I237" s="1029"/>
      <c r="J237" s="1034"/>
      <c r="K237" s="1061"/>
    </row>
    <row r="238" spans="1:11" hidden="1" x14ac:dyDescent="0.2">
      <c r="A238" s="1016"/>
      <c r="E238" s="1028"/>
      <c r="F238" s="1029"/>
      <c r="G238" s="1029"/>
      <c r="H238" s="1052"/>
      <c r="I238" s="1029"/>
      <c r="J238" s="1034"/>
      <c r="K238" s="1061"/>
    </row>
    <row r="239" spans="1:11" hidden="1" x14ac:dyDescent="0.2">
      <c r="A239" s="1016"/>
      <c r="E239" s="1028"/>
      <c r="F239" s="1029"/>
      <c r="G239" s="1029"/>
      <c r="H239" s="1052"/>
      <c r="I239" s="1029"/>
      <c r="J239" s="1034"/>
      <c r="K239" s="1061"/>
    </row>
    <row r="240" spans="1:11" hidden="1" x14ac:dyDescent="0.2">
      <c r="A240" s="1016"/>
      <c r="E240" s="1028"/>
      <c r="F240" s="1029"/>
      <c r="G240" s="1029"/>
      <c r="H240" s="1052"/>
      <c r="I240" s="1029"/>
      <c r="J240" s="1034"/>
      <c r="K240" s="1061"/>
    </row>
    <row r="241" spans="1:12" hidden="1" x14ac:dyDescent="0.2">
      <c r="A241" s="1016"/>
      <c r="E241" s="1028"/>
      <c r="F241" s="1029"/>
      <c r="G241" s="1029"/>
      <c r="H241" s="1052"/>
      <c r="I241" s="1029"/>
      <c r="J241" s="1034"/>
      <c r="K241" s="1061"/>
    </row>
    <row r="242" spans="1:12" hidden="1" x14ac:dyDescent="0.2">
      <c r="A242" s="1016"/>
      <c r="E242" s="1028"/>
      <c r="F242" s="1029"/>
      <c r="G242" s="1029"/>
      <c r="H242" s="1052"/>
      <c r="I242" s="1029"/>
      <c r="J242" s="1034"/>
      <c r="K242" s="1061"/>
    </row>
    <row r="243" spans="1:12" hidden="1" x14ac:dyDescent="0.2">
      <c r="A243" s="1016"/>
      <c r="E243" s="1028"/>
      <c r="F243" s="1029"/>
      <c r="G243" s="1029"/>
      <c r="H243" s="1052"/>
      <c r="I243" s="1029"/>
      <c r="J243" s="1034"/>
      <c r="K243" s="1061"/>
    </row>
    <row r="244" spans="1:12" hidden="1" x14ac:dyDescent="0.2">
      <c r="A244" s="1016"/>
      <c r="E244" s="1028"/>
      <c r="F244" s="1029"/>
      <c r="G244" s="1029"/>
      <c r="H244" s="1052"/>
      <c r="I244" s="1029"/>
      <c r="J244" s="1034"/>
      <c r="K244" s="1061"/>
    </row>
    <row r="245" spans="1:12" hidden="1" x14ac:dyDescent="0.2">
      <c r="A245" s="1016"/>
      <c r="E245" s="1028"/>
      <c r="F245" s="1029"/>
      <c r="G245" s="1029"/>
      <c r="H245" s="1052"/>
      <c r="I245" s="1029"/>
      <c r="J245" s="1034"/>
      <c r="K245" s="1061"/>
    </row>
    <row r="246" spans="1:12" hidden="1" x14ac:dyDescent="0.2">
      <c r="A246" s="1016"/>
      <c r="E246" s="1028"/>
      <c r="F246" s="1029"/>
      <c r="G246" s="1029"/>
      <c r="H246" s="1052"/>
      <c r="I246" s="1029"/>
      <c r="J246" s="1034"/>
      <c r="K246" s="1061"/>
    </row>
    <row r="247" spans="1:12" x14ac:dyDescent="0.2">
      <c r="A247" s="1016"/>
      <c r="E247" s="1035" t="s">
        <v>148</v>
      </c>
      <c r="F247" s="1036">
        <f>F90</f>
        <v>7117846</v>
      </c>
      <c r="G247" s="1036">
        <f>G90</f>
        <v>5044433</v>
      </c>
      <c r="H247" s="1054">
        <f>G247/F247</f>
        <v>0.70870218321666412</v>
      </c>
      <c r="I247" s="1037">
        <f>I90</f>
        <v>6994178</v>
      </c>
      <c r="J247" s="1038">
        <f>J90</f>
        <v>7796025</v>
      </c>
      <c r="K247" s="1062">
        <f>J247/F247</f>
        <v>1.095278684028848</v>
      </c>
      <c r="L247" s="1018"/>
    </row>
    <row r="248" spans="1:12" x14ac:dyDescent="0.2">
      <c r="A248" s="1016"/>
      <c r="E248" s="1035" t="s">
        <v>149</v>
      </c>
      <c r="F248" s="1039">
        <f>F91</f>
        <v>1000000</v>
      </c>
      <c r="G248" s="1039">
        <f>G91</f>
        <v>1340016.5900000001</v>
      </c>
      <c r="H248" s="1054">
        <f t="shared" ref="H248:H252" si="14">G248/F248</f>
        <v>1.3400165900000001</v>
      </c>
      <c r="I248" s="1040">
        <f>I91</f>
        <v>1432087.57</v>
      </c>
      <c r="J248" s="1041">
        <f>J91</f>
        <v>1450000</v>
      </c>
      <c r="K248" s="1062">
        <f t="shared" ref="K248:K252" si="15">J248/F248</f>
        <v>1.45</v>
      </c>
      <c r="L248" s="1018"/>
    </row>
    <row r="249" spans="1:12" x14ac:dyDescent="0.2">
      <c r="A249" s="1016"/>
      <c r="E249" s="1035" t="s">
        <v>150</v>
      </c>
      <c r="F249" s="1042">
        <f>F192+F175+F174+F165+F125+F115+F87+F86+F85+F84+F81+F79+F78+F77+F76+F75+F74+F73+F69+F68+F67+F66+F65+F64+F61+F46+F30+F29+F22+F19+F180</f>
        <v>11835679</v>
      </c>
      <c r="G249" s="1042">
        <f>G192+G175+G174+G165+G125+G115+G87+G86+G85+G84+G81+G79+G78+G77+G76+G75+G74+G73+G69+G68+G67+G66+G65+G64+G61+G46+G30+G29+G22+G19+G180</f>
        <v>9657316.629999999</v>
      </c>
      <c r="H249" s="1054">
        <f t="shared" si="14"/>
        <v>0.81594952262561349</v>
      </c>
      <c r="I249" s="1043">
        <f>I192+I175+I174+I165+I125+I115+I87+I86+I85+I84+I81+I79+I78+I77+I76+I75+I74+I73+I69+I68+I67+I66+I65+I64+I61+I46+I30+I29+I22+I19+I180</f>
        <v>12405764.509999998</v>
      </c>
      <c r="J249" s="1044">
        <f>J192+J175+J174+J165+J125+J115+J87+J86+J85+J84+J81+J79+J78+J77+J76+J75+J74+J73+J69+J68+J67+J66+J65+J64+J61+J46+J30+J29+J22+J19+J180</f>
        <v>12895252</v>
      </c>
      <c r="K249" s="1062">
        <f t="shared" si="15"/>
        <v>1.0895236344277333</v>
      </c>
      <c r="L249" s="1019"/>
    </row>
    <row r="250" spans="1:12" x14ac:dyDescent="0.2">
      <c r="A250" s="1016"/>
      <c r="E250" s="1035" t="s">
        <v>392</v>
      </c>
      <c r="F250" s="1042">
        <f>F73+F64</f>
        <v>7686168</v>
      </c>
      <c r="G250" s="1042">
        <f>G73+G64</f>
        <v>6131968.3700000001</v>
      </c>
      <c r="H250" s="1054">
        <f t="shared" si="14"/>
        <v>0.79779265428494406</v>
      </c>
      <c r="I250" s="1043">
        <f>I73+I64</f>
        <v>8105311.96</v>
      </c>
      <c r="J250" s="1044">
        <f>J73+J64</f>
        <v>8585660</v>
      </c>
      <c r="K250" s="1062">
        <f t="shared" si="15"/>
        <v>1.1170273665628958</v>
      </c>
      <c r="L250" s="1019"/>
    </row>
    <row r="251" spans="1:12" x14ac:dyDescent="0.2">
      <c r="A251" s="1016"/>
      <c r="E251" s="1035" t="s">
        <v>393</v>
      </c>
      <c r="F251" s="1042">
        <f>F94+F96+F104</f>
        <v>15636850</v>
      </c>
      <c r="G251" s="1042">
        <f>G94+G96+G104</f>
        <v>12897315</v>
      </c>
      <c r="H251" s="1054">
        <f t="shared" si="14"/>
        <v>0.82480262968564644</v>
      </c>
      <c r="I251" s="1043">
        <f>I94+I96+I104</f>
        <v>15636850</v>
      </c>
      <c r="J251" s="1044">
        <f>J94+J96+J104</f>
        <v>16510466</v>
      </c>
      <c r="K251" s="1062">
        <f t="shared" si="15"/>
        <v>1.0558690529102728</v>
      </c>
      <c r="L251" s="1018"/>
    </row>
    <row r="252" spans="1:12" x14ac:dyDescent="0.2">
      <c r="A252" s="1016"/>
      <c r="E252" s="1035" t="s">
        <v>398</v>
      </c>
      <c r="F252" s="1042">
        <f>F185+F169+F168+F162+F161+F160+F158+F155+F152+F149+F147+F145+F144+F141+F140+F136+F133+F130+F122+F121+F113+F111+F110+F101+F55+F53+F51+F42+F39+F15+F14</f>
        <v>8761132.8399999999</v>
      </c>
      <c r="G252" s="1042">
        <f>G185+G169+G168+G162+G161+G160+G158+G155+G152+G149+G147+G145+G144+G141+G140+G136+G133+G130+G122+G121+G113+G111+G110+G101+G55+G53+G51+G42+G39+G15+G14</f>
        <v>7106977.2200000007</v>
      </c>
      <c r="H252" s="1054">
        <f t="shared" si="14"/>
        <v>0.81119386611195377</v>
      </c>
      <c r="I252" s="1043">
        <f>I185+I169+I168+I162+I161+I160+I158+I155+I152+I149+I147+I145+I144+I141+I140+I136+I133+I130+I122+I121+I113+I111+I110+I101+I55+I53+I51+I42+I39+I15+I14</f>
        <v>8769874.7599999998</v>
      </c>
      <c r="J252" s="1044">
        <f>J185+J169+J168+J162+J161+J160+J158+J155+J152+J149+J147+J145+J144+J141+J140+J136+J133+J130+J122+J121+J113+J111+J110+J101+J55+J53+J51+J42+J39+J15+J14</f>
        <v>6959107</v>
      </c>
      <c r="K252" s="1062">
        <f t="shared" si="15"/>
        <v>0.79431588666563357</v>
      </c>
      <c r="L252" s="1018"/>
    </row>
    <row r="253" spans="1:12" x14ac:dyDescent="0.2">
      <c r="A253" s="498"/>
      <c r="B253" s="345"/>
      <c r="C253" s="345"/>
      <c r="D253" s="345"/>
      <c r="E253" s="1002" t="s">
        <v>396</v>
      </c>
      <c r="F253" s="1003">
        <f>F189+F182+F172+F118+F47+F34+F33+F26+F25+F16+F10+F102</f>
        <v>4952560.1300000008</v>
      </c>
      <c r="G253" s="1003">
        <f>G189+G182+G172+G118+G47+G34+G33+G26+G25+G16+G10+G102</f>
        <v>3438074.72</v>
      </c>
      <c r="H253" s="1005">
        <f>G253/F253</f>
        <v>0.69420150987646856</v>
      </c>
      <c r="I253" s="1006">
        <f>I189+I182+I172+I118+I47+I34+I33+I26+I25+I16+I10+I102</f>
        <v>4438596.0600000005</v>
      </c>
      <c r="J253" s="1007">
        <f>J189+J182+J172+J118+J47+J34+J33+J26+J25+J16+J10+J102</f>
        <v>1506000</v>
      </c>
      <c r="K253" s="1057">
        <f>J253/F253</f>
        <v>0.30408515201611491</v>
      </c>
      <c r="L253" s="1004"/>
    </row>
    <row r="254" spans="1:12" x14ac:dyDescent="0.2">
      <c r="A254" s="1008"/>
      <c r="B254" s="488"/>
      <c r="C254" s="488"/>
      <c r="D254" s="488"/>
      <c r="E254" s="1013" t="s">
        <v>394</v>
      </c>
      <c r="F254" s="1011"/>
      <c r="G254" s="1011"/>
      <c r="H254" s="1009"/>
      <c r="I254" s="1014"/>
      <c r="J254" s="1012"/>
      <c r="K254" s="1219"/>
      <c r="L254" s="1010"/>
    </row>
    <row r="255" spans="1:12" x14ac:dyDescent="0.2">
      <c r="A255" s="1016"/>
      <c r="E255" s="1035" t="s">
        <v>399</v>
      </c>
      <c r="F255" s="1042">
        <f>F34+F118+F47</f>
        <v>600900</v>
      </c>
      <c r="G255" s="1042">
        <f t="shared" ref="G255:K255" si="16">G34+G118+G47</f>
        <v>767879.77</v>
      </c>
      <c r="H255" s="1054">
        <f>G255/F255</f>
        <v>1.2778827924779497</v>
      </c>
      <c r="I255" s="1043">
        <f>I34+I118+I47</f>
        <v>767879.77</v>
      </c>
      <c r="J255" s="1044">
        <f t="shared" si="16"/>
        <v>1500000</v>
      </c>
      <c r="K255" s="1221">
        <f>J255/F255</f>
        <v>2.4962556165751373</v>
      </c>
      <c r="L255" s="1049"/>
    </row>
    <row r="256" spans="1:12" x14ac:dyDescent="0.2">
      <c r="A256" s="1017"/>
      <c r="B256" s="1015"/>
      <c r="C256" s="1015"/>
      <c r="D256" s="1015"/>
      <c r="E256" s="1045" t="s">
        <v>397</v>
      </c>
      <c r="F256" s="1046">
        <f>F189+F182+F172+F26+F25+F16+F10</f>
        <v>4325817.1300000008</v>
      </c>
      <c r="G256" s="1046">
        <f>G189+G182+G172+G26+G25+G16+G10</f>
        <v>2642653.54</v>
      </c>
      <c r="H256" s="1055">
        <f>G256/F256</f>
        <v>0.61090274058811167</v>
      </c>
      <c r="I256" s="1047">
        <f>I189+I182+I172+I26+I25+I16+I10</f>
        <v>3642653.54</v>
      </c>
      <c r="J256" s="1048">
        <f>J189+J182+J172+J26+J25+J16+J10</f>
        <v>0</v>
      </c>
      <c r="K256" s="1220">
        <f>J256/F256</f>
        <v>0</v>
      </c>
      <c r="L256" s="1050"/>
    </row>
    <row r="257" spans="5:10" x14ac:dyDescent="0.2">
      <c r="E257" s="1028"/>
      <c r="F257" s="1029"/>
      <c r="G257" s="1029"/>
      <c r="H257" s="1029"/>
      <c r="I257" s="1029"/>
      <c r="J257" s="1031"/>
    </row>
    <row r="258" spans="5:10" x14ac:dyDescent="0.2">
      <c r="I258" s="500"/>
      <c r="J258" s="500"/>
    </row>
    <row r="259" spans="5:10" x14ac:dyDescent="0.2">
      <c r="F259" s="500"/>
      <c r="I259" s="500"/>
      <c r="J259" s="500"/>
    </row>
    <row r="260" spans="5:10" x14ac:dyDescent="0.2">
      <c r="I260" s="500"/>
    </row>
    <row r="261" spans="5:10" x14ac:dyDescent="0.2">
      <c r="F261" s="500"/>
      <c r="I261" s="500"/>
    </row>
    <row r="262" spans="5:10" x14ac:dyDescent="0.2">
      <c r="I262" s="500"/>
    </row>
    <row r="263" spans="5:10" x14ac:dyDescent="0.2">
      <c r="I263" s="500"/>
    </row>
  </sheetData>
  <mergeCells count="11">
    <mergeCell ref="A132:A162"/>
    <mergeCell ref="B160:B162"/>
    <mergeCell ref="A194:E194"/>
    <mergeCell ref="K200:K201"/>
    <mergeCell ref="G1:K1"/>
    <mergeCell ref="A2:K2"/>
    <mergeCell ref="B9:D9"/>
    <mergeCell ref="A50:A55"/>
    <mergeCell ref="A57:A58"/>
    <mergeCell ref="B57:D57"/>
    <mergeCell ref="B61:B62"/>
  </mergeCells>
  <pageMargins left="0.78740157480314965" right="0" top="0.98425196850393704" bottom="0.39370078740157483" header="0.51181102362204722" footer="0.11811023622047245"/>
  <pageSetup paperSize="9" orientation="landscape" r:id="rId1"/>
  <headerFooter alignWithMargins="0"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61"/>
  <sheetViews>
    <sheetView tabSelected="1" zoomScaleNormal="100" zoomScaleSheetLayoutView="100" workbookViewId="0">
      <pane ySplit="3" topLeftCell="A546" activePane="bottomLeft" state="frozen"/>
      <selection pane="bottomLeft" activeCell="AD569" sqref="AD569"/>
    </sheetView>
  </sheetViews>
  <sheetFormatPr defaultRowHeight="12.75" x14ac:dyDescent="0.2"/>
  <cols>
    <col min="1" max="1" width="4.85546875" customWidth="1"/>
    <col min="2" max="2" width="6.85546875" customWidth="1"/>
    <col min="3" max="3" width="2.140625" customWidth="1"/>
    <col min="4" max="4" width="5" customWidth="1"/>
    <col min="5" max="5" width="34.5703125" style="1" customWidth="1"/>
    <col min="6" max="6" width="14" customWidth="1"/>
    <col min="7" max="7" width="13.85546875" customWidth="1"/>
    <col min="8" max="8" width="8.28515625" customWidth="1"/>
    <col min="9" max="9" width="14.7109375" customWidth="1"/>
    <col min="10" max="10" width="14.140625" customWidth="1"/>
    <col min="11" max="11" width="10" style="816" customWidth="1"/>
    <col min="12" max="12" width="12.7109375" style="502" hidden="1" customWidth="1"/>
    <col min="13" max="13" width="11" hidden="1" customWidth="1"/>
    <col min="14" max="14" width="11.7109375" hidden="1" customWidth="1"/>
    <col min="15" max="15" width="10.85546875" hidden="1" customWidth="1"/>
    <col min="16" max="17" width="11.7109375" hidden="1" customWidth="1"/>
    <col min="18" max="18" width="11.85546875" hidden="1" customWidth="1"/>
    <col min="19" max="19" width="11.42578125" hidden="1" customWidth="1"/>
    <col min="20" max="20" width="11.85546875" hidden="1" customWidth="1"/>
    <col min="21" max="21" width="10.85546875" hidden="1" customWidth="1"/>
    <col min="22" max="22" width="12" hidden="1" customWidth="1"/>
    <col min="23" max="23" width="10.85546875" hidden="1" customWidth="1"/>
    <col min="24" max="27" width="9.140625" hidden="1" customWidth="1"/>
    <col min="28" max="54" width="9.140625" customWidth="1"/>
  </cols>
  <sheetData>
    <row r="1" spans="1:23" ht="29.25" customHeight="1" x14ac:dyDescent="0.2">
      <c r="G1" s="1164" t="s">
        <v>152</v>
      </c>
      <c r="H1" s="1164"/>
      <c r="I1" s="1164"/>
      <c r="J1" s="1164"/>
      <c r="K1" s="1164"/>
    </row>
    <row r="2" spans="1:23" ht="54.75" customHeight="1" x14ac:dyDescent="0.2">
      <c r="A2" s="1165" t="s">
        <v>153</v>
      </c>
      <c r="B2" s="1165"/>
      <c r="C2" s="1165"/>
      <c r="D2" s="1165"/>
      <c r="E2" s="1165"/>
      <c r="F2" s="1165"/>
      <c r="G2" s="1165"/>
      <c r="H2" s="1165"/>
      <c r="I2" s="1165"/>
      <c r="J2" s="1165"/>
      <c r="K2" s="1165"/>
    </row>
    <row r="3" spans="1:23" ht="58.5" x14ac:dyDescent="0.2">
      <c r="A3" s="4" t="s">
        <v>2</v>
      </c>
      <c r="B3" s="4" t="s">
        <v>3</v>
      </c>
      <c r="C3" s="1182" t="s">
        <v>4</v>
      </c>
      <c r="D3" s="1183"/>
      <c r="E3" s="6" t="s">
        <v>5</v>
      </c>
      <c r="F3" s="7" t="s">
        <v>154</v>
      </c>
      <c r="G3" s="8" t="s">
        <v>7</v>
      </c>
      <c r="H3" s="503" t="s">
        <v>8</v>
      </c>
      <c r="I3" s="10" t="s">
        <v>155</v>
      </c>
      <c r="J3" s="11" t="s">
        <v>10</v>
      </c>
      <c r="K3" s="1082" t="s">
        <v>156</v>
      </c>
      <c r="L3" s="504" t="s">
        <v>12</v>
      </c>
      <c r="M3" s="505" t="s">
        <v>157</v>
      </c>
      <c r="N3" s="506" t="s">
        <v>158</v>
      </c>
      <c r="O3" s="507" t="s">
        <v>159</v>
      </c>
      <c r="P3" s="506" t="s">
        <v>160</v>
      </c>
      <c r="Q3" s="506" t="s">
        <v>161</v>
      </c>
      <c r="R3" s="507" t="s">
        <v>162</v>
      </c>
      <c r="S3" s="507" t="s">
        <v>163</v>
      </c>
      <c r="T3" s="507" t="s">
        <v>164</v>
      </c>
      <c r="U3" s="507" t="s">
        <v>165</v>
      </c>
      <c r="V3" s="507" t="s">
        <v>166</v>
      </c>
      <c r="W3" s="507" t="s">
        <v>167</v>
      </c>
    </row>
    <row r="4" spans="1:23" x14ac:dyDescent="0.2">
      <c r="A4" s="508">
        <v>10</v>
      </c>
      <c r="B4" s="15"/>
      <c r="C4" s="15"/>
      <c r="D4" s="16"/>
      <c r="E4" s="17" t="s">
        <v>13</v>
      </c>
      <c r="F4" s="18">
        <f>F5+F7+F9</f>
        <v>661208.80000000005</v>
      </c>
      <c r="G4" s="20">
        <f>G5+G7+G9</f>
        <v>481304.44</v>
      </c>
      <c r="H4" s="19">
        <f t="shared" ref="H4:H82" si="0">G4/F4</f>
        <v>0.72791596240098433</v>
      </c>
      <c r="I4" s="20">
        <f>I5+I7+I9</f>
        <v>656836.80000000005</v>
      </c>
      <c r="J4" s="21">
        <f>J5+J7+J9</f>
        <v>68122.540000000008</v>
      </c>
      <c r="K4" s="1083">
        <f>J4/F4</f>
        <v>0.1030272736841978</v>
      </c>
      <c r="L4" s="1079"/>
      <c r="M4" s="509">
        <f t="shared" ref="M4:V4" si="1">M5+M7+M9</f>
        <v>17122.54</v>
      </c>
      <c r="N4" s="509">
        <f t="shared" si="1"/>
        <v>0</v>
      </c>
      <c r="O4" s="509">
        <f t="shared" si="1"/>
        <v>1000</v>
      </c>
      <c r="P4" s="509">
        <f t="shared" si="1"/>
        <v>0</v>
      </c>
      <c r="Q4" s="509">
        <f t="shared" si="1"/>
        <v>0</v>
      </c>
      <c r="R4" s="509">
        <f t="shared" si="1"/>
        <v>32000</v>
      </c>
      <c r="S4" s="509">
        <f t="shared" si="1"/>
        <v>0</v>
      </c>
      <c r="T4" s="509">
        <f t="shared" si="1"/>
        <v>18000</v>
      </c>
      <c r="U4" s="509">
        <f t="shared" si="1"/>
        <v>0</v>
      </c>
      <c r="V4" s="509">
        <f t="shared" si="1"/>
        <v>0</v>
      </c>
      <c r="W4" s="509">
        <f>SUM(M4:V4)</f>
        <v>68122.540000000008</v>
      </c>
    </row>
    <row r="5" spans="1:23" x14ac:dyDescent="0.2">
      <c r="A5" s="35"/>
      <c r="B5" s="69">
        <v>1008</v>
      </c>
      <c r="C5" s="70"/>
      <c r="D5" s="103"/>
      <c r="E5" s="72" t="s">
        <v>168</v>
      </c>
      <c r="F5" s="105">
        <f>F6</f>
        <v>15000</v>
      </c>
      <c r="G5" s="75">
        <f>G6</f>
        <v>0</v>
      </c>
      <c r="H5" s="74">
        <f t="shared" si="0"/>
        <v>0</v>
      </c>
      <c r="I5" s="75">
        <f>I6</f>
        <v>15000</v>
      </c>
      <c r="J5" s="76">
        <f>J6</f>
        <v>15000</v>
      </c>
      <c r="K5" s="1084">
        <f>J5/F5</f>
        <v>1</v>
      </c>
      <c r="L5" s="1080" t="str">
        <f t="shared" ref="L5:V5" si="2">L6</f>
        <v>WF</v>
      </c>
      <c r="M5" s="510">
        <f t="shared" si="2"/>
        <v>0</v>
      </c>
      <c r="N5" s="510">
        <f t="shared" si="2"/>
        <v>0</v>
      </c>
      <c r="O5" s="510">
        <f t="shared" si="2"/>
        <v>0</v>
      </c>
      <c r="P5" s="510">
        <f t="shared" si="2"/>
        <v>0</v>
      </c>
      <c r="Q5" s="510">
        <f t="shared" si="2"/>
        <v>0</v>
      </c>
      <c r="R5" s="510">
        <f t="shared" si="2"/>
        <v>15000</v>
      </c>
      <c r="S5" s="510">
        <f t="shared" si="2"/>
        <v>0</v>
      </c>
      <c r="T5" s="510">
        <f t="shared" si="2"/>
        <v>0</v>
      </c>
      <c r="U5" s="510">
        <f t="shared" si="2"/>
        <v>0</v>
      </c>
      <c r="V5" s="510">
        <f t="shared" si="2"/>
        <v>0</v>
      </c>
      <c r="W5" s="510">
        <f>SUM(M5:V5)</f>
        <v>15000</v>
      </c>
    </row>
    <row r="6" spans="1:23" ht="45" x14ac:dyDescent="0.2">
      <c r="A6" s="79"/>
      <c r="B6" s="79"/>
      <c r="C6" s="80"/>
      <c r="D6" s="511">
        <v>2830</v>
      </c>
      <c r="E6" s="37" t="s">
        <v>169</v>
      </c>
      <c r="F6" s="82">
        <v>15000</v>
      </c>
      <c r="G6" s="83">
        <v>0</v>
      </c>
      <c r="H6" s="84">
        <f t="shared" si="0"/>
        <v>0</v>
      </c>
      <c r="I6" s="85">
        <v>15000</v>
      </c>
      <c r="J6" s="86">
        <v>15000</v>
      </c>
      <c r="K6" s="1077">
        <f>J6/F6</f>
        <v>1</v>
      </c>
      <c r="L6" s="513" t="s">
        <v>162</v>
      </c>
      <c r="M6" s="505"/>
      <c r="N6" s="505"/>
      <c r="O6" s="506"/>
      <c r="P6" s="505"/>
      <c r="Q6" s="505"/>
      <c r="R6" s="506">
        <v>15000</v>
      </c>
      <c r="S6" s="506"/>
      <c r="T6" s="506"/>
      <c r="U6" s="506"/>
      <c r="V6" s="506"/>
      <c r="W6" s="506">
        <f>SUM(M6:V6)</f>
        <v>15000</v>
      </c>
    </row>
    <row r="7" spans="1:23" x14ac:dyDescent="0.2">
      <c r="A7" s="79"/>
      <c r="B7" s="69">
        <v>1030</v>
      </c>
      <c r="C7" s="70"/>
      <c r="D7" s="103"/>
      <c r="E7" s="72" t="s">
        <v>170</v>
      </c>
      <c r="F7" s="105">
        <f>F8</f>
        <v>17000</v>
      </c>
      <c r="G7" s="75">
        <f>G8</f>
        <v>10403</v>
      </c>
      <c r="H7" s="74">
        <f t="shared" si="0"/>
        <v>0.61194117647058821</v>
      </c>
      <c r="I7" s="75">
        <f>I8</f>
        <v>13628</v>
      </c>
      <c r="J7" s="76">
        <f>J8</f>
        <v>17000</v>
      </c>
      <c r="K7" s="1084">
        <f>J7/F7</f>
        <v>1</v>
      </c>
      <c r="L7" s="1081"/>
      <c r="M7" s="510">
        <f t="shared" ref="M7:V7" si="3">M8</f>
        <v>0</v>
      </c>
      <c r="N7" s="510">
        <f t="shared" si="3"/>
        <v>0</v>
      </c>
      <c r="O7" s="510">
        <f t="shared" si="3"/>
        <v>0</v>
      </c>
      <c r="P7" s="510">
        <f t="shared" si="3"/>
        <v>0</v>
      </c>
      <c r="Q7" s="510">
        <f t="shared" si="3"/>
        <v>0</v>
      </c>
      <c r="R7" s="510">
        <f t="shared" si="3"/>
        <v>17000</v>
      </c>
      <c r="S7" s="510">
        <f t="shared" si="3"/>
        <v>0</v>
      </c>
      <c r="T7" s="510">
        <f t="shared" si="3"/>
        <v>0</v>
      </c>
      <c r="U7" s="510">
        <f t="shared" si="3"/>
        <v>0</v>
      </c>
      <c r="V7" s="510">
        <f t="shared" si="3"/>
        <v>0</v>
      </c>
      <c r="W7" s="510">
        <f>SUM(M7:V7)</f>
        <v>17000</v>
      </c>
    </row>
    <row r="8" spans="1:23" ht="48.75" x14ac:dyDescent="0.2">
      <c r="A8" s="79"/>
      <c r="B8" s="79"/>
      <c r="C8" s="80"/>
      <c r="D8" s="511">
        <v>2850</v>
      </c>
      <c r="E8" s="37" t="s">
        <v>171</v>
      </c>
      <c r="F8" s="82">
        <v>17000</v>
      </c>
      <c r="G8" s="83">
        <v>10403</v>
      </c>
      <c r="H8" s="84">
        <f t="shared" si="0"/>
        <v>0.61194117647058821</v>
      </c>
      <c r="I8" s="85">
        <v>13628</v>
      </c>
      <c r="J8" s="86">
        <v>17000</v>
      </c>
      <c r="K8" s="1077">
        <f t="shared" ref="K8:K84" si="4">J8/F8</f>
        <v>1</v>
      </c>
      <c r="L8" s="513" t="s">
        <v>172</v>
      </c>
      <c r="M8" s="505"/>
      <c r="N8" s="505"/>
      <c r="O8" s="506"/>
      <c r="P8" s="505"/>
      <c r="Q8" s="505"/>
      <c r="R8" s="506">
        <v>17000</v>
      </c>
      <c r="S8" s="506"/>
      <c r="T8" s="506"/>
      <c r="U8" s="506"/>
      <c r="V8" s="506"/>
      <c r="W8" s="506">
        <v>17000</v>
      </c>
    </row>
    <row r="9" spans="1:23" x14ac:dyDescent="0.2">
      <c r="A9" s="79"/>
      <c r="B9" s="69">
        <v>1095</v>
      </c>
      <c r="C9" s="70"/>
      <c r="D9" s="103"/>
      <c r="E9" s="72" t="s">
        <v>23</v>
      </c>
      <c r="F9" s="73">
        <f>SUM(F10:F18)</f>
        <v>629208.80000000005</v>
      </c>
      <c r="G9" s="73">
        <f>SUM(G10:G18)</f>
        <v>470901.44</v>
      </c>
      <c r="H9" s="74">
        <f t="shared" si="0"/>
        <v>0.74840250168147671</v>
      </c>
      <c r="I9" s="75">
        <f>SUM(I10:I18)</f>
        <v>628208.80000000005</v>
      </c>
      <c r="J9" s="76">
        <f>SUM(J10:J18)</f>
        <v>36122.54</v>
      </c>
      <c r="K9" s="1084">
        <f>J9/F9</f>
        <v>5.7409464076154049E-2</v>
      </c>
      <c r="L9" s="1080"/>
      <c r="M9" s="510">
        <f t="shared" ref="M9:V9" si="5">SUM(M10:M18)</f>
        <v>17122.54</v>
      </c>
      <c r="N9" s="510">
        <f t="shared" si="5"/>
        <v>0</v>
      </c>
      <c r="O9" s="510">
        <f t="shared" si="5"/>
        <v>1000</v>
      </c>
      <c r="P9" s="510">
        <f t="shared" si="5"/>
        <v>0</v>
      </c>
      <c r="Q9" s="510">
        <f t="shared" si="5"/>
        <v>0</v>
      </c>
      <c r="R9" s="510">
        <f t="shared" si="5"/>
        <v>0</v>
      </c>
      <c r="S9" s="510">
        <f t="shared" si="5"/>
        <v>0</v>
      </c>
      <c r="T9" s="510">
        <f t="shared" si="5"/>
        <v>18000</v>
      </c>
      <c r="U9" s="510">
        <f t="shared" si="5"/>
        <v>0</v>
      </c>
      <c r="V9" s="510">
        <f t="shared" si="5"/>
        <v>0</v>
      </c>
      <c r="W9" s="510">
        <f t="shared" ref="W9:W42" si="6">SUM(M9:V9)</f>
        <v>36122.54</v>
      </c>
    </row>
    <row r="10" spans="1:23" x14ac:dyDescent="0.2">
      <c r="A10" s="79"/>
      <c r="B10" s="79"/>
      <c r="C10" s="107"/>
      <c r="D10" s="514">
        <v>4010</v>
      </c>
      <c r="E10" s="109" t="s">
        <v>173</v>
      </c>
      <c r="F10" s="179">
        <v>3244.17</v>
      </c>
      <c r="G10" s="83">
        <v>3244.17</v>
      </c>
      <c r="H10" s="84">
        <f t="shared" si="0"/>
        <v>1</v>
      </c>
      <c r="I10" s="83">
        <v>3244.17</v>
      </c>
      <c r="J10" s="86">
        <v>0</v>
      </c>
      <c r="K10" s="1077">
        <f t="shared" si="4"/>
        <v>0</v>
      </c>
      <c r="L10" s="513"/>
      <c r="M10" s="505"/>
      <c r="N10" s="505"/>
      <c r="O10" s="506"/>
      <c r="P10" s="505"/>
      <c r="Q10" s="505"/>
      <c r="R10" s="506"/>
      <c r="S10" s="506"/>
      <c r="T10" s="506"/>
      <c r="U10" s="506"/>
      <c r="V10" s="506"/>
      <c r="W10" s="506">
        <f t="shared" si="6"/>
        <v>0</v>
      </c>
    </row>
    <row r="11" spans="1:23" x14ac:dyDescent="0.2">
      <c r="A11" s="79"/>
      <c r="B11" s="79"/>
      <c r="C11" s="107"/>
      <c r="D11" s="514">
        <v>4110</v>
      </c>
      <c r="E11" s="109" t="s">
        <v>174</v>
      </c>
      <c r="F11" s="191">
        <v>557.66999999999996</v>
      </c>
      <c r="G11" s="83">
        <v>557.66999999999996</v>
      </c>
      <c r="H11" s="84">
        <f t="shared" si="0"/>
        <v>1</v>
      </c>
      <c r="I11" s="83">
        <v>557.66999999999996</v>
      </c>
      <c r="J11" s="86">
        <v>0</v>
      </c>
      <c r="K11" s="1077">
        <f t="shared" si="4"/>
        <v>0</v>
      </c>
      <c r="L11" s="513"/>
      <c r="M11" s="505"/>
      <c r="N11" s="505"/>
      <c r="O11" s="506"/>
      <c r="P11" s="505"/>
      <c r="Q11" s="505"/>
      <c r="R11" s="506"/>
      <c r="S11" s="506"/>
      <c r="T11" s="506"/>
      <c r="U11" s="506"/>
      <c r="V11" s="506"/>
      <c r="W11" s="506">
        <f t="shared" si="6"/>
        <v>0</v>
      </c>
    </row>
    <row r="12" spans="1:23" x14ac:dyDescent="0.2">
      <c r="A12" s="79"/>
      <c r="B12" s="79"/>
      <c r="C12" s="107"/>
      <c r="D12" s="514">
        <v>4120</v>
      </c>
      <c r="E12" s="109" t="s">
        <v>175</v>
      </c>
      <c r="F12" s="515">
        <v>79.48</v>
      </c>
      <c r="G12" s="83">
        <v>79.48</v>
      </c>
      <c r="H12" s="84">
        <f t="shared" si="0"/>
        <v>1</v>
      </c>
      <c r="I12" s="83">
        <v>79.48</v>
      </c>
      <c r="J12" s="86">
        <v>0</v>
      </c>
      <c r="K12" s="512">
        <f t="shared" si="4"/>
        <v>0</v>
      </c>
      <c r="L12" s="513"/>
      <c r="M12" s="505"/>
      <c r="N12" s="505"/>
      <c r="O12" s="506"/>
      <c r="P12" s="505"/>
      <c r="Q12" s="505"/>
      <c r="R12" s="506"/>
      <c r="S12" s="506"/>
      <c r="T12" s="506"/>
      <c r="U12" s="506"/>
      <c r="V12" s="506"/>
      <c r="W12" s="506">
        <f t="shared" si="6"/>
        <v>0</v>
      </c>
    </row>
    <row r="13" spans="1:23" x14ac:dyDescent="0.2">
      <c r="A13" s="79"/>
      <c r="B13" s="79"/>
      <c r="C13" s="107"/>
      <c r="D13" s="514">
        <v>4210</v>
      </c>
      <c r="E13" s="109" t="s">
        <v>176</v>
      </c>
      <c r="F13" s="179">
        <v>52173.05</v>
      </c>
      <c r="G13" s="83">
        <v>6213.92</v>
      </c>
      <c r="H13" s="84">
        <f t="shared" si="0"/>
        <v>0.1191021034806284</v>
      </c>
      <c r="I13" s="83">
        <v>52173.05</v>
      </c>
      <c r="J13" s="86">
        <v>3122.54</v>
      </c>
      <c r="K13" s="512">
        <f t="shared" si="4"/>
        <v>5.9849673346679941E-2</v>
      </c>
      <c r="L13" s="513"/>
      <c r="M13" s="505">
        <v>3122.54</v>
      </c>
      <c r="N13" s="505"/>
      <c r="O13" s="506"/>
      <c r="P13" s="505"/>
      <c r="Q13" s="505"/>
      <c r="R13" s="506"/>
      <c r="S13" s="506"/>
      <c r="T13" s="506"/>
      <c r="U13" s="506"/>
      <c r="V13" s="506"/>
      <c r="W13" s="506">
        <f t="shared" si="6"/>
        <v>3122.54</v>
      </c>
    </row>
    <row r="14" spans="1:23" x14ac:dyDescent="0.2">
      <c r="A14" s="79"/>
      <c r="B14" s="79"/>
      <c r="C14" s="107"/>
      <c r="D14" s="514">
        <v>4300</v>
      </c>
      <c r="E14" s="109" t="s">
        <v>177</v>
      </c>
      <c r="F14" s="179">
        <v>82238.3</v>
      </c>
      <c r="G14" s="83">
        <v>1238.3</v>
      </c>
      <c r="H14" s="84">
        <f t="shared" si="0"/>
        <v>1.5057461061330303E-2</v>
      </c>
      <c r="I14" s="83">
        <v>81238.3</v>
      </c>
      <c r="J14" s="86">
        <v>1000</v>
      </c>
      <c r="K14" s="512">
        <f t="shared" si="4"/>
        <v>1.2159784431341601E-2</v>
      </c>
      <c r="L14" s="513" t="s">
        <v>178</v>
      </c>
      <c r="M14" s="505"/>
      <c r="N14" s="505"/>
      <c r="O14" s="506">
        <v>1000</v>
      </c>
      <c r="P14" s="505"/>
      <c r="Q14" s="505"/>
      <c r="R14" s="506"/>
      <c r="S14" s="506"/>
      <c r="T14" s="506"/>
      <c r="U14" s="506"/>
      <c r="V14" s="506"/>
      <c r="W14" s="506">
        <f t="shared" si="6"/>
        <v>1000</v>
      </c>
    </row>
    <row r="15" spans="1:23" x14ac:dyDescent="0.2">
      <c r="A15" s="79"/>
      <c r="B15" s="79"/>
      <c r="C15" s="107"/>
      <c r="D15" s="514">
        <v>4410</v>
      </c>
      <c r="E15" s="109" t="s">
        <v>179</v>
      </c>
      <c r="F15" s="179">
        <v>43.4</v>
      </c>
      <c r="G15" s="83">
        <v>43.4</v>
      </c>
      <c r="H15" s="84">
        <f t="shared" si="0"/>
        <v>1</v>
      </c>
      <c r="I15" s="83">
        <v>43.4</v>
      </c>
      <c r="J15" s="86">
        <v>0</v>
      </c>
      <c r="K15" s="512">
        <f t="shared" si="4"/>
        <v>0</v>
      </c>
      <c r="L15" s="513"/>
      <c r="M15" s="505"/>
      <c r="N15" s="505"/>
      <c r="O15" s="506"/>
      <c r="P15" s="505"/>
      <c r="Q15" s="505"/>
      <c r="R15" s="506"/>
      <c r="S15" s="506"/>
      <c r="T15" s="506"/>
      <c r="U15" s="506"/>
      <c r="V15" s="506"/>
      <c r="W15" s="506">
        <f t="shared" si="6"/>
        <v>0</v>
      </c>
    </row>
    <row r="16" spans="1:23" x14ac:dyDescent="0.2">
      <c r="A16" s="79"/>
      <c r="B16" s="79"/>
      <c r="C16" s="107"/>
      <c r="D16" s="514">
        <v>4430</v>
      </c>
      <c r="E16" s="109" t="s">
        <v>180</v>
      </c>
      <c r="F16" s="251">
        <v>451295.5</v>
      </c>
      <c r="G16" s="83">
        <v>451295.5</v>
      </c>
      <c r="H16" s="84">
        <f t="shared" si="0"/>
        <v>1</v>
      </c>
      <c r="I16" s="83">
        <v>451295.5</v>
      </c>
      <c r="J16" s="86">
        <v>0</v>
      </c>
      <c r="K16" s="512">
        <f t="shared" si="4"/>
        <v>0</v>
      </c>
      <c r="L16" s="513"/>
      <c r="M16" s="505"/>
      <c r="N16" s="505"/>
      <c r="O16" s="506"/>
      <c r="P16" s="505"/>
      <c r="Q16" s="505"/>
      <c r="R16" s="506"/>
      <c r="S16" s="506"/>
      <c r="T16" s="506"/>
      <c r="U16" s="506"/>
      <c r="V16" s="506"/>
      <c r="W16" s="506">
        <f t="shared" si="6"/>
        <v>0</v>
      </c>
    </row>
    <row r="17" spans="1:23" ht="22.5" x14ac:dyDescent="0.2">
      <c r="A17" s="79"/>
      <c r="B17" s="79"/>
      <c r="C17" s="80"/>
      <c r="D17" s="516">
        <v>4700</v>
      </c>
      <c r="E17" s="160" t="s">
        <v>181</v>
      </c>
      <c r="F17" s="92">
        <v>234</v>
      </c>
      <c r="G17" s="83">
        <v>234</v>
      </c>
      <c r="H17" s="84">
        <f t="shared" si="0"/>
        <v>1</v>
      </c>
      <c r="I17" s="83">
        <v>234</v>
      </c>
      <c r="J17" s="86">
        <v>0</v>
      </c>
      <c r="K17" s="512">
        <f t="shared" si="4"/>
        <v>0</v>
      </c>
      <c r="L17" s="513"/>
      <c r="M17" s="505"/>
      <c r="N17" s="505"/>
      <c r="O17" s="506"/>
      <c r="P17" s="505"/>
      <c r="Q17" s="505"/>
      <c r="R17" s="506"/>
      <c r="S17" s="506"/>
      <c r="T17" s="506"/>
      <c r="U17" s="506"/>
      <c r="V17" s="506"/>
      <c r="W17" s="506">
        <f t="shared" si="6"/>
        <v>0</v>
      </c>
    </row>
    <row r="18" spans="1:23" ht="39" x14ac:dyDescent="0.2">
      <c r="A18" s="79"/>
      <c r="B18" s="79"/>
      <c r="C18" s="80"/>
      <c r="D18" s="511">
        <v>6050</v>
      </c>
      <c r="E18" s="109" t="s">
        <v>182</v>
      </c>
      <c r="F18" s="92">
        <v>39343.230000000003</v>
      </c>
      <c r="G18" s="83">
        <v>7995</v>
      </c>
      <c r="H18" s="84">
        <f t="shared" si="0"/>
        <v>0.20321158176387652</v>
      </c>
      <c r="I18" s="83">
        <v>39343.230000000003</v>
      </c>
      <c r="J18" s="183">
        <v>32000</v>
      </c>
      <c r="K18" s="512">
        <f t="shared" si="4"/>
        <v>0.81335467372658521</v>
      </c>
      <c r="L18" s="517" t="s">
        <v>183</v>
      </c>
      <c r="M18" s="505">
        <v>14000</v>
      </c>
      <c r="N18" s="505"/>
      <c r="O18" s="506"/>
      <c r="P18" s="505"/>
      <c r="Q18" s="505"/>
      <c r="R18" s="506">
        <v>0</v>
      </c>
      <c r="S18" s="506"/>
      <c r="T18" s="506">
        <v>18000</v>
      </c>
      <c r="U18" s="506"/>
      <c r="V18" s="506"/>
      <c r="W18" s="506">
        <f t="shared" si="6"/>
        <v>32000</v>
      </c>
    </row>
    <row r="19" spans="1:23" x14ac:dyDescent="0.2">
      <c r="A19" s="508">
        <v>50</v>
      </c>
      <c r="B19" s="100"/>
      <c r="C19" s="100"/>
      <c r="D19" s="112"/>
      <c r="E19" s="113" t="s">
        <v>28</v>
      </c>
      <c r="F19" s="518">
        <f>F20</f>
        <v>24786</v>
      </c>
      <c r="G19" s="20">
        <f>G20</f>
        <v>6710.8499999999995</v>
      </c>
      <c r="H19" s="19">
        <f t="shared" si="0"/>
        <v>0.27075163398692809</v>
      </c>
      <c r="I19" s="115">
        <f>I20</f>
        <v>24609.7</v>
      </c>
      <c r="J19" s="117">
        <f>J20</f>
        <v>20000</v>
      </c>
      <c r="K19" s="1126">
        <f>J19/F19</f>
        <v>0.80690712498991368</v>
      </c>
      <c r="L19" s="1117"/>
      <c r="M19" s="519">
        <f t="shared" ref="M19:V19" si="7">M20</f>
        <v>0</v>
      </c>
      <c r="N19" s="519">
        <f t="shared" si="7"/>
        <v>0</v>
      </c>
      <c r="O19" s="519">
        <f t="shared" si="7"/>
        <v>20000</v>
      </c>
      <c r="P19" s="519">
        <f t="shared" si="7"/>
        <v>0</v>
      </c>
      <c r="Q19" s="519">
        <f t="shared" si="7"/>
        <v>0</v>
      </c>
      <c r="R19" s="519">
        <f t="shared" si="7"/>
        <v>0</v>
      </c>
      <c r="S19" s="519">
        <f t="shared" si="7"/>
        <v>0</v>
      </c>
      <c r="T19" s="519">
        <f t="shared" si="7"/>
        <v>0</v>
      </c>
      <c r="U19" s="519">
        <f t="shared" si="7"/>
        <v>0</v>
      </c>
      <c r="V19" s="519">
        <f t="shared" si="7"/>
        <v>0</v>
      </c>
      <c r="W19" s="519">
        <f t="shared" si="6"/>
        <v>20000</v>
      </c>
    </row>
    <row r="20" spans="1:23" x14ac:dyDescent="0.2">
      <c r="A20" s="35"/>
      <c r="B20" s="69">
        <v>5095</v>
      </c>
      <c r="C20" s="70"/>
      <c r="D20" s="103"/>
      <c r="E20" s="72" t="s">
        <v>23</v>
      </c>
      <c r="F20" s="520">
        <f>SUM(F21:F24)</f>
        <v>24786</v>
      </c>
      <c r="G20" s="243">
        <f>SUM(G21:G24)</f>
        <v>6710.8499999999995</v>
      </c>
      <c r="H20" s="242">
        <f t="shared" si="0"/>
        <v>0.27075163398692809</v>
      </c>
      <c r="I20" s="75">
        <f>SUM(I21:I24)</f>
        <v>24609.7</v>
      </c>
      <c r="J20" s="76">
        <f>SUM(J21:J24)</f>
        <v>20000</v>
      </c>
      <c r="K20" s="1084">
        <f>J20/F20</f>
        <v>0.80690712498991368</v>
      </c>
      <c r="L20" s="1080"/>
      <c r="M20" s="510">
        <f t="shared" ref="M20:V20" si="8">SUM(M21:M24)</f>
        <v>0</v>
      </c>
      <c r="N20" s="510">
        <f t="shared" si="8"/>
        <v>0</v>
      </c>
      <c r="O20" s="510">
        <f t="shared" si="8"/>
        <v>20000</v>
      </c>
      <c r="P20" s="510">
        <f t="shared" si="8"/>
        <v>0</v>
      </c>
      <c r="Q20" s="510">
        <f t="shared" si="8"/>
        <v>0</v>
      </c>
      <c r="R20" s="510">
        <f t="shared" si="8"/>
        <v>0</v>
      </c>
      <c r="S20" s="510">
        <f t="shared" si="8"/>
        <v>0</v>
      </c>
      <c r="T20" s="510">
        <f t="shared" si="8"/>
        <v>0</v>
      </c>
      <c r="U20" s="510">
        <f t="shared" si="8"/>
        <v>0</v>
      </c>
      <c r="V20" s="510">
        <f t="shared" si="8"/>
        <v>0</v>
      </c>
      <c r="W20" s="510">
        <f t="shared" si="6"/>
        <v>20000</v>
      </c>
    </row>
    <row r="21" spans="1:23" x14ac:dyDescent="0.2">
      <c r="A21" s="35"/>
      <c r="B21" s="521"/>
      <c r="C21" s="522"/>
      <c r="D21" s="523">
        <v>4110</v>
      </c>
      <c r="E21" s="261" t="s">
        <v>174</v>
      </c>
      <c r="F21" s="355">
        <v>542</v>
      </c>
      <c r="G21" s="321">
        <v>322.35000000000002</v>
      </c>
      <c r="H21" s="322">
        <f>G21/F21</f>
        <v>0.59474169741697425</v>
      </c>
      <c r="I21" s="524">
        <v>515.70000000000005</v>
      </c>
      <c r="J21" s="525">
        <v>520</v>
      </c>
      <c r="K21" s="526">
        <f t="shared" si="4"/>
        <v>0.95940959409594095</v>
      </c>
      <c r="L21" s="527"/>
      <c r="M21" s="505"/>
      <c r="N21" s="505"/>
      <c r="O21" s="528">
        <v>520</v>
      </c>
      <c r="P21" s="529"/>
      <c r="Q21" s="529"/>
      <c r="R21" s="506"/>
      <c r="S21" s="506"/>
      <c r="T21" s="506"/>
      <c r="U21" s="506"/>
      <c r="V21" s="506"/>
      <c r="W21" s="506">
        <f t="shared" si="6"/>
        <v>520</v>
      </c>
    </row>
    <row r="22" spans="1:23" x14ac:dyDescent="0.2">
      <c r="A22" s="79"/>
      <c r="B22" s="79"/>
      <c r="C22" s="107"/>
      <c r="D22" s="514">
        <v>4170</v>
      </c>
      <c r="E22" s="109" t="s">
        <v>184</v>
      </c>
      <c r="F22" s="530">
        <v>3150</v>
      </c>
      <c r="G22" s="141">
        <v>2155.8200000000002</v>
      </c>
      <c r="H22" s="142">
        <f t="shared" si="0"/>
        <v>0.68438730158730166</v>
      </c>
      <c r="I22" s="85">
        <v>3000</v>
      </c>
      <c r="J22" s="86">
        <v>3000</v>
      </c>
      <c r="K22" s="526">
        <f t="shared" si="4"/>
        <v>0.95238095238095233</v>
      </c>
      <c r="L22" s="513"/>
      <c r="M22" s="505"/>
      <c r="N22" s="505"/>
      <c r="O22" s="83">
        <v>3000</v>
      </c>
      <c r="P22" s="505"/>
      <c r="Q22" s="505"/>
      <c r="R22" s="506"/>
      <c r="S22" s="506"/>
      <c r="T22" s="506"/>
      <c r="U22" s="506"/>
      <c r="V22" s="506"/>
      <c r="W22" s="506">
        <f t="shared" si="6"/>
        <v>3000</v>
      </c>
    </row>
    <row r="23" spans="1:23" x14ac:dyDescent="0.2">
      <c r="A23" s="79"/>
      <c r="B23" s="79"/>
      <c r="C23" s="253"/>
      <c r="D23" s="516">
        <v>4210</v>
      </c>
      <c r="E23" s="160" t="s">
        <v>176</v>
      </c>
      <c r="F23" s="161">
        <v>18786</v>
      </c>
      <c r="G23" s="83">
        <v>3498.48</v>
      </c>
      <c r="H23" s="84">
        <f t="shared" si="0"/>
        <v>0.18622804215905461</v>
      </c>
      <c r="I23" s="85">
        <v>18786</v>
      </c>
      <c r="J23" s="86">
        <v>14000</v>
      </c>
      <c r="K23" s="752">
        <f t="shared" si="4"/>
        <v>0.74523581390397109</v>
      </c>
      <c r="L23" s="513"/>
      <c r="M23" s="505"/>
      <c r="N23" s="505"/>
      <c r="O23" s="83">
        <v>14000</v>
      </c>
      <c r="P23" s="505"/>
      <c r="Q23" s="505"/>
      <c r="R23" s="506"/>
      <c r="S23" s="506"/>
      <c r="T23" s="506"/>
      <c r="U23" s="506"/>
      <c r="V23" s="506"/>
      <c r="W23" s="506">
        <f t="shared" si="6"/>
        <v>14000</v>
      </c>
    </row>
    <row r="24" spans="1:23" x14ac:dyDescent="0.2">
      <c r="A24" s="79"/>
      <c r="B24" s="79"/>
      <c r="C24" s="303"/>
      <c r="D24" s="574">
        <v>4260</v>
      </c>
      <c r="E24" s="249" t="s">
        <v>185</v>
      </c>
      <c r="F24" s="530">
        <v>2308</v>
      </c>
      <c r="G24" s="141">
        <v>734.2</v>
      </c>
      <c r="H24" s="142">
        <f t="shared" si="0"/>
        <v>0.31811091854419415</v>
      </c>
      <c r="I24" s="143">
        <v>2308</v>
      </c>
      <c r="J24" s="144">
        <v>2480</v>
      </c>
      <c r="K24" s="714">
        <f t="shared" si="4"/>
        <v>1.074523396880416</v>
      </c>
      <c r="L24" s="513"/>
      <c r="M24" s="505"/>
      <c r="N24" s="505"/>
      <c r="O24" s="83">
        <v>2480</v>
      </c>
      <c r="P24" s="505"/>
      <c r="Q24" s="505"/>
      <c r="R24" s="506"/>
      <c r="S24" s="506"/>
      <c r="T24" s="506"/>
      <c r="U24" s="506"/>
      <c r="V24" s="506"/>
      <c r="W24" s="506">
        <f t="shared" si="6"/>
        <v>2480</v>
      </c>
    </row>
    <row r="25" spans="1:23" x14ac:dyDescent="0.2">
      <c r="A25" s="531">
        <v>600</v>
      </c>
      <c r="B25" s="145"/>
      <c r="C25" s="145"/>
      <c r="D25" s="192"/>
      <c r="E25" s="193" t="s">
        <v>30</v>
      </c>
      <c r="F25" s="758">
        <f>F34+F26+F31+F29</f>
        <v>1699587</v>
      </c>
      <c r="G25" s="758">
        <f>G34+G26+G31+G29</f>
        <v>573704.33000000007</v>
      </c>
      <c r="H25" s="195">
        <f t="shared" si="0"/>
        <v>0.33755514133727788</v>
      </c>
      <c r="I25" s="758">
        <f>I34+I26+I31+I29</f>
        <v>1268131.53</v>
      </c>
      <c r="J25" s="364">
        <f>J34+J26+J31+J30</f>
        <v>1065390</v>
      </c>
      <c r="K25" s="1132">
        <f t="shared" ref="K25:K34" si="9">J25/F25</f>
        <v>0.62685228823237649</v>
      </c>
      <c r="L25" s="1118"/>
      <c r="M25" s="532">
        <f>M34+M26+M31+M29</f>
        <v>22400</v>
      </c>
      <c r="N25" s="532">
        <f t="shared" ref="N25:W25" si="10">N34+N26+N31+N29</f>
        <v>0</v>
      </c>
      <c r="O25" s="532">
        <f t="shared" si="10"/>
        <v>6000</v>
      </c>
      <c r="P25" s="532">
        <f t="shared" si="10"/>
        <v>0</v>
      </c>
      <c r="Q25" s="532">
        <f t="shared" si="10"/>
        <v>0</v>
      </c>
      <c r="R25" s="532">
        <f t="shared" si="10"/>
        <v>200000</v>
      </c>
      <c r="S25" s="532">
        <f t="shared" si="10"/>
        <v>0</v>
      </c>
      <c r="T25" s="532">
        <f t="shared" si="10"/>
        <v>836990</v>
      </c>
      <c r="U25" s="532">
        <f t="shared" si="10"/>
        <v>0</v>
      </c>
      <c r="V25" s="532">
        <f t="shared" si="10"/>
        <v>0</v>
      </c>
      <c r="W25" s="532">
        <f t="shared" si="10"/>
        <v>1065390</v>
      </c>
    </row>
    <row r="26" spans="1:23" x14ac:dyDescent="0.2">
      <c r="A26" s="533"/>
      <c r="B26" s="1134">
        <v>60004</v>
      </c>
      <c r="C26" s="577"/>
      <c r="D26" s="255"/>
      <c r="E26" s="549" t="s">
        <v>186</v>
      </c>
      <c r="F26" s="550">
        <f>SUM(F27:F28)</f>
        <v>224200</v>
      </c>
      <c r="G26" s="550">
        <f>SUM(G27:G28)</f>
        <v>133588.21</v>
      </c>
      <c r="H26" s="551">
        <f t="shared" si="0"/>
        <v>0.59584393398751112</v>
      </c>
      <c r="I26" s="550">
        <f>SUM(I27:I28)</f>
        <v>221297.09</v>
      </c>
      <c r="J26" s="1135">
        <f>SUM(J27:J28)</f>
        <v>220000</v>
      </c>
      <c r="K26" s="1127">
        <f t="shared" si="9"/>
        <v>0.98126672613737731</v>
      </c>
      <c r="L26" s="1119"/>
      <c r="M26" s="534">
        <f t="shared" ref="M26:V26" si="11">SUM(M27:M28)</f>
        <v>0</v>
      </c>
      <c r="N26" s="534">
        <f t="shared" si="11"/>
        <v>0</v>
      </c>
      <c r="O26" s="534">
        <f t="shared" si="11"/>
        <v>0</v>
      </c>
      <c r="P26" s="534">
        <f t="shared" si="11"/>
        <v>0</v>
      </c>
      <c r="Q26" s="534">
        <f t="shared" si="11"/>
        <v>0</v>
      </c>
      <c r="R26" s="534">
        <f t="shared" si="11"/>
        <v>0</v>
      </c>
      <c r="S26" s="534">
        <f t="shared" si="11"/>
        <v>0</v>
      </c>
      <c r="T26" s="534">
        <f t="shared" si="11"/>
        <v>220000</v>
      </c>
      <c r="U26" s="534">
        <f t="shared" si="11"/>
        <v>0</v>
      </c>
      <c r="V26" s="534">
        <f t="shared" si="11"/>
        <v>0</v>
      </c>
      <c r="W26" s="534">
        <f t="shared" si="6"/>
        <v>220000</v>
      </c>
    </row>
    <row r="27" spans="1:23" ht="33.75" x14ac:dyDescent="0.2">
      <c r="A27" s="533"/>
      <c r="B27" s="535"/>
      <c r="C27" s="353"/>
      <c r="D27" s="536">
        <v>2310</v>
      </c>
      <c r="E27" s="537" t="s">
        <v>187</v>
      </c>
      <c r="F27" s="376">
        <v>222200</v>
      </c>
      <c r="G27" s="376">
        <v>133588.21</v>
      </c>
      <c r="H27" s="378">
        <f>G27/F27</f>
        <v>0.60120706570657068</v>
      </c>
      <c r="I27" s="376">
        <v>221297.09</v>
      </c>
      <c r="J27" s="538">
        <v>220000</v>
      </c>
      <c r="K27" s="358">
        <f t="shared" si="9"/>
        <v>0.99009900990099009</v>
      </c>
      <c r="L27" s="539" t="s">
        <v>164</v>
      </c>
      <c r="M27" s="505"/>
      <c r="N27" s="505"/>
      <c r="O27" s="506"/>
      <c r="P27" s="505"/>
      <c r="Q27" s="505"/>
      <c r="R27" s="506"/>
      <c r="S27" s="506"/>
      <c r="T27" s="506">
        <v>220000</v>
      </c>
      <c r="U27" s="506"/>
      <c r="V27" s="506"/>
      <c r="W27" s="506">
        <f t="shared" si="6"/>
        <v>220000</v>
      </c>
    </row>
    <row r="28" spans="1:23" x14ac:dyDescent="0.2">
      <c r="A28" s="533"/>
      <c r="B28" s="540"/>
      <c r="C28" s="541"/>
      <c r="D28" s="542">
        <v>4300</v>
      </c>
      <c r="E28" s="163" t="s">
        <v>177</v>
      </c>
      <c r="F28" s="543">
        <v>2000</v>
      </c>
      <c r="G28" s="543">
        <v>0</v>
      </c>
      <c r="H28" s="544">
        <f>G28/F28</f>
        <v>0</v>
      </c>
      <c r="I28" s="543">
        <v>0</v>
      </c>
      <c r="J28" s="545">
        <v>0</v>
      </c>
      <c r="K28" s="358">
        <f t="shared" si="9"/>
        <v>0</v>
      </c>
      <c r="L28" s="546"/>
      <c r="M28" s="505"/>
      <c r="N28" s="505"/>
      <c r="O28" s="506"/>
      <c r="P28" s="505"/>
      <c r="Q28" s="505"/>
      <c r="R28" s="506"/>
      <c r="S28" s="506"/>
      <c r="T28" s="506">
        <v>0</v>
      </c>
      <c r="U28" s="506"/>
      <c r="V28" s="506"/>
      <c r="W28" s="506">
        <f t="shared" si="6"/>
        <v>0</v>
      </c>
    </row>
    <row r="29" spans="1:23" x14ac:dyDescent="0.2">
      <c r="A29" s="533"/>
      <c r="B29" s="547">
        <v>60013</v>
      </c>
      <c r="C29" s="548"/>
      <c r="D29" s="199"/>
      <c r="E29" s="549" t="s">
        <v>403</v>
      </c>
      <c r="F29" s="550">
        <f>F30</f>
        <v>0</v>
      </c>
      <c r="G29" s="550">
        <f>G30</f>
        <v>0</v>
      </c>
      <c r="H29" s="551">
        <v>0</v>
      </c>
      <c r="I29" s="552">
        <f>I30</f>
        <v>0</v>
      </c>
      <c r="J29" s="553">
        <f>J30</f>
        <v>200000</v>
      </c>
      <c r="K29" s="1127" t="e">
        <f t="shared" ref="K29:K30" si="12">J29/F29</f>
        <v>#DIV/0!</v>
      </c>
      <c r="L29" s="1120"/>
      <c r="M29" s="554">
        <f>M30</f>
        <v>0</v>
      </c>
      <c r="N29" s="554">
        <f t="shared" ref="N29:W29" si="13">N30</f>
        <v>0</v>
      </c>
      <c r="O29" s="554">
        <f t="shared" si="13"/>
        <v>0</v>
      </c>
      <c r="P29" s="554">
        <f t="shared" si="13"/>
        <v>0</v>
      </c>
      <c r="Q29" s="554">
        <f t="shared" si="13"/>
        <v>0</v>
      </c>
      <c r="R29" s="554">
        <f t="shared" si="13"/>
        <v>200000</v>
      </c>
      <c r="S29" s="554">
        <f t="shared" si="13"/>
        <v>0</v>
      </c>
      <c r="T29" s="554">
        <f t="shared" si="13"/>
        <v>0</v>
      </c>
      <c r="U29" s="554">
        <f t="shared" si="13"/>
        <v>0</v>
      </c>
      <c r="V29" s="554">
        <f t="shared" si="13"/>
        <v>0</v>
      </c>
      <c r="W29" s="554">
        <f t="shared" si="13"/>
        <v>200000</v>
      </c>
    </row>
    <row r="30" spans="1:23" ht="45" x14ac:dyDescent="0.2">
      <c r="A30" s="533"/>
      <c r="B30" s="1139"/>
      <c r="C30" s="394"/>
      <c r="D30" s="563">
        <v>6300</v>
      </c>
      <c r="E30" s="557" t="s">
        <v>190</v>
      </c>
      <c r="F30" s="564">
        <v>0</v>
      </c>
      <c r="G30" s="565">
        <v>0</v>
      </c>
      <c r="H30" s="566">
        <v>0</v>
      </c>
      <c r="I30" s="565">
        <v>0</v>
      </c>
      <c r="J30" s="567">
        <v>200000</v>
      </c>
      <c r="K30" s="1075" t="e">
        <f t="shared" si="12"/>
        <v>#DIV/0!</v>
      </c>
      <c r="L30" s="562"/>
      <c r="M30" s="505"/>
      <c r="N30" s="505"/>
      <c r="O30" s="506"/>
      <c r="P30" s="505"/>
      <c r="Q30" s="505"/>
      <c r="R30" s="506">
        <v>200000</v>
      </c>
      <c r="S30" s="506"/>
      <c r="T30" s="506"/>
      <c r="U30" s="506"/>
      <c r="V30" s="506"/>
      <c r="W30" s="506">
        <f t="shared" ref="W30" si="14">SUM(M30:V30)</f>
        <v>200000</v>
      </c>
    </row>
    <row r="31" spans="1:23" x14ac:dyDescent="0.2">
      <c r="A31" s="533"/>
      <c r="B31" s="547">
        <v>60014</v>
      </c>
      <c r="C31" s="548"/>
      <c r="D31" s="199"/>
      <c r="E31" s="549" t="s">
        <v>188</v>
      </c>
      <c r="F31" s="550">
        <f>F33+F32</f>
        <v>110000</v>
      </c>
      <c r="G31" s="550">
        <f>G33+G32</f>
        <v>10000</v>
      </c>
      <c r="H31" s="551">
        <f t="shared" si="0"/>
        <v>9.0909090909090912E-2</v>
      </c>
      <c r="I31" s="552">
        <f>I33+I32</f>
        <v>10000</v>
      </c>
      <c r="J31" s="553">
        <f>J33+J32</f>
        <v>0</v>
      </c>
      <c r="K31" s="1127">
        <f t="shared" si="9"/>
        <v>0</v>
      </c>
      <c r="L31" s="1120"/>
      <c r="M31" s="554">
        <f t="shared" ref="M31:V31" si="15">M33+M32</f>
        <v>0</v>
      </c>
      <c r="N31" s="554">
        <f t="shared" si="15"/>
        <v>0</v>
      </c>
      <c r="O31" s="554">
        <f t="shared" si="15"/>
        <v>0</v>
      </c>
      <c r="P31" s="554">
        <f t="shared" si="15"/>
        <v>0</v>
      </c>
      <c r="Q31" s="554">
        <f t="shared" si="15"/>
        <v>0</v>
      </c>
      <c r="R31" s="554">
        <f t="shared" si="15"/>
        <v>0</v>
      </c>
      <c r="S31" s="554">
        <f t="shared" si="15"/>
        <v>0</v>
      </c>
      <c r="T31" s="554">
        <f t="shared" si="15"/>
        <v>0</v>
      </c>
      <c r="U31" s="554">
        <f t="shared" si="15"/>
        <v>0</v>
      </c>
      <c r="V31" s="554">
        <f t="shared" si="15"/>
        <v>0</v>
      </c>
      <c r="W31" s="554">
        <f t="shared" si="6"/>
        <v>0</v>
      </c>
    </row>
    <row r="32" spans="1:23" ht="45" x14ac:dyDescent="0.2">
      <c r="A32" s="533"/>
      <c r="B32" s="1184"/>
      <c r="C32" s="555"/>
      <c r="D32" s="556">
        <v>2710</v>
      </c>
      <c r="E32" s="557" t="s">
        <v>189</v>
      </c>
      <c r="F32" s="558">
        <v>10000</v>
      </c>
      <c r="G32" s="559">
        <v>10000</v>
      </c>
      <c r="H32" s="560">
        <f>G32/F32</f>
        <v>1</v>
      </c>
      <c r="I32" s="559">
        <v>10000</v>
      </c>
      <c r="J32" s="561">
        <v>0</v>
      </c>
      <c r="K32" s="325">
        <f t="shared" si="9"/>
        <v>0</v>
      </c>
      <c r="L32" s="562"/>
      <c r="M32" s="505"/>
      <c r="N32" s="505"/>
      <c r="O32" s="506"/>
      <c r="P32" s="505"/>
      <c r="Q32" s="505"/>
      <c r="R32" s="506"/>
      <c r="S32" s="506"/>
      <c r="T32" s="506"/>
      <c r="U32" s="506"/>
      <c r="V32" s="506"/>
      <c r="W32" s="506">
        <f t="shared" si="6"/>
        <v>0</v>
      </c>
    </row>
    <row r="33" spans="1:23" ht="45" x14ac:dyDescent="0.2">
      <c r="A33" s="533"/>
      <c r="B33" s="1185"/>
      <c r="C33" s="394"/>
      <c r="D33" s="563">
        <v>6300</v>
      </c>
      <c r="E33" s="557" t="s">
        <v>190</v>
      </c>
      <c r="F33" s="564">
        <v>100000</v>
      </c>
      <c r="G33" s="565">
        <v>0</v>
      </c>
      <c r="H33" s="566">
        <f t="shared" si="0"/>
        <v>0</v>
      </c>
      <c r="I33" s="565">
        <v>0</v>
      </c>
      <c r="J33" s="567">
        <v>0</v>
      </c>
      <c r="K33" s="1075">
        <f t="shared" si="9"/>
        <v>0</v>
      </c>
      <c r="L33" s="562"/>
      <c r="M33" s="505"/>
      <c r="N33" s="505"/>
      <c r="O33" s="506"/>
      <c r="P33" s="505"/>
      <c r="Q33" s="505"/>
      <c r="R33" s="506"/>
      <c r="S33" s="506"/>
      <c r="T33" s="506"/>
      <c r="U33" s="506"/>
      <c r="V33" s="506"/>
      <c r="W33" s="506">
        <f t="shared" si="6"/>
        <v>0</v>
      </c>
    </row>
    <row r="34" spans="1:23" x14ac:dyDescent="0.2">
      <c r="A34" s="35"/>
      <c r="B34" s="152">
        <v>60016</v>
      </c>
      <c r="C34" s="234"/>
      <c r="D34" s="71"/>
      <c r="E34" s="568" t="s">
        <v>31</v>
      </c>
      <c r="F34" s="569">
        <f>SUM(F35:F40)</f>
        <v>1365387</v>
      </c>
      <c r="G34" s="570">
        <f>SUM(G35:G40)</f>
        <v>430116.12000000005</v>
      </c>
      <c r="H34" s="404">
        <f t="shared" si="0"/>
        <v>0.31501407293316847</v>
      </c>
      <c r="I34" s="571">
        <f>SUM(I35:I40)</f>
        <v>1036834.44</v>
      </c>
      <c r="J34" s="157">
        <f>SUM(J35:J40)</f>
        <v>645390</v>
      </c>
      <c r="K34" s="1076">
        <f t="shared" si="9"/>
        <v>0.47267917447580798</v>
      </c>
      <c r="L34" s="1088"/>
      <c r="M34" s="572">
        <f t="shared" ref="M34:V34" si="16">SUM(M35:M40)</f>
        <v>22400</v>
      </c>
      <c r="N34" s="572">
        <f t="shared" si="16"/>
        <v>0</v>
      </c>
      <c r="O34" s="572">
        <f t="shared" si="16"/>
        <v>6000</v>
      </c>
      <c r="P34" s="572"/>
      <c r="Q34" s="572"/>
      <c r="R34" s="572">
        <f t="shared" si="16"/>
        <v>0</v>
      </c>
      <c r="S34" s="572">
        <f t="shared" si="16"/>
        <v>0</v>
      </c>
      <c r="T34" s="572">
        <f t="shared" si="16"/>
        <v>616990</v>
      </c>
      <c r="U34" s="572">
        <f t="shared" si="16"/>
        <v>0</v>
      </c>
      <c r="V34" s="572">
        <f t="shared" si="16"/>
        <v>0</v>
      </c>
      <c r="W34" s="572">
        <f t="shared" si="6"/>
        <v>645390</v>
      </c>
    </row>
    <row r="35" spans="1:23" ht="39" x14ac:dyDescent="0.2">
      <c r="A35" s="79"/>
      <c r="B35" s="79"/>
      <c r="C35" s="107"/>
      <c r="D35" s="514">
        <v>4210</v>
      </c>
      <c r="E35" s="109" t="s">
        <v>176</v>
      </c>
      <c r="F35" s="573">
        <v>120395</v>
      </c>
      <c r="G35" s="141">
        <v>50057.440000000002</v>
      </c>
      <c r="H35" s="142">
        <f t="shared" si="0"/>
        <v>0.41577673491424066</v>
      </c>
      <c r="I35" s="85">
        <v>100057.44</v>
      </c>
      <c r="J35" s="86">
        <v>89400</v>
      </c>
      <c r="K35" s="1077">
        <f t="shared" si="4"/>
        <v>0.74255575397649409</v>
      </c>
      <c r="L35" s="513" t="s">
        <v>191</v>
      </c>
      <c r="M35" s="505">
        <v>13400</v>
      </c>
      <c r="N35" s="505"/>
      <c r="O35" s="506">
        <v>6000</v>
      </c>
      <c r="P35" s="505"/>
      <c r="Q35" s="505"/>
      <c r="R35" s="506"/>
      <c r="S35" s="506"/>
      <c r="T35" s="506">
        <v>70000</v>
      </c>
      <c r="U35" s="506"/>
      <c r="V35" s="506"/>
      <c r="W35" s="506">
        <f t="shared" si="6"/>
        <v>89400</v>
      </c>
    </row>
    <row r="36" spans="1:23" x14ac:dyDescent="0.2">
      <c r="A36" s="79"/>
      <c r="B36" s="79"/>
      <c r="C36" s="253"/>
      <c r="D36" s="516">
        <v>4270</v>
      </c>
      <c r="E36" s="160" t="s">
        <v>192</v>
      </c>
      <c r="F36" s="185">
        <v>128000</v>
      </c>
      <c r="G36" s="83">
        <v>108731.06</v>
      </c>
      <c r="H36" s="142">
        <f t="shared" si="0"/>
        <v>0.84946140625</v>
      </c>
      <c r="I36" s="85">
        <v>128000</v>
      </c>
      <c r="J36" s="86">
        <v>100000</v>
      </c>
      <c r="K36" s="1077">
        <f t="shared" si="4"/>
        <v>0.78125</v>
      </c>
      <c r="L36" s="513"/>
      <c r="M36" s="505"/>
      <c r="N36" s="505"/>
      <c r="O36" s="506"/>
      <c r="P36" s="505"/>
      <c r="Q36" s="505"/>
      <c r="R36" s="506"/>
      <c r="S36" s="506"/>
      <c r="T36" s="506">
        <v>100000</v>
      </c>
      <c r="U36" s="506"/>
      <c r="V36" s="506"/>
      <c r="W36" s="506">
        <f t="shared" si="6"/>
        <v>100000</v>
      </c>
    </row>
    <row r="37" spans="1:23" ht="19.5" x14ac:dyDescent="0.2">
      <c r="A37" s="79"/>
      <c r="B37" s="79"/>
      <c r="C37" s="303"/>
      <c r="D37" s="574">
        <v>4300</v>
      </c>
      <c r="E37" s="249" t="s">
        <v>177</v>
      </c>
      <c r="F37" s="250">
        <v>772607</v>
      </c>
      <c r="G37" s="141">
        <v>251425.04</v>
      </c>
      <c r="H37" s="142">
        <f t="shared" si="0"/>
        <v>0.32542423250112928</v>
      </c>
      <c r="I37" s="143">
        <v>501607</v>
      </c>
      <c r="J37" s="144">
        <v>414000</v>
      </c>
      <c r="K37" s="1077">
        <f t="shared" si="4"/>
        <v>0.53584810906450497</v>
      </c>
      <c r="L37" s="513" t="s">
        <v>193</v>
      </c>
      <c r="M37" s="505">
        <v>9000</v>
      </c>
      <c r="N37" s="505"/>
      <c r="O37" s="506"/>
      <c r="P37" s="505"/>
      <c r="Q37" s="505"/>
      <c r="R37" s="506"/>
      <c r="S37" s="506"/>
      <c r="T37" s="506">
        <v>405000</v>
      </c>
      <c r="U37" s="506"/>
      <c r="V37" s="506"/>
      <c r="W37" s="506">
        <f t="shared" si="6"/>
        <v>414000</v>
      </c>
    </row>
    <row r="38" spans="1:23" ht="39" x14ac:dyDescent="0.2">
      <c r="A38" s="79"/>
      <c r="B38" s="79"/>
      <c r="C38" s="107"/>
      <c r="D38" s="514">
        <v>4430</v>
      </c>
      <c r="E38" s="109" t="s">
        <v>180</v>
      </c>
      <c r="F38" s="110">
        <v>14042</v>
      </c>
      <c r="G38" s="83">
        <v>11939.24</v>
      </c>
      <c r="H38" s="142">
        <f t="shared" si="0"/>
        <v>0.85025210084033609</v>
      </c>
      <c r="I38" s="85">
        <v>11939.24</v>
      </c>
      <c r="J38" s="86">
        <v>17270</v>
      </c>
      <c r="K38" s="1077">
        <f t="shared" si="4"/>
        <v>1.2298817832217632</v>
      </c>
      <c r="L38" s="513" t="s">
        <v>194</v>
      </c>
      <c r="M38" s="505"/>
      <c r="N38" s="505"/>
      <c r="O38" s="506"/>
      <c r="P38" s="505"/>
      <c r="Q38" s="505"/>
      <c r="R38" s="506"/>
      <c r="S38" s="506"/>
      <c r="T38" s="506">
        <v>17270</v>
      </c>
      <c r="U38" s="506"/>
      <c r="V38" s="506"/>
      <c r="W38" s="506">
        <f t="shared" si="6"/>
        <v>17270</v>
      </c>
    </row>
    <row r="39" spans="1:23" ht="22.5" x14ac:dyDescent="0.2">
      <c r="A39" s="79"/>
      <c r="B39" s="79"/>
      <c r="C39" s="80"/>
      <c r="D39" s="511">
        <v>4590</v>
      </c>
      <c r="E39" s="37" t="s">
        <v>195</v>
      </c>
      <c r="F39" s="82">
        <v>6000</v>
      </c>
      <c r="G39" s="83">
        <v>3425</v>
      </c>
      <c r="H39" s="142">
        <f t="shared" si="0"/>
        <v>0.5708333333333333</v>
      </c>
      <c r="I39" s="85">
        <v>3425</v>
      </c>
      <c r="J39" s="86">
        <v>0</v>
      </c>
      <c r="K39" s="1077">
        <f t="shared" si="4"/>
        <v>0</v>
      </c>
      <c r="L39" s="513"/>
      <c r="M39" s="505"/>
      <c r="N39" s="505"/>
      <c r="O39" s="506"/>
      <c r="P39" s="505"/>
      <c r="Q39" s="505"/>
      <c r="R39" s="506"/>
      <c r="S39" s="506"/>
      <c r="T39" s="506"/>
      <c r="U39" s="506"/>
      <c r="V39" s="506"/>
      <c r="W39" s="506">
        <f t="shared" si="6"/>
        <v>0</v>
      </c>
    </row>
    <row r="40" spans="1:23" x14ac:dyDescent="0.2">
      <c r="A40" s="79"/>
      <c r="B40" s="79"/>
      <c r="C40" s="253"/>
      <c r="D40" s="516">
        <v>6050</v>
      </c>
      <c r="E40" s="160" t="s">
        <v>182</v>
      </c>
      <c r="F40" s="185">
        <v>324343</v>
      </c>
      <c r="G40" s="83">
        <v>4538.34</v>
      </c>
      <c r="H40" s="142">
        <f t="shared" si="0"/>
        <v>1.3992409270432845E-2</v>
      </c>
      <c r="I40" s="85">
        <f>95519.73+62425.05+45860.98+58000+30000</f>
        <v>291805.76</v>
      </c>
      <c r="J40" s="86">
        <v>24720</v>
      </c>
      <c r="K40" s="1077">
        <f t="shared" si="4"/>
        <v>7.6215611251052126E-2</v>
      </c>
      <c r="L40" s="513"/>
      <c r="M40" s="505"/>
      <c r="N40" s="505"/>
      <c r="O40" s="506"/>
      <c r="P40" s="505"/>
      <c r="Q40" s="505"/>
      <c r="R40" s="506"/>
      <c r="S40" s="506"/>
      <c r="T40" s="506">
        <v>24720</v>
      </c>
      <c r="U40" s="506"/>
      <c r="V40" s="506"/>
      <c r="W40" s="506">
        <f t="shared" si="6"/>
        <v>24720</v>
      </c>
    </row>
    <row r="41" spans="1:23" x14ac:dyDescent="0.2">
      <c r="A41" s="531">
        <v>630</v>
      </c>
      <c r="B41" s="145"/>
      <c r="C41" s="145"/>
      <c r="D41" s="192"/>
      <c r="E41" s="193" t="s">
        <v>37</v>
      </c>
      <c r="F41" s="575">
        <f>F42</f>
        <v>1158412.99</v>
      </c>
      <c r="G41" s="196">
        <f>G42</f>
        <v>1109412.97</v>
      </c>
      <c r="H41" s="195">
        <f t="shared" si="0"/>
        <v>0.95770073331101024</v>
      </c>
      <c r="I41" s="196">
        <f>I42</f>
        <v>1128412.98</v>
      </c>
      <c r="J41" s="197">
        <f>J42</f>
        <v>15000</v>
      </c>
      <c r="K41" s="1111">
        <f>J41/F41</f>
        <v>1.29487498236704E-2</v>
      </c>
      <c r="L41" s="1105">
        <f t="shared" ref="L41:V41" si="17">L42</f>
        <v>0</v>
      </c>
      <c r="M41" s="576">
        <f t="shared" si="17"/>
        <v>0</v>
      </c>
      <c r="N41" s="576">
        <f t="shared" si="17"/>
        <v>0</v>
      </c>
      <c r="O41" s="576">
        <f t="shared" si="17"/>
        <v>0</v>
      </c>
      <c r="P41" s="576">
        <f t="shared" si="17"/>
        <v>0</v>
      </c>
      <c r="Q41" s="576">
        <f t="shared" si="17"/>
        <v>0</v>
      </c>
      <c r="R41" s="576">
        <f t="shared" si="17"/>
        <v>0</v>
      </c>
      <c r="S41" s="576">
        <f t="shared" si="17"/>
        <v>0</v>
      </c>
      <c r="T41" s="576">
        <f t="shared" si="17"/>
        <v>15000</v>
      </c>
      <c r="U41" s="576">
        <f t="shared" si="17"/>
        <v>0</v>
      </c>
      <c r="V41" s="576">
        <f t="shared" si="17"/>
        <v>0</v>
      </c>
      <c r="W41" s="576">
        <f t="shared" si="6"/>
        <v>15000</v>
      </c>
    </row>
    <row r="42" spans="1:23" x14ac:dyDescent="0.2">
      <c r="A42" s="35"/>
      <c r="B42" s="290">
        <v>63095</v>
      </c>
      <c r="C42" s="295"/>
      <c r="D42" s="296"/>
      <c r="E42" s="297" t="s">
        <v>23</v>
      </c>
      <c r="F42" s="347">
        <f>SUM(F43:F47)</f>
        <v>1158412.99</v>
      </c>
      <c r="G42" s="300">
        <f>SUM(G43:G47)</f>
        <v>1109412.97</v>
      </c>
      <c r="H42" s="299">
        <f t="shared" si="0"/>
        <v>0.95770073331101024</v>
      </c>
      <c r="I42" s="300">
        <f>SUM(I43:I47)</f>
        <v>1128412.98</v>
      </c>
      <c r="J42" s="301">
        <f>SUM(J43:J47)</f>
        <v>15000</v>
      </c>
      <c r="K42" s="1098">
        <f>J42/F42</f>
        <v>1.29487498236704E-2</v>
      </c>
      <c r="L42" s="701">
        <f t="shared" ref="L42:V42" si="18">SUM(L43:L47)</f>
        <v>0</v>
      </c>
      <c r="M42" s="578">
        <f t="shared" si="18"/>
        <v>0</v>
      </c>
      <c r="N42" s="578">
        <f t="shared" si="18"/>
        <v>0</v>
      </c>
      <c r="O42" s="578">
        <f t="shared" si="18"/>
        <v>0</v>
      </c>
      <c r="P42" s="578">
        <f t="shared" si="18"/>
        <v>0</v>
      </c>
      <c r="Q42" s="578">
        <f t="shared" si="18"/>
        <v>0</v>
      </c>
      <c r="R42" s="578">
        <f t="shared" si="18"/>
        <v>0</v>
      </c>
      <c r="S42" s="578">
        <f t="shared" si="18"/>
        <v>0</v>
      </c>
      <c r="T42" s="578">
        <f t="shared" si="18"/>
        <v>15000</v>
      </c>
      <c r="U42" s="578">
        <f t="shared" si="18"/>
        <v>0</v>
      </c>
      <c r="V42" s="578">
        <f t="shared" si="18"/>
        <v>0</v>
      </c>
      <c r="W42" s="578">
        <f t="shared" si="6"/>
        <v>15000</v>
      </c>
    </row>
    <row r="43" spans="1:23" ht="29.25" x14ac:dyDescent="0.2">
      <c r="A43" s="35"/>
      <c r="B43" s="1155"/>
      <c r="C43" s="584"/>
      <c r="D43" s="574">
        <v>4210</v>
      </c>
      <c r="E43" s="263" t="s">
        <v>176</v>
      </c>
      <c r="F43" s="586">
        <v>2669.97</v>
      </c>
      <c r="G43" s="587">
        <v>2669.96</v>
      </c>
      <c r="H43" s="1140">
        <f>G43/F43</f>
        <v>0.99999625463956532</v>
      </c>
      <c r="I43" s="588">
        <v>2669.96</v>
      </c>
      <c r="J43" s="1141">
        <v>0</v>
      </c>
      <c r="K43" s="611">
        <f t="shared" si="4"/>
        <v>0</v>
      </c>
      <c r="L43" s="582" t="s">
        <v>196</v>
      </c>
      <c r="M43" s="505"/>
      <c r="N43" s="505"/>
      <c r="O43" s="506"/>
      <c r="P43" s="505"/>
      <c r="Q43" s="505"/>
      <c r="R43" s="506"/>
      <c r="S43" s="506"/>
      <c r="T43" s="506">
        <v>0</v>
      </c>
      <c r="U43" s="506"/>
      <c r="V43" s="506"/>
      <c r="W43" s="506">
        <f t="shared" ref="W43:W74" si="19">SUM(M43:V43)</f>
        <v>0</v>
      </c>
    </row>
    <row r="44" spans="1:23" x14ac:dyDescent="0.2">
      <c r="A44" s="35"/>
      <c r="B44" s="583"/>
      <c r="C44" s="584"/>
      <c r="D44" s="585">
        <v>4300</v>
      </c>
      <c r="E44" s="160" t="s">
        <v>177</v>
      </c>
      <c r="F44" s="586">
        <v>7024</v>
      </c>
      <c r="G44" s="587">
        <v>23.99</v>
      </c>
      <c r="H44" s="1133">
        <f t="shared" ref="H44:H47" si="20">G44/F44</f>
        <v>3.4154328018223233E-3</v>
      </c>
      <c r="I44" s="588">
        <v>7024</v>
      </c>
      <c r="J44" s="580">
        <v>15000</v>
      </c>
      <c r="K44" s="581">
        <f t="shared" si="4"/>
        <v>2.1355353075170842</v>
      </c>
      <c r="L44" s="527"/>
      <c r="M44" s="505"/>
      <c r="N44" s="505"/>
      <c r="O44" s="506"/>
      <c r="P44" s="505"/>
      <c r="Q44" s="505"/>
      <c r="R44" s="506"/>
      <c r="S44" s="506"/>
      <c r="T44" s="506">
        <v>15000</v>
      </c>
      <c r="U44" s="506"/>
      <c r="V44" s="506"/>
      <c r="W44" s="506">
        <f t="shared" si="19"/>
        <v>15000</v>
      </c>
    </row>
    <row r="45" spans="1:23" x14ac:dyDescent="0.2">
      <c r="A45" s="35"/>
      <c r="B45" s="583"/>
      <c r="C45" s="589"/>
      <c r="D45" s="616">
        <v>6050</v>
      </c>
      <c r="E45" s="263" t="s">
        <v>182</v>
      </c>
      <c r="F45" s="586">
        <v>61800</v>
      </c>
      <c r="G45" s="587">
        <v>19800</v>
      </c>
      <c r="H45" s="1140">
        <f t="shared" si="20"/>
        <v>0.32038834951456313</v>
      </c>
      <c r="I45" s="588">
        <v>31800</v>
      </c>
      <c r="J45" s="1141">
        <v>0</v>
      </c>
      <c r="K45" s="611">
        <f t="shared" si="4"/>
        <v>0</v>
      </c>
      <c r="L45" s="527"/>
      <c r="M45" s="505"/>
      <c r="N45" s="505"/>
      <c r="O45" s="506"/>
      <c r="P45" s="505"/>
      <c r="Q45" s="505"/>
      <c r="R45" s="506"/>
      <c r="S45" s="506"/>
      <c r="T45" s="506"/>
      <c r="U45" s="506"/>
      <c r="V45" s="506"/>
      <c r="W45" s="506">
        <f t="shared" si="19"/>
        <v>0</v>
      </c>
    </row>
    <row r="46" spans="1:23" x14ac:dyDescent="0.2">
      <c r="A46" s="79"/>
      <c r="B46" s="79"/>
      <c r="C46" s="107"/>
      <c r="D46" s="514">
        <v>6058</v>
      </c>
      <c r="E46" s="109" t="s">
        <v>182</v>
      </c>
      <c r="F46" s="573">
        <v>559517.17000000004</v>
      </c>
      <c r="G46" s="141">
        <v>559517.17000000004</v>
      </c>
      <c r="H46" s="579">
        <f t="shared" si="20"/>
        <v>1</v>
      </c>
      <c r="I46" s="143">
        <v>559517.17000000004</v>
      </c>
      <c r="J46" s="86">
        <v>0</v>
      </c>
      <c r="K46" s="581">
        <f t="shared" si="4"/>
        <v>0</v>
      </c>
      <c r="L46" s="513"/>
      <c r="M46" s="505"/>
      <c r="N46" s="505"/>
      <c r="O46" s="506"/>
      <c r="P46" s="505"/>
      <c r="Q46" s="505"/>
      <c r="R46" s="506"/>
      <c r="S46" s="506"/>
      <c r="T46" s="506"/>
      <c r="U46" s="506"/>
      <c r="V46" s="506"/>
      <c r="W46" s="506">
        <f t="shared" si="19"/>
        <v>0</v>
      </c>
    </row>
    <row r="47" spans="1:23" x14ac:dyDescent="0.2">
      <c r="A47" s="206"/>
      <c r="B47" s="206"/>
      <c r="C47" s="253"/>
      <c r="D47" s="516">
        <v>6059</v>
      </c>
      <c r="E47" s="160" t="s">
        <v>182</v>
      </c>
      <c r="F47" s="161">
        <v>527401.85</v>
      </c>
      <c r="G47" s="83">
        <v>527401.85</v>
      </c>
      <c r="H47" s="1133">
        <f t="shared" si="20"/>
        <v>1</v>
      </c>
      <c r="I47" s="85">
        <v>527401.85</v>
      </c>
      <c r="J47" s="86">
        <v>0</v>
      </c>
      <c r="K47" s="581">
        <f t="shared" si="4"/>
        <v>0</v>
      </c>
      <c r="L47" s="513"/>
      <c r="M47" s="505"/>
      <c r="N47" s="505"/>
      <c r="O47" s="506"/>
      <c r="P47" s="505"/>
      <c r="Q47" s="505"/>
      <c r="R47" s="506"/>
      <c r="S47" s="506"/>
      <c r="T47" s="506"/>
      <c r="U47" s="506"/>
      <c r="V47" s="506"/>
      <c r="W47" s="506">
        <f t="shared" si="19"/>
        <v>0</v>
      </c>
    </row>
    <row r="48" spans="1:23" x14ac:dyDescent="0.2">
      <c r="A48" s="618">
        <v>700</v>
      </c>
      <c r="B48" s="15"/>
      <c r="C48" s="15"/>
      <c r="D48" s="16"/>
      <c r="E48" s="17" t="s">
        <v>39</v>
      </c>
      <c r="F48" s="18">
        <f>F49+F51</f>
        <v>1197499.81</v>
      </c>
      <c r="G48" s="20">
        <f>G49+G51</f>
        <v>858810.55999999994</v>
      </c>
      <c r="H48" s="19">
        <f t="shared" si="0"/>
        <v>0.7171696837262963</v>
      </c>
      <c r="I48" s="20">
        <f>I49+I51</f>
        <v>1167223.82</v>
      </c>
      <c r="J48" s="21">
        <f>J49+J51</f>
        <v>2035593.82</v>
      </c>
      <c r="K48" s="1083">
        <f>J48/F48</f>
        <v>1.699869847996051</v>
      </c>
      <c r="L48" s="1117"/>
      <c r="M48" s="519">
        <f t="shared" ref="M48:V48" si="21">M49+M51</f>
        <v>0</v>
      </c>
      <c r="N48" s="519">
        <f t="shared" si="21"/>
        <v>0</v>
      </c>
      <c r="O48" s="519">
        <f t="shared" si="21"/>
        <v>1496150</v>
      </c>
      <c r="P48" s="519">
        <f t="shared" si="21"/>
        <v>0</v>
      </c>
      <c r="Q48" s="519">
        <f t="shared" si="21"/>
        <v>0</v>
      </c>
      <c r="R48" s="519">
        <f t="shared" si="21"/>
        <v>427443.81999999995</v>
      </c>
      <c r="S48" s="519">
        <f t="shared" si="21"/>
        <v>0</v>
      </c>
      <c r="T48" s="519">
        <f t="shared" si="21"/>
        <v>0</v>
      </c>
      <c r="U48" s="519">
        <f t="shared" si="21"/>
        <v>0</v>
      </c>
      <c r="V48" s="519">
        <f t="shared" si="21"/>
        <v>112000</v>
      </c>
      <c r="W48" s="519">
        <f t="shared" si="19"/>
        <v>2035593.8199999998</v>
      </c>
    </row>
    <row r="49" spans="1:23" x14ac:dyDescent="0.2">
      <c r="A49" s="35"/>
      <c r="B49" s="310">
        <v>70001</v>
      </c>
      <c r="C49" s="311"/>
      <c r="D49" s="312"/>
      <c r="E49" s="313" t="s">
        <v>197</v>
      </c>
      <c r="F49" s="399">
        <f>F50</f>
        <v>370321</v>
      </c>
      <c r="G49" s="388">
        <f>G50</f>
        <v>250986.35</v>
      </c>
      <c r="H49" s="315">
        <f t="shared" si="0"/>
        <v>0.67775348954015568</v>
      </c>
      <c r="I49" s="388">
        <f>I50</f>
        <v>370321</v>
      </c>
      <c r="J49" s="389">
        <f>J50</f>
        <v>427343.82</v>
      </c>
      <c r="K49" s="1086">
        <f>J49/F49</f>
        <v>1.153982139819238</v>
      </c>
      <c r="L49" s="1080"/>
      <c r="M49" s="510">
        <f t="shared" ref="M49:V49" si="22">M50</f>
        <v>0</v>
      </c>
      <c r="N49" s="510">
        <f t="shared" si="22"/>
        <v>0</v>
      </c>
      <c r="O49" s="510">
        <f t="shared" si="22"/>
        <v>0</v>
      </c>
      <c r="P49" s="510">
        <f t="shared" si="22"/>
        <v>0</v>
      </c>
      <c r="Q49" s="510">
        <f t="shared" si="22"/>
        <v>0</v>
      </c>
      <c r="R49" s="510">
        <f t="shared" si="22"/>
        <v>427343.81999999995</v>
      </c>
      <c r="S49" s="510">
        <f t="shared" si="22"/>
        <v>0</v>
      </c>
      <c r="T49" s="510">
        <f t="shared" si="22"/>
        <v>0</v>
      </c>
      <c r="U49" s="510">
        <f t="shared" si="22"/>
        <v>0</v>
      </c>
      <c r="V49" s="510">
        <f t="shared" si="22"/>
        <v>0</v>
      </c>
      <c r="W49" s="510">
        <f t="shared" si="19"/>
        <v>427343.81999999995</v>
      </c>
    </row>
    <row r="50" spans="1:23" ht="22.5" x14ac:dyDescent="0.2">
      <c r="A50" s="79"/>
      <c r="B50" s="79"/>
      <c r="C50" s="79"/>
      <c r="D50" s="616">
        <v>2650</v>
      </c>
      <c r="E50" s="169" t="s">
        <v>198</v>
      </c>
      <c r="F50" s="349">
        <v>370321</v>
      </c>
      <c r="G50" s="141">
        <v>250986.35</v>
      </c>
      <c r="H50" s="142">
        <f t="shared" si="0"/>
        <v>0.67775348954015568</v>
      </c>
      <c r="I50" s="143">
        <v>370321</v>
      </c>
      <c r="J50" s="144">
        <v>427343.82</v>
      </c>
      <c r="K50" s="591">
        <f t="shared" si="4"/>
        <v>1.153982139819238</v>
      </c>
      <c r="L50" s="513"/>
      <c r="M50" s="505"/>
      <c r="N50" s="505"/>
      <c r="O50" s="506"/>
      <c r="P50" s="505"/>
      <c r="Q50" s="505"/>
      <c r="R50" s="506">
        <f>974717.08-547373.26</f>
        <v>427343.81999999995</v>
      </c>
      <c r="S50" s="506"/>
      <c r="T50" s="506"/>
      <c r="U50" s="506"/>
      <c r="V50" s="506"/>
      <c r="W50" s="506">
        <f t="shared" si="19"/>
        <v>427343.81999999995</v>
      </c>
    </row>
    <row r="51" spans="1:23" x14ac:dyDescent="0.2">
      <c r="A51" s="79"/>
      <c r="B51" s="118">
        <v>70005</v>
      </c>
      <c r="C51" s="70"/>
      <c r="D51" s="103"/>
      <c r="E51" s="72" t="s">
        <v>40</v>
      </c>
      <c r="F51" s="593">
        <f>SUM(F52:F64)</f>
        <v>827178.81</v>
      </c>
      <c r="G51" s="593">
        <f>SUM(G52:G64)</f>
        <v>607824.21</v>
      </c>
      <c r="H51" s="242">
        <f t="shared" si="0"/>
        <v>0.73481598253224101</v>
      </c>
      <c r="I51" s="243">
        <f>SUM(I52:I64)</f>
        <v>796902.82000000007</v>
      </c>
      <c r="J51" s="452">
        <f>SUM(J52:J64)</f>
        <v>1608250</v>
      </c>
      <c r="K51" s="1129">
        <f>J51/F51</f>
        <v>1.9442591862332643</v>
      </c>
      <c r="L51" s="1121"/>
      <c r="M51" s="594">
        <f t="shared" ref="M51:V51" si="23">SUM(M52:M64)</f>
        <v>0</v>
      </c>
      <c r="N51" s="594">
        <f t="shared" si="23"/>
        <v>0</v>
      </c>
      <c r="O51" s="594">
        <f t="shared" si="23"/>
        <v>1496150</v>
      </c>
      <c r="P51" s="594">
        <f t="shared" si="23"/>
        <v>0</v>
      </c>
      <c r="Q51" s="594">
        <f t="shared" si="23"/>
        <v>0</v>
      </c>
      <c r="R51" s="594">
        <f t="shared" si="23"/>
        <v>100</v>
      </c>
      <c r="S51" s="594">
        <f t="shared" si="23"/>
        <v>0</v>
      </c>
      <c r="T51" s="594">
        <f t="shared" si="23"/>
        <v>0</v>
      </c>
      <c r="U51" s="594">
        <f t="shared" si="23"/>
        <v>0</v>
      </c>
      <c r="V51" s="594">
        <f t="shared" si="23"/>
        <v>112000</v>
      </c>
      <c r="W51" s="594">
        <f t="shared" si="19"/>
        <v>1608250</v>
      </c>
    </row>
    <row r="52" spans="1:23" x14ac:dyDescent="0.2">
      <c r="A52" s="79"/>
      <c r="B52" s="352"/>
      <c r="C52" s="353"/>
      <c r="D52" s="514">
        <v>4260</v>
      </c>
      <c r="E52" s="261" t="s">
        <v>185</v>
      </c>
      <c r="F52" s="454">
        <v>24022.81</v>
      </c>
      <c r="G52" s="321">
        <v>1971.02</v>
      </c>
      <c r="H52" s="322">
        <f>G52/F52</f>
        <v>8.2047853685726188E-2</v>
      </c>
      <c r="I52" s="455">
        <v>24022.81</v>
      </c>
      <c r="J52" s="50">
        <v>50000</v>
      </c>
      <c r="K52" s="595">
        <f>J52/F52</f>
        <v>2.0813551786822608</v>
      </c>
      <c r="L52" s="596" t="s">
        <v>199</v>
      </c>
      <c r="M52" s="505"/>
      <c r="N52" s="505"/>
      <c r="O52" s="506"/>
      <c r="P52" s="505"/>
      <c r="Q52" s="505"/>
      <c r="R52" s="506"/>
      <c r="S52" s="506"/>
      <c r="T52" s="506"/>
      <c r="U52" s="506"/>
      <c r="V52" s="506">
        <v>50000</v>
      </c>
      <c r="W52" s="506">
        <f t="shared" si="19"/>
        <v>50000</v>
      </c>
    </row>
    <row r="53" spans="1:23" x14ac:dyDescent="0.2">
      <c r="A53" s="79"/>
      <c r="B53" s="352"/>
      <c r="C53" s="353"/>
      <c r="D53" s="511">
        <v>4270</v>
      </c>
      <c r="E53" s="597" t="s">
        <v>200</v>
      </c>
      <c r="F53" s="598">
        <v>65000</v>
      </c>
      <c r="G53" s="599">
        <v>0</v>
      </c>
      <c r="H53" s="322">
        <f t="shared" ref="H53:H64" si="24">G53/F53</f>
        <v>0</v>
      </c>
      <c r="I53" s="455">
        <f>15000+49959.48</f>
        <v>64959.48</v>
      </c>
      <c r="J53" s="50">
        <v>50000</v>
      </c>
      <c r="K53" s="595">
        <f t="shared" ref="K53:K64" si="25">J53/F53</f>
        <v>0.76923076923076927</v>
      </c>
      <c r="L53" s="596" t="s">
        <v>199</v>
      </c>
      <c r="M53" s="505"/>
      <c r="N53" s="505"/>
      <c r="O53" s="506"/>
      <c r="P53" s="505"/>
      <c r="Q53" s="505"/>
      <c r="R53" s="506"/>
      <c r="S53" s="506"/>
      <c r="T53" s="506"/>
      <c r="U53" s="506"/>
      <c r="V53" s="506">
        <v>50000</v>
      </c>
      <c r="W53" s="506">
        <f t="shared" si="19"/>
        <v>50000</v>
      </c>
    </row>
    <row r="54" spans="1:23" ht="29.25" x14ac:dyDescent="0.2">
      <c r="A54" s="79"/>
      <c r="B54" s="79"/>
      <c r="C54" s="253"/>
      <c r="D54" s="516">
        <v>4300</v>
      </c>
      <c r="E54" s="160" t="s">
        <v>177</v>
      </c>
      <c r="F54" s="164">
        <v>110300</v>
      </c>
      <c r="G54" s="141">
        <v>88607.28</v>
      </c>
      <c r="H54" s="322">
        <f t="shared" si="24"/>
        <v>0.80332982774252037</v>
      </c>
      <c r="I54" s="143">
        <v>110300</v>
      </c>
      <c r="J54" s="600">
        <v>122000</v>
      </c>
      <c r="K54" s="595">
        <f t="shared" si="25"/>
        <v>1.1060743427017226</v>
      </c>
      <c r="L54" s="602" t="s">
        <v>201</v>
      </c>
      <c r="M54" s="505"/>
      <c r="N54" s="505"/>
      <c r="O54" s="506">
        <v>110000</v>
      </c>
      <c r="P54" s="505"/>
      <c r="Q54" s="505"/>
      <c r="R54" s="506"/>
      <c r="S54" s="506"/>
      <c r="T54" s="506"/>
      <c r="U54" s="506"/>
      <c r="V54" s="506">
        <v>12000</v>
      </c>
      <c r="W54" s="506">
        <f t="shared" si="19"/>
        <v>122000</v>
      </c>
    </row>
    <row r="55" spans="1:23" x14ac:dyDescent="0.2">
      <c r="A55" s="79"/>
      <c r="B55" s="79"/>
      <c r="C55" s="303"/>
      <c r="D55" s="574">
        <v>4430</v>
      </c>
      <c r="E55" s="249" t="s">
        <v>180</v>
      </c>
      <c r="F55" s="573">
        <v>4000</v>
      </c>
      <c r="G55" s="141">
        <v>1657</v>
      </c>
      <c r="H55" s="322">
        <f t="shared" si="24"/>
        <v>0.41425000000000001</v>
      </c>
      <c r="I55" s="143">
        <v>2017</v>
      </c>
      <c r="J55" s="603">
        <v>3000</v>
      </c>
      <c r="K55" s="595">
        <f t="shared" si="25"/>
        <v>0.75</v>
      </c>
      <c r="L55" s="604"/>
      <c r="M55" s="505"/>
      <c r="N55" s="505"/>
      <c r="O55" s="605">
        <v>3000</v>
      </c>
      <c r="P55" s="606"/>
      <c r="Q55" s="606"/>
      <c r="R55" s="506"/>
      <c r="S55" s="506"/>
      <c r="T55" s="506"/>
      <c r="U55" s="506"/>
      <c r="V55" s="506"/>
      <c r="W55" s="506">
        <f t="shared" si="19"/>
        <v>3000</v>
      </c>
    </row>
    <row r="56" spans="1:23" x14ac:dyDescent="0.2">
      <c r="A56" s="79"/>
      <c r="B56" s="79"/>
      <c r="C56" s="253"/>
      <c r="D56" s="516">
        <v>4480</v>
      </c>
      <c r="E56" s="160" t="s">
        <v>65</v>
      </c>
      <c r="F56" s="161">
        <v>392000</v>
      </c>
      <c r="G56" s="83">
        <v>371357</v>
      </c>
      <c r="H56" s="322">
        <f t="shared" si="24"/>
        <v>0.94733928571428572</v>
      </c>
      <c r="I56" s="85">
        <v>371357</v>
      </c>
      <c r="J56" s="607">
        <v>392000</v>
      </c>
      <c r="K56" s="595">
        <f t="shared" si="25"/>
        <v>1</v>
      </c>
      <c r="L56" s="513"/>
      <c r="M56" s="505"/>
      <c r="N56" s="505"/>
      <c r="O56" s="608">
        <v>392000</v>
      </c>
      <c r="P56" s="505"/>
      <c r="Q56" s="505"/>
      <c r="R56" s="506"/>
      <c r="S56" s="506"/>
      <c r="T56" s="506"/>
      <c r="U56" s="506"/>
      <c r="V56" s="506"/>
      <c r="W56" s="506">
        <f t="shared" si="19"/>
        <v>392000</v>
      </c>
    </row>
    <row r="57" spans="1:23" ht="22.5" x14ac:dyDescent="0.2">
      <c r="A57" s="79"/>
      <c r="B57" s="79"/>
      <c r="C57" s="427"/>
      <c r="D57" s="609">
        <v>4500</v>
      </c>
      <c r="E57" s="166" t="s">
        <v>202</v>
      </c>
      <c r="F57" s="610">
        <v>600</v>
      </c>
      <c r="G57" s="83">
        <v>523</v>
      </c>
      <c r="H57" s="322">
        <f t="shared" si="24"/>
        <v>0.8716666666666667</v>
      </c>
      <c r="I57" s="85">
        <v>523</v>
      </c>
      <c r="J57" s="607">
        <v>550</v>
      </c>
      <c r="K57" s="595">
        <f t="shared" si="25"/>
        <v>0.91666666666666663</v>
      </c>
      <c r="L57" s="513"/>
      <c r="M57" s="505"/>
      <c r="N57" s="505"/>
      <c r="O57" s="608">
        <v>550</v>
      </c>
      <c r="P57" s="505"/>
      <c r="Q57" s="505"/>
      <c r="R57" s="506"/>
      <c r="S57" s="506"/>
      <c r="T57" s="506"/>
      <c r="U57" s="506"/>
      <c r="V57" s="506"/>
      <c r="W57" s="506">
        <f t="shared" si="19"/>
        <v>550</v>
      </c>
    </row>
    <row r="58" spans="1:23" ht="22.5" x14ac:dyDescent="0.2">
      <c r="A58" s="79"/>
      <c r="B58" s="79"/>
      <c r="C58" s="206"/>
      <c r="D58" s="391">
        <v>4520</v>
      </c>
      <c r="E58" s="163" t="s">
        <v>203</v>
      </c>
      <c r="F58" s="208">
        <v>3600</v>
      </c>
      <c r="G58" s="141">
        <v>3588.24</v>
      </c>
      <c r="H58" s="322">
        <f t="shared" si="24"/>
        <v>0.99673333333333325</v>
      </c>
      <c r="I58" s="143">
        <v>3588.34</v>
      </c>
      <c r="J58" s="603">
        <v>3600</v>
      </c>
      <c r="K58" s="595">
        <f t="shared" si="25"/>
        <v>1</v>
      </c>
      <c r="L58" s="604"/>
      <c r="M58" s="505"/>
      <c r="N58" s="505"/>
      <c r="O58" s="605">
        <v>3600</v>
      </c>
      <c r="P58" s="606"/>
      <c r="Q58" s="606"/>
      <c r="R58" s="506"/>
      <c r="S58" s="506"/>
      <c r="T58" s="506"/>
      <c r="U58" s="506"/>
      <c r="V58" s="506"/>
      <c r="W58" s="506">
        <f t="shared" si="19"/>
        <v>3600</v>
      </c>
    </row>
    <row r="59" spans="1:23" x14ac:dyDescent="0.2">
      <c r="A59" s="79"/>
      <c r="B59" s="612"/>
      <c r="C59" s="613"/>
      <c r="D59" s="391">
        <v>4530</v>
      </c>
      <c r="E59" s="90" t="s">
        <v>204</v>
      </c>
      <c r="F59" s="614">
        <v>100</v>
      </c>
      <c r="G59" s="141">
        <v>63.89</v>
      </c>
      <c r="H59" s="322">
        <f t="shared" si="24"/>
        <v>0.63890000000000002</v>
      </c>
      <c r="I59" s="143">
        <v>63.89</v>
      </c>
      <c r="J59" s="607">
        <v>100</v>
      </c>
      <c r="K59" s="595">
        <f t="shared" si="25"/>
        <v>1</v>
      </c>
      <c r="L59" s="604"/>
      <c r="M59" s="505"/>
      <c r="N59" s="505"/>
      <c r="O59" s="608">
        <v>0</v>
      </c>
      <c r="P59" s="505"/>
      <c r="Q59" s="505"/>
      <c r="R59" s="506">
        <v>100</v>
      </c>
      <c r="S59" s="506"/>
      <c r="T59" s="506"/>
      <c r="U59" s="506"/>
      <c r="V59" s="506"/>
      <c r="W59" s="506">
        <f t="shared" si="19"/>
        <v>100</v>
      </c>
    </row>
    <row r="60" spans="1:23" x14ac:dyDescent="0.2">
      <c r="A60" s="79"/>
      <c r="B60" s="79"/>
      <c r="C60" s="498"/>
      <c r="D60" s="615">
        <v>4580</v>
      </c>
      <c r="E60" s="90" t="s">
        <v>19</v>
      </c>
      <c r="F60" s="121">
        <v>5500</v>
      </c>
      <c r="G60" s="83">
        <v>5471.3</v>
      </c>
      <c r="H60" s="322">
        <f t="shared" si="24"/>
        <v>0.99478181818181821</v>
      </c>
      <c r="I60" s="85">
        <v>5471.3</v>
      </c>
      <c r="J60" s="607">
        <v>0</v>
      </c>
      <c r="K60" s="595">
        <f t="shared" si="25"/>
        <v>0</v>
      </c>
      <c r="L60" s="513"/>
      <c r="M60" s="505"/>
      <c r="N60" s="505"/>
      <c r="O60" s="608">
        <v>0</v>
      </c>
      <c r="P60" s="505"/>
      <c r="Q60" s="505"/>
      <c r="R60" s="506"/>
      <c r="S60" s="506"/>
      <c r="T60" s="506"/>
      <c r="U60" s="506"/>
      <c r="V60" s="506"/>
      <c r="W60" s="506">
        <f t="shared" si="19"/>
        <v>0</v>
      </c>
    </row>
    <row r="61" spans="1:23" ht="22.5" x14ac:dyDescent="0.2">
      <c r="A61" s="79"/>
      <c r="B61" s="79"/>
      <c r="C61" s="79"/>
      <c r="D61" s="616">
        <v>4590</v>
      </c>
      <c r="E61" s="169" t="s">
        <v>195</v>
      </c>
      <c r="F61" s="349">
        <v>80000</v>
      </c>
      <c r="G61" s="141">
        <v>22159.599999999999</v>
      </c>
      <c r="H61" s="322">
        <f t="shared" si="24"/>
        <v>0.27699499999999999</v>
      </c>
      <c r="I61" s="143">
        <v>80000</v>
      </c>
      <c r="J61" s="603">
        <v>50000</v>
      </c>
      <c r="K61" s="595">
        <f t="shared" si="25"/>
        <v>0.625</v>
      </c>
      <c r="L61" s="604"/>
      <c r="M61" s="505"/>
      <c r="N61" s="505"/>
      <c r="O61" s="605">
        <v>50000</v>
      </c>
      <c r="P61" s="606"/>
      <c r="Q61" s="606"/>
      <c r="R61" s="506"/>
      <c r="S61" s="506"/>
      <c r="T61" s="506"/>
      <c r="U61" s="506"/>
      <c r="V61" s="506"/>
      <c r="W61" s="506">
        <f t="shared" si="19"/>
        <v>50000</v>
      </c>
    </row>
    <row r="62" spans="1:23" ht="33.75" x14ac:dyDescent="0.2">
      <c r="A62" s="79"/>
      <c r="B62" s="79"/>
      <c r="C62" s="253"/>
      <c r="D62" s="516">
        <v>4600</v>
      </c>
      <c r="E62" s="160" t="s">
        <v>205</v>
      </c>
      <c r="F62" s="185">
        <v>130000</v>
      </c>
      <c r="G62" s="83">
        <v>107825.88</v>
      </c>
      <c r="H62" s="322">
        <f t="shared" si="24"/>
        <v>0.82942984615384618</v>
      </c>
      <c r="I62" s="85">
        <v>130000</v>
      </c>
      <c r="J62" s="607">
        <v>155000</v>
      </c>
      <c r="K62" s="595">
        <f t="shared" si="25"/>
        <v>1.1923076923076923</v>
      </c>
      <c r="L62" s="513"/>
      <c r="M62" s="505"/>
      <c r="N62" s="505"/>
      <c r="O62" s="608">
        <v>155000</v>
      </c>
      <c r="P62" s="505"/>
      <c r="Q62" s="505"/>
      <c r="R62" s="506"/>
      <c r="S62" s="506"/>
      <c r="T62" s="506"/>
      <c r="U62" s="506"/>
      <c r="V62" s="506"/>
      <c r="W62" s="506">
        <f t="shared" si="19"/>
        <v>155000</v>
      </c>
    </row>
    <row r="63" spans="1:23" ht="22.5" x14ac:dyDescent="0.2">
      <c r="A63" s="79"/>
      <c r="B63" s="79"/>
      <c r="C63" s="206"/>
      <c r="D63" s="391">
        <v>4610</v>
      </c>
      <c r="E63" s="163" t="s">
        <v>206</v>
      </c>
      <c r="F63" s="254">
        <v>5600</v>
      </c>
      <c r="G63" s="141">
        <v>3600</v>
      </c>
      <c r="H63" s="322">
        <f t="shared" si="24"/>
        <v>0.6428571428571429</v>
      </c>
      <c r="I63" s="143">
        <v>3600</v>
      </c>
      <c r="J63" s="603">
        <v>2000</v>
      </c>
      <c r="K63" s="595">
        <f t="shared" si="25"/>
        <v>0.35714285714285715</v>
      </c>
      <c r="L63" s="604"/>
      <c r="M63" s="505"/>
      <c r="N63" s="505"/>
      <c r="O63" s="605">
        <v>2000</v>
      </c>
      <c r="P63" s="606"/>
      <c r="Q63" s="606"/>
      <c r="R63" s="506"/>
      <c r="S63" s="506"/>
      <c r="T63" s="506"/>
      <c r="U63" s="506"/>
      <c r="V63" s="506"/>
      <c r="W63" s="506">
        <f t="shared" si="19"/>
        <v>2000</v>
      </c>
    </row>
    <row r="64" spans="1:23" ht="22.5" x14ac:dyDescent="0.2">
      <c r="A64" s="79"/>
      <c r="B64" s="79"/>
      <c r="C64" s="79"/>
      <c r="D64" s="616">
        <v>6060</v>
      </c>
      <c r="E64" s="169" t="s">
        <v>207</v>
      </c>
      <c r="F64" s="326">
        <v>6456</v>
      </c>
      <c r="G64" s="141">
        <v>1000</v>
      </c>
      <c r="H64" s="322">
        <f t="shared" si="24"/>
        <v>0.15489467162329615</v>
      </c>
      <c r="I64" s="143">
        <v>1000</v>
      </c>
      <c r="J64" s="603">
        <v>780000</v>
      </c>
      <c r="K64" s="595">
        <f t="shared" si="25"/>
        <v>120.817843866171</v>
      </c>
      <c r="L64" s="513" t="s">
        <v>208</v>
      </c>
      <c r="M64" s="505"/>
      <c r="N64" s="505"/>
      <c r="O64" s="605">
        <v>780000</v>
      </c>
      <c r="P64" s="606"/>
      <c r="Q64" s="606"/>
      <c r="R64" s="506"/>
      <c r="S64" s="506"/>
      <c r="T64" s="506"/>
      <c r="U64" s="506"/>
      <c r="V64" s="506"/>
      <c r="W64" s="506">
        <f t="shared" si="19"/>
        <v>780000</v>
      </c>
    </row>
    <row r="65" spans="1:23" x14ac:dyDescent="0.2">
      <c r="A65" s="531">
        <v>710</v>
      </c>
      <c r="B65" s="100"/>
      <c r="C65" s="100"/>
      <c r="D65" s="112"/>
      <c r="E65" s="113" t="s">
        <v>209</v>
      </c>
      <c r="F65" s="309">
        <f>F66+F69</f>
        <v>103150</v>
      </c>
      <c r="G65" s="115">
        <f>G66+G69</f>
        <v>22068.06</v>
      </c>
      <c r="H65" s="116">
        <f t="shared" si="0"/>
        <v>0.21394144449830346</v>
      </c>
      <c r="I65" s="115">
        <f>I66+I69</f>
        <v>98499.98</v>
      </c>
      <c r="J65" s="117">
        <f>J66+J69</f>
        <v>63150</v>
      </c>
      <c r="K65" s="1126">
        <f>J65/F65</f>
        <v>0.61221522055259336</v>
      </c>
      <c r="L65" s="1117"/>
      <c r="M65" s="519">
        <f t="shared" ref="M65:V65" si="26">M66+M69</f>
        <v>0</v>
      </c>
      <c r="N65" s="519">
        <f t="shared" si="26"/>
        <v>0</v>
      </c>
      <c r="O65" s="519">
        <f t="shared" si="26"/>
        <v>53150</v>
      </c>
      <c r="P65" s="519">
        <f t="shared" si="26"/>
        <v>0</v>
      </c>
      <c r="Q65" s="519">
        <f t="shared" si="26"/>
        <v>0</v>
      </c>
      <c r="R65" s="519">
        <f t="shared" si="26"/>
        <v>0</v>
      </c>
      <c r="S65" s="519">
        <f t="shared" si="26"/>
        <v>0</v>
      </c>
      <c r="T65" s="519">
        <f t="shared" si="26"/>
        <v>10000</v>
      </c>
      <c r="U65" s="519">
        <f t="shared" si="26"/>
        <v>0</v>
      </c>
      <c r="V65" s="519">
        <f t="shared" si="26"/>
        <v>0</v>
      </c>
      <c r="W65" s="519">
        <f t="shared" si="19"/>
        <v>63150</v>
      </c>
    </row>
    <row r="66" spans="1:23" x14ac:dyDescent="0.2">
      <c r="A66" s="35"/>
      <c r="B66" s="310">
        <v>71014</v>
      </c>
      <c r="C66" s="311"/>
      <c r="D66" s="312"/>
      <c r="E66" s="313" t="s">
        <v>210</v>
      </c>
      <c r="F66" s="399">
        <f>SUM(F67:F68)</f>
        <v>93150</v>
      </c>
      <c r="G66" s="388">
        <f>SUM(G67:G68)</f>
        <v>18568.080000000002</v>
      </c>
      <c r="H66" s="315">
        <f t="shared" si="0"/>
        <v>0.1993352657004831</v>
      </c>
      <c r="I66" s="388">
        <f>SUM(I67:I68)</f>
        <v>90000</v>
      </c>
      <c r="J66" s="389">
        <f>SUM(J67:J68)</f>
        <v>53150</v>
      </c>
      <c r="K66" s="1086">
        <f>J66/F66</f>
        <v>0.57058507783145462</v>
      </c>
      <c r="L66" s="1089"/>
      <c r="M66" s="617">
        <f t="shared" ref="M66:V66" si="27">SUM(M67:M68)</f>
        <v>0</v>
      </c>
      <c r="N66" s="617">
        <f t="shared" si="27"/>
        <v>0</v>
      </c>
      <c r="O66" s="617">
        <f t="shared" si="27"/>
        <v>53150</v>
      </c>
      <c r="P66" s="617">
        <f t="shared" si="27"/>
        <v>0</v>
      </c>
      <c r="Q66" s="617">
        <f t="shared" si="27"/>
        <v>0</v>
      </c>
      <c r="R66" s="617">
        <f t="shared" si="27"/>
        <v>0</v>
      </c>
      <c r="S66" s="617">
        <f t="shared" si="27"/>
        <v>0</v>
      </c>
      <c r="T66" s="617">
        <f t="shared" si="27"/>
        <v>0</v>
      </c>
      <c r="U66" s="617">
        <f t="shared" si="27"/>
        <v>0</v>
      </c>
      <c r="V66" s="617">
        <f t="shared" si="27"/>
        <v>0</v>
      </c>
      <c r="W66" s="617">
        <f t="shared" si="19"/>
        <v>53150</v>
      </c>
    </row>
    <row r="67" spans="1:23" x14ac:dyDescent="0.2">
      <c r="A67" s="79"/>
      <c r="B67" s="79"/>
      <c r="C67" s="303"/>
      <c r="D67" s="574">
        <v>4170</v>
      </c>
      <c r="E67" s="249" t="s">
        <v>184</v>
      </c>
      <c r="F67" s="530">
        <v>3150</v>
      </c>
      <c r="G67" s="141">
        <v>0</v>
      </c>
      <c r="H67" s="142">
        <f t="shared" si="0"/>
        <v>0</v>
      </c>
      <c r="I67" s="143">
        <v>0</v>
      </c>
      <c r="J67" s="144">
        <v>0</v>
      </c>
      <c r="K67" s="591">
        <f t="shared" si="4"/>
        <v>0</v>
      </c>
      <c r="L67" s="513"/>
      <c r="M67" s="505"/>
      <c r="N67" s="505"/>
      <c r="O67" s="506"/>
      <c r="P67" s="505"/>
      <c r="Q67" s="505"/>
      <c r="R67" s="506"/>
      <c r="S67" s="506"/>
      <c r="T67" s="506"/>
      <c r="U67" s="506"/>
      <c r="V67" s="506"/>
      <c r="W67" s="506">
        <f t="shared" si="19"/>
        <v>0</v>
      </c>
    </row>
    <row r="68" spans="1:23" x14ac:dyDescent="0.2">
      <c r="A68" s="79"/>
      <c r="B68" s="79"/>
      <c r="C68" s="253"/>
      <c r="D68" s="516">
        <v>4300</v>
      </c>
      <c r="E68" s="160" t="s">
        <v>177</v>
      </c>
      <c r="F68" s="185">
        <v>90000</v>
      </c>
      <c r="G68" s="83">
        <v>18568.080000000002</v>
      </c>
      <c r="H68" s="84">
        <f t="shared" si="0"/>
        <v>0.20631200000000002</v>
      </c>
      <c r="I68" s="85">
        <v>90000</v>
      </c>
      <c r="J68" s="86">
        <v>53150</v>
      </c>
      <c r="K68" s="601">
        <f t="shared" si="4"/>
        <v>0.5905555555555555</v>
      </c>
      <c r="L68" s="513"/>
      <c r="M68" s="505"/>
      <c r="N68" s="505"/>
      <c r="O68" s="506">
        <v>53150</v>
      </c>
      <c r="P68" s="505"/>
      <c r="Q68" s="505"/>
      <c r="R68" s="506"/>
      <c r="S68" s="506"/>
      <c r="T68" s="506"/>
      <c r="U68" s="506"/>
      <c r="V68" s="506"/>
      <c r="W68" s="506">
        <f t="shared" si="19"/>
        <v>53150</v>
      </c>
    </row>
    <row r="69" spans="1:23" x14ac:dyDescent="0.2">
      <c r="A69" s="79"/>
      <c r="B69" s="118">
        <v>71035</v>
      </c>
      <c r="C69" s="234"/>
      <c r="D69" s="71"/>
      <c r="E69" s="104" t="s">
        <v>211</v>
      </c>
      <c r="F69" s="235">
        <f>F70</f>
        <v>10000</v>
      </c>
      <c r="G69" s="156">
        <f>G70</f>
        <v>3499.98</v>
      </c>
      <c r="H69" s="155">
        <f t="shared" si="0"/>
        <v>0.34999799999999998</v>
      </c>
      <c r="I69" s="156">
        <f>I70</f>
        <v>8499.98</v>
      </c>
      <c r="J69" s="157">
        <f>J70</f>
        <v>10000</v>
      </c>
      <c r="K69" s="1076">
        <f>J69/F69</f>
        <v>1</v>
      </c>
      <c r="L69" s="1080"/>
      <c r="M69" s="510">
        <f t="shared" ref="M69:V69" si="28">M70</f>
        <v>0</v>
      </c>
      <c r="N69" s="510">
        <f t="shared" si="28"/>
        <v>0</v>
      </c>
      <c r="O69" s="510">
        <f t="shared" si="28"/>
        <v>0</v>
      </c>
      <c r="P69" s="510">
        <f t="shared" si="28"/>
        <v>0</v>
      </c>
      <c r="Q69" s="510">
        <f t="shared" si="28"/>
        <v>0</v>
      </c>
      <c r="R69" s="510">
        <f t="shared" si="28"/>
        <v>0</v>
      </c>
      <c r="S69" s="510">
        <f t="shared" si="28"/>
        <v>0</v>
      </c>
      <c r="T69" s="510">
        <f t="shared" si="28"/>
        <v>10000</v>
      </c>
      <c r="U69" s="510">
        <f t="shared" si="28"/>
        <v>0</v>
      </c>
      <c r="V69" s="510">
        <f t="shared" si="28"/>
        <v>0</v>
      </c>
      <c r="W69" s="510">
        <f t="shared" si="19"/>
        <v>10000</v>
      </c>
    </row>
    <row r="70" spans="1:23" x14ac:dyDescent="0.2">
      <c r="A70" s="206"/>
      <c r="B70" s="206"/>
      <c r="C70" s="253"/>
      <c r="D70" s="516">
        <v>4300</v>
      </c>
      <c r="E70" s="160" t="s">
        <v>177</v>
      </c>
      <c r="F70" s="161">
        <v>10000</v>
      </c>
      <c r="G70" s="83">
        <v>3499.98</v>
      </c>
      <c r="H70" s="84">
        <f t="shared" si="0"/>
        <v>0.34999799999999998</v>
      </c>
      <c r="I70" s="85">
        <v>8499.98</v>
      </c>
      <c r="J70" s="86">
        <v>10000</v>
      </c>
      <c r="K70" s="601">
        <f t="shared" si="4"/>
        <v>1</v>
      </c>
      <c r="L70" s="513"/>
      <c r="M70" s="505"/>
      <c r="N70" s="505"/>
      <c r="O70" s="506"/>
      <c r="P70" s="505"/>
      <c r="Q70" s="505"/>
      <c r="R70" s="506"/>
      <c r="S70" s="506"/>
      <c r="T70" s="506">
        <v>10000</v>
      </c>
      <c r="U70" s="506"/>
      <c r="V70" s="506"/>
      <c r="W70" s="506">
        <f t="shared" si="19"/>
        <v>10000</v>
      </c>
    </row>
    <row r="71" spans="1:23" x14ac:dyDescent="0.2">
      <c r="A71" s="618">
        <v>750</v>
      </c>
      <c r="B71" s="619"/>
      <c r="C71" s="619"/>
      <c r="D71" s="146"/>
      <c r="E71" s="620" t="s">
        <v>48</v>
      </c>
      <c r="F71" s="148">
        <f>F72+F80+F86+F127+F131+F125</f>
        <v>4203616</v>
      </c>
      <c r="G71" s="148">
        <f>G72+G80+G86+G127+G131+G125</f>
        <v>2966844.4100000006</v>
      </c>
      <c r="H71" s="149">
        <f>G71/F71</f>
        <v>0.70578387987865698</v>
      </c>
      <c r="I71" s="148">
        <f>I72+I80+I86+I127+I131+I125</f>
        <v>4047274.7100000009</v>
      </c>
      <c r="J71" s="151">
        <f>J72+J80+J86+J127+J131</f>
        <v>4312379.5599999996</v>
      </c>
      <c r="K71" s="1130">
        <f>J71/F71</f>
        <v>1.0258738095963094</v>
      </c>
      <c r="L71" s="1122"/>
      <c r="M71" s="621">
        <f t="shared" ref="M71:V71" si="29">M72+M80+M86+M127+M131</f>
        <v>0</v>
      </c>
      <c r="N71" s="621">
        <f t="shared" si="29"/>
        <v>0</v>
      </c>
      <c r="O71" s="621">
        <f t="shared" si="29"/>
        <v>0</v>
      </c>
      <c r="P71" s="621">
        <f t="shared" si="29"/>
        <v>0</v>
      </c>
      <c r="Q71" s="621">
        <f t="shared" si="29"/>
        <v>942924.13</v>
      </c>
      <c r="R71" s="621">
        <f t="shared" si="29"/>
        <v>3332455.4299999992</v>
      </c>
      <c r="S71" s="621">
        <f t="shared" si="29"/>
        <v>0</v>
      </c>
      <c r="T71" s="621">
        <f t="shared" si="29"/>
        <v>37000</v>
      </c>
      <c r="U71" s="621">
        <f t="shared" si="29"/>
        <v>0</v>
      </c>
      <c r="V71" s="621">
        <f t="shared" si="29"/>
        <v>0</v>
      </c>
      <c r="W71" s="621">
        <f t="shared" si="19"/>
        <v>4312379.5599999996</v>
      </c>
    </row>
    <row r="72" spans="1:23" x14ac:dyDescent="0.2">
      <c r="A72" s="35"/>
      <c r="B72" s="152">
        <v>75011</v>
      </c>
      <c r="C72" s="234"/>
      <c r="D72" s="71"/>
      <c r="E72" s="104" t="s">
        <v>49</v>
      </c>
      <c r="F72" s="308">
        <f>SUM(F73:F79)</f>
        <v>122260.99999999999</v>
      </c>
      <c r="G72" s="156">
        <f>SUM(G73:G79)</f>
        <v>90807.000000000015</v>
      </c>
      <c r="H72" s="155">
        <f t="shared" si="0"/>
        <v>0.74273071543664804</v>
      </c>
      <c r="I72" s="156">
        <f>SUM(I73:I79)</f>
        <v>122260.99999999999</v>
      </c>
      <c r="J72" s="157">
        <f>SUM(J73:J79)</f>
        <v>126943</v>
      </c>
      <c r="K72" s="1076">
        <f>J72/F72</f>
        <v>1.0382951227292434</v>
      </c>
      <c r="L72" s="1123"/>
      <c r="M72" s="572">
        <f t="shared" ref="M72:V72" si="30">SUM(M73:M79)</f>
        <v>0</v>
      </c>
      <c r="N72" s="572">
        <f t="shared" si="30"/>
        <v>0</v>
      </c>
      <c r="O72" s="572">
        <f t="shared" si="30"/>
        <v>0</v>
      </c>
      <c r="P72" s="572">
        <f t="shared" si="30"/>
        <v>0</v>
      </c>
      <c r="Q72" s="572">
        <f t="shared" si="30"/>
        <v>7117.14</v>
      </c>
      <c r="R72" s="572">
        <f t="shared" si="30"/>
        <v>119825.86</v>
      </c>
      <c r="S72" s="572">
        <f t="shared" si="30"/>
        <v>0</v>
      </c>
      <c r="T72" s="572">
        <f t="shared" si="30"/>
        <v>0</v>
      </c>
      <c r="U72" s="572">
        <f t="shared" si="30"/>
        <v>0</v>
      </c>
      <c r="V72" s="572">
        <f t="shared" si="30"/>
        <v>0</v>
      </c>
      <c r="W72" s="572">
        <f t="shared" si="19"/>
        <v>126943</v>
      </c>
    </row>
    <row r="73" spans="1:23" x14ac:dyDescent="0.2">
      <c r="A73" s="79"/>
      <c r="B73" s="79"/>
      <c r="C73" s="253"/>
      <c r="D73" s="516">
        <v>4010</v>
      </c>
      <c r="E73" s="160" t="s">
        <v>173</v>
      </c>
      <c r="F73" s="185">
        <v>90025</v>
      </c>
      <c r="G73" s="622">
        <v>69839.38</v>
      </c>
      <c r="H73" s="623">
        <f t="shared" si="0"/>
        <v>0.77577761732851991</v>
      </c>
      <c r="I73" s="185">
        <v>90025</v>
      </c>
      <c r="J73" s="279">
        <v>92726.080000000002</v>
      </c>
      <c r="K73" s="601">
        <f t="shared" si="4"/>
        <v>1.030003665648431</v>
      </c>
      <c r="L73" s="602" t="s">
        <v>212</v>
      </c>
      <c r="M73" s="505"/>
      <c r="N73" s="505"/>
      <c r="O73" s="506"/>
      <c r="P73" s="624"/>
      <c r="Q73" s="625"/>
      <c r="R73" s="626">
        <v>92726.080000000002</v>
      </c>
      <c r="S73" s="627"/>
      <c r="T73" s="506"/>
      <c r="U73" s="506"/>
      <c r="V73" s="506"/>
      <c r="W73" s="506">
        <f t="shared" si="19"/>
        <v>92726.080000000002</v>
      </c>
    </row>
    <row r="74" spans="1:23" x14ac:dyDescent="0.2">
      <c r="A74" s="79"/>
      <c r="B74" s="79"/>
      <c r="C74" s="427"/>
      <c r="D74" s="609">
        <v>4040</v>
      </c>
      <c r="E74" s="109" t="s">
        <v>213</v>
      </c>
      <c r="F74" s="246">
        <v>6940.5</v>
      </c>
      <c r="G74" s="83">
        <v>6940.5</v>
      </c>
      <c r="H74" s="623">
        <f t="shared" si="0"/>
        <v>1</v>
      </c>
      <c r="I74" s="246">
        <v>6940.5</v>
      </c>
      <c r="J74" s="86">
        <v>7429.27</v>
      </c>
      <c r="K74" s="601">
        <f t="shared" si="4"/>
        <v>1.0704228801959514</v>
      </c>
      <c r="L74" s="604" t="s">
        <v>212</v>
      </c>
      <c r="M74" s="505"/>
      <c r="N74" s="505"/>
      <c r="O74" s="506"/>
      <c r="P74" s="624"/>
      <c r="Q74" s="628"/>
      <c r="R74" s="629">
        <v>7429.27</v>
      </c>
      <c r="S74" s="627"/>
      <c r="T74" s="506"/>
      <c r="U74" s="506"/>
      <c r="V74" s="506"/>
      <c r="W74" s="506">
        <f t="shared" si="19"/>
        <v>7429.27</v>
      </c>
    </row>
    <row r="75" spans="1:23" x14ac:dyDescent="0.2">
      <c r="A75" s="79"/>
      <c r="B75" s="79"/>
      <c r="C75" s="206"/>
      <c r="D75" s="391">
        <v>4110</v>
      </c>
      <c r="E75" s="163" t="s">
        <v>174</v>
      </c>
      <c r="F75" s="164">
        <v>16668.37</v>
      </c>
      <c r="G75" s="141">
        <v>11513.55</v>
      </c>
      <c r="H75" s="623">
        <f t="shared" si="0"/>
        <v>0.69074240612609394</v>
      </c>
      <c r="I75" s="164">
        <v>16668.37</v>
      </c>
      <c r="J75" s="144">
        <v>17216.7</v>
      </c>
      <c r="K75" s="601">
        <f t="shared" si="4"/>
        <v>1.0328964379840382</v>
      </c>
      <c r="L75" s="604" t="s">
        <v>212</v>
      </c>
      <c r="M75" s="505"/>
      <c r="N75" s="505"/>
      <c r="O75" s="506"/>
      <c r="P75" s="624"/>
      <c r="Q75" s="628"/>
      <c r="R75" s="630">
        <v>17216.7</v>
      </c>
      <c r="S75" s="627"/>
      <c r="T75" s="506"/>
      <c r="U75" s="506"/>
      <c r="V75" s="506"/>
      <c r="W75" s="506">
        <f t="shared" ref="W75:W106" si="31">SUM(M75:V75)</f>
        <v>17216.7</v>
      </c>
    </row>
    <row r="76" spans="1:23" x14ac:dyDescent="0.2">
      <c r="A76" s="79"/>
      <c r="B76" s="79"/>
      <c r="C76" s="303"/>
      <c r="D76" s="574">
        <v>4120</v>
      </c>
      <c r="E76" s="249" t="s">
        <v>175</v>
      </c>
      <c r="F76" s="631">
        <v>2375.65</v>
      </c>
      <c r="G76" s="327">
        <v>1640.96</v>
      </c>
      <c r="H76" s="142">
        <f t="shared" si="0"/>
        <v>0.69074148127880786</v>
      </c>
      <c r="I76" s="631">
        <v>2375.65</v>
      </c>
      <c r="J76" s="144">
        <v>2453.81</v>
      </c>
      <c r="K76" s="611">
        <f t="shared" si="4"/>
        <v>1.0329004693452317</v>
      </c>
      <c r="L76" s="604" t="s">
        <v>212</v>
      </c>
      <c r="M76" s="505"/>
      <c r="N76" s="505"/>
      <c r="O76" s="506"/>
      <c r="P76" s="624"/>
      <c r="Q76" s="628"/>
      <c r="R76" s="630">
        <v>2453.81</v>
      </c>
      <c r="S76" s="627"/>
      <c r="T76" s="506"/>
      <c r="U76" s="506"/>
      <c r="V76" s="506"/>
      <c r="W76" s="506">
        <f t="shared" si="31"/>
        <v>2453.81</v>
      </c>
    </row>
    <row r="77" spans="1:23" x14ac:dyDescent="0.2">
      <c r="A77" s="79"/>
      <c r="B77" s="79"/>
      <c r="C77" s="253"/>
      <c r="D77" s="516">
        <v>4210</v>
      </c>
      <c r="E77" s="160" t="s">
        <v>176</v>
      </c>
      <c r="F77" s="614">
        <v>1320.48</v>
      </c>
      <c r="G77" s="83">
        <v>0</v>
      </c>
      <c r="H77" s="623">
        <f t="shared" si="0"/>
        <v>0</v>
      </c>
      <c r="I77" s="614">
        <v>1320.48</v>
      </c>
      <c r="J77" s="86">
        <v>1892.27</v>
      </c>
      <c r="K77" s="601">
        <f t="shared" si="4"/>
        <v>1.4330167817763237</v>
      </c>
      <c r="L77" s="513" t="s">
        <v>212</v>
      </c>
      <c r="M77" s="505"/>
      <c r="N77" s="505"/>
      <c r="O77" s="506"/>
      <c r="P77" s="624"/>
      <c r="Q77" s="632">
        <v>1892.27</v>
      </c>
      <c r="R77" s="629"/>
      <c r="S77" s="627"/>
      <c r="T77" s="506"/>
      <c r="U77" s="506"/>
      <c r="V77" s="506"/>
      <c r="W77" s="506">
        <f t="shared" si="31"/>
        <v>1892.27</v>
      </c>
    </row>
    <row r="78" spans="1:23" ht="19.5" x14ac:dyDescent="0.2">
      <c r="A78" s="79"/>
      <c r="B78" s="79"/>
      <c r="C78" s="206"/>
      <c r="D78" s="391">
        <v>4300</v>
      </c>
      <c r="E78" s="163" t="s">
        <v>177</v>
      </c>
      <c r="F78" s="140">
        <v>3931</v>
      </c>
      <c r="G78" s="141">
        <v>0</v>
      </c>
      <c r="H78" s="142">
        <f t="shared" si="0"/>
        <v>0</v>
      </c>
      <c r="I78" s="140">
        <v>3931</v>
      </c>
      <c r="J78" s="144">
        <v>3931</v>
      </c>
      <c r="K78" s="611">
        <f t="shared" si="4"/>
        <v>1</v>
      </c>
      <c r="L78" s="513" t="s">
        <v>214</v>
      </c>
      <c r="M78" s="505"/>
      <c r="N78" s="505"/>
      <c r="O78" s="506"/>
      <c r="P78" s="624"/>
      <c r="Q78" s="632">
        <v>3931</v>
      </c>
      <c r="R78" s="629"/>
      <c r="S78" s="627"/>
      <c r="T78" s="506"/>
      <c r="U78" s="506"/>
      <c r="V78" s="506"/>
      <c r="W78" s="506">
        <f t="shared" si="31"/>
        <v>3931</v>
      </c>
    </row>
    <row r="79" spans="1:23" x14ac:dyDescent="0.2">
      <c r="A79" s="79"/>
      <c r="B79" s="79"/>
      <c r="C79" s="303"/>
      <c r="D79" s="574">
        <v>4410</v>
      </c>
      <c r="E79" s="249" t="s">
        <v>179</v>
      </c>
      <c r="F79" s="140">
        <v>1000</v>
      </c>
      <c r="G79" s="141">
        <v>872.61</v>
      </c>
      <c r="H79" s="623">
        <f t="shared" si="0"/>
        <v>0.87261</v>
      </c>
      <c r="I79" s="140">
        <v>1000</v>
      </c>
      <c r="J79" s="183">
        <v>1293.8699999999999</v>
      </c>
      <c r="K79" s="601">
        <f t="shared" si="4"/>
        <v>1.2938699999999999</v>
      </c>
      <c r="L79" s="604" t="s">
        <v>212</v>
      </c>
      <c r="M79" s="505"/>
      <c r="N79" s="505"/>
      <c r="O79" s="506"/>
      <c r="P79" s="624"/>
      <c r="Q79" s="272">
        <v>1293.8699999999999</v>
      </c>
      <c r="R79" s="633"/>
      <c r="S79" s="627"/>
      <c r="T79" s="506"/>
      <c r="U79" s="506"/>
      <c r="V79" s="506"/>
      <c r="W79" s="506">
        <f t="shared" si="31"/>
        <v>1293.8699999999999</v>
      </c>
    </row>
    <row r="80" spans="1:23" x14ac:dyDescent="0.2">
      <c r="A80" s="79"/>
      <c r="B80" s="118">
        <v>75022</v>
      </c>
      <c r="C80" s="70"/>
      <c r="D80" s="103"/>
      <c r="E80" s="72" t="s">
        <v>215</v>
      </c>
      <c r="F80" s="308">
        <f>SUM(F81:F85)</f>
        <v>273600</v>
      </c>
      <c r="G80" s="156">
        <f>SUM(G81:G85)</f>
        <v>197558.24</v>
      </c>
      <c r="H80" s="155">
        <f t="shared" si="0"/>
        <v>0.72206959064327481</v>
      </c>
      <c r="I80" s="75">
        <f>SUM(I81:I85)</f>
        <v>273600</v>
      </c>
      <c r="J80" s="76">
        <f>SUM(J81:J85)</f>
        <v>304097.24</v>
      </c>
      <c r="K80" s="1084">
        <f>J80/F80</f>
        <v>1.1114665204678362</v>
      </c>
      <c r="L80" s="1080"/>
      <c r="M80" s="510">
        <f t="shared" ref="M80:V80" si="32">SUM(M81:M85)</f>
        <v>0</v>
      </c>
      <c r="N80" s="510">
        <f t="shared" si="32"/>
        <v>0</v>
      </c>
      <c r="O80" s="510">
        <f t="shared" si="32"/>
        <v>0</v>
      </c>
      <c r="P80" s="510">
        <f t="shared" si="32"/>
        <v>0</v>
      </c>
      <c r="Q80" s="510">
        <f t="shared" si="32"/>
        <v>304097.24</v>
      </c>
      <c r="R80" s="510">
        <f t="shared" si="32"/>
        <v>0</v>
      </c>
      <c r="S80" s="510">
        <f t="shared" si="32"/>
        <v>0</v>
      </c>
      <c r="T80" s="510">
        <f t="shared" si="32"/>
        <v>0</v>
      </c>
      <c r="U80" s="510">
        <f t="shared" si="32"/>
        <v>0</v>
      </c>
      <c r="V80" s="510">
        <f t="shared" si="32"/>
        <v>0</v>
      </c>
      <c r="W80" s="510">
        <f t="shared" si="31"/>
        <v>304097.24</v>
      </c>
    </row>
    <row r="81" spans="1:23" x14ac:dyDescent="0.2">
      <c r="A81" s="79"/>
      <c r="B81" s="79"/>
      <c r="C81" s="107"/>
      <c r="D81" s="514">
        <v>3030</v>
      </c>
      <c r="E81" s="109" t="s">
        <v>216</v>
      </c>
      <c r="F81" s="251">
        <v>243600</v>
      </c>
      <c r="G81" s="83">
        <v>181462.24</v>
      </c>
      <c r="H81" s="84">
        <f t="shared" si="0"/>
        <v>0.74491888341543511</v>
      </c>
      <c r="I81" s="85">
        <v>243600</v>
      </c>
      <c r="J81" s="86">
        <v>264097.24</v>
      </c>
      <c r="K81" s="592">
        <f t="shared" si="4"/>
        <v>1.0841430213464696</v>
      </c>
      <c r="L81" s="513"/>
      <c r="M81" s="505"/>
      <c r="N81" s="505"/>
      <c r="O81" s="506"/>
      <c r="P81" s="83"/>
      <c r="Q81" s="83">
        <v>264097.24</v>
      </c>
      <c r="R81" s="506"/>
      <c r="S81" s="506"/>
      <c r="T81" s="506"/>
      <c r="U81" s="506"/>
      <c r="V81" s="506"/>
      <c r="W81" s="506">
        <f t="shared" si="31"/>
        <v>264097.24</v>
      </c>
    </row>
    <row r="82" spans="1:23" ht="22.5" x14ac:dyDescent="0.2">
      <c r="A82" s="79"/>
      <c r="B82" s="79"/>
      <c r="C82" s="253"/>
      <c r="D82" s="516">
        <v>3040</v>
      </c>
      <c r="E82" s="160" t="s">
        <v>217</v>
      </c>
      <c r="F82" s="634">
        <v>5000</v>
      </c>
      <c r="G82" s="83">
        <v>1819</v>
      </c>
      <c r="H82" s="84">
        <f t="shared" si="0"/>
        <v>0.36380000000000001</v>
      </c>
      <c r="I82" s="85">
        <v>5000</v>
      </c>
      <c r="J82" s="86">
        <v>4000</v>
      </c>
      <c r="K82" s="592">
        <f t="shared" si="4"/>
        <v>0.8</v>
      </c>
      <c r="L82" s="513"/>
      <c r="M82" s="505"/>
      <c r="N82" s="505"/>
      <c r="O82" s="506"/>
      <c r="P82" s="83"/>
      <c r="Q82" s="83">
        <v>4000</v>
      </c>
      <c r="R82" s="506"/>
      <c r="S82" s="506"/>
      <c r="T82" s="506"/>
      <c r="U82" s="506"/>
      <c r="V82" s="506"/>
      <c r="W82" s="506">
        <f t="shared" si="31"/>
        <v>4000</v>
      </c>
    </row>
    <row r="83" spans="1:23" x14ac:dyDescent="0.2">
      <c r="A83" s="79"/>
      <c r="B83" s="79"/>
      <c r="C83" s="303"/>
      <c r="D83" s="574">
        <v>4210</v>
      </c>
      <c r="E83" s="249" t="s">
        <v>176</v>
      </c>
      <c r="F83" s="573">
        <v>15000</v>
      </c>
      <c r="G83" s="141">
        <v>6118.12</v>
      </c>
      <c r="H83" s="84">
        <f t="shared" ref="H83:H84" si="33">G83/F83</f>
        <v>0.40787466666666666</v>
      </c>
      <c r="I83" s="143">
        <v>15000</v>
      </c>
      <c r="J83" s="144">
        <v>20000</v>
      </c>
      <c r="K83" s="592">
        <f t="shared" si="4"/>
        <v>1.3333333333333333</v>
      </c>
      <c r="L83" s="604"/>
      <c r="M83" s="505"/>
      <c r="N83" s="505"/>
      <c r="O83" s="506"/>
      <c r="P83" s="141"/>
      <c r="Q83" s="141">
        <v>20000</v>
      </c>
      <c r="R83" s="506"/>
      <c r="S83" s="506"/>
      <c r="T83" s="506"/>
      <c r="U83" s="506"/>
      <c r="V83" s="506"/>
      <c r="W83" s="506">
        <f t="shared" si="31"/>
        <v>20000</v>
      </c>
    </row>
    <row r="84" spans="1:23" x14ac:dyDescent="0.2">
      <c r="A84" s="79"/>
      <c r="B84" s="79"/>
      <c r="C84" s="107"/>
      <c r="D84" s="514">
        <v>4300</v>
      </c>
      <c r="E84" s="109" t="s">
        <v>177</v>
      </c>
      <c r="F84" s="82">
        <v>10000</v>
      </c>
      <c r="G84" s="93">
        <v>8158.88</v>
      </c>
      <c r="H84" s="84">
        <f t="shared" si="33"/>
        <v>0.81588800000000006</v>
      </c>
      <c r="I84" s="95">
        <v>10000</v>
      </c>
      <c r="J84" s="96">
        <v>14000</v>
      </c>
      <c r="K84" s="592">
        <f t="shared" si="4"/>
        <v>1.4</v>
      </c>
      <c r="L84" s="636"/>
      <c r="M84" s="505"/>
      <c r="N84" s="505"/>
      <c r="O84" s="506"/>
      <c r="P84" s="93"/>
      <c r="Q84" s="93">
        <v>14000</v>
      </c>
      <c r="R84" s="506"/>
      <c r="S84" s="506"/>
      <c r="T84" s="506"/>
      <c r="U84" s="506"/>
      <c r="V84" s="506"/>
      <c r="W84" s="506">
        <f t="shared" si="31"/>
        <v>14000</v>
      </c>
    </row>
    <row r="85" spans="1:23" x14ac:dyDescent="0.2">
      <c r="A85" s="79"/>
      <c r="B85" s="206"/>
      <c r="C85" s="253"/>
      <c r="D85" s="516">
        <v>4420</v>
      </c>
      <c r="E85" s="262" t="s">
        <v>218</v>
      </c>
      <c r="F85" s="181">
        <v>0</v>
      </c>
      <c r="G85" s="83">
        <v>0</v>
      </c>
      <c r="H85" s="84">
        <v>0</v>
      </c>
      <c r="I85" s="85">
        <v>0</v>
      </c>
      <c r="J85" s="86">
        <v>2000</v>
      </c>
      <c r="K85" s="592">
        <v>0</v>
      </c>
      <c r="L85" s="513"/>
      <c r="M85" s="505"/>
      <c r="N85" s="505"/>
      <c r="O85" s="506"/>
      <c r="P85" s="83"/>
      <c r="Q85" s="83">
        <v>2000</v>
      </c>
      <c r="R85" s="506"/>
      <c r="S85" s="506"/>
      <c r="T85" s="506"/>
      <c r="U85" s="506"/>
      <c r="V85" s="506"/>
      <c r="W85" s="506">
        <f t="shared" si="31"/>
        <v>2000</v>
      </c>
    </row>
    <row r="86" spans="1:23" ht="22.5" x14ac:dyDescent="0.2">
      <c r="A86" s="79"/>
      <c r="B86" s="152">
        <v>75023</v>
      </c>
      <c r="C86" s="234"/>
      <c r="D86" s="71"/>
      <c r="E86" s="104" t="s">
        <v>52</v>
      </c>
      <c r="F86" s="154">
        <f>F87+F88+F91+F95+F99+F103+F104+F105+F106+F107+F108+F109+F110+F111+F112+F113+F114+F115+F116+F117+F118+F119+F120+F121+F122+F124+F123</f>
        <v>3594045</v>
      </c>
      <c r="G86" s="154">
        <f>G87+G88+G91+G95+G99+G103+G104+G105+G106+G107+G108+G109+G110+G111+G112+G113+G114+G115+G116+G117+G118+G119+G120+G121+G122+G124+G123</f>
        <v>2532527.6100000003</v>
      </c>
      <c r="H86" s="155">
        <f>G86/F86</f>
        <v>0.70464549275259503</v>
      </c>
      <c r="I86" s="298">
        <f>I87+I88+I91+I95+I99+I103+I104+I105+I106+I107+I108+I109+I110+I111+I112+I113+I114+I115+I116+I117+I118+I119+I120+I121+I122+I124+I123</f>
        <v>3441963.7100000009</v>
      </c>
      <c r="J86" s="637">
        <f>J87+J88+J91+J95+J99+J103+J104+J105+J106+J107+J108+J109+J110+J111+J112+J113+J114+J115+J116+J117+J118+J119+J120+J121+J122+J124+J123</f>
        <v>3630839.3199999994</v>
      </c>
      <c r="K86" s="1098">
        <f>J86/F86</f>
        <v>1.0102375791065497</v>
      </c>
      <c r="L86" s="1124"/>
      <c r="M86" s="569">
        <f t="shared" ref="M86:V86" si="34">M87+M88+M91+M95+M99+M103+M104+M105+M106+M107+M108+M109+M110+M111+M112+M113+M114+M115+M116+M117+M118+M119+M120+M121+M122+M124+M123</f>
        <v>0</v>
      </c>
      <c r="N86" s="569">
        <f t="shared" si="34"/>
        <v>0</v>
      </c>
      <c r="O86" s="569">
        <f t="shared" si="34"/>
        <v>0</v>
      </c>
      <c r="P86" s="569">
        <f t="shared" si="34"/>
        <v>0</v>
      </c>
      <c r="Q86" s="569">
        <f t="shared" si="34"/>
        <v>538209.75</v>
      </c>
      <c r="R86" s="569">
        <f t="shared" si="34"/>
        <v>3092629.5699999994</v>
      </c>
      <c r="S86" s="569">
        <f t="shared" si="34"/>
        <v>0</v>
      </c>
      <c r="T86" s="569">
        <f t="shared" si="34"/>
        <v>0</v>
      </c>
      <c r="U86" s="569">
        <f t="shared" si="34"/>
        <v>0</v>
      </c>
      <c r="V86" s="569">
        <f t="shared" si="34"/>
        <v>0</v>
      </c>
      <c r="W86" s="569">
        <f t="shared" si="31"/>
        <v>3630839.3199999994</v>
      </c>
    </row>
    <row r="87" spans="1:23" ht="22.5" x14ac:dyDescent="0.2">
      <c r="A87" s="79"/>
      <c r="B87" s="79"/>
      <c r="C87" s="253"/>
      <c r="D87" s="516">
        <v>3020</v>
      </c>
      <c r="E87" s="160" t="s">
        <v>219</v>
      </c>
      <c r="F87" s="634">
        <v>5200</v>
      </c>
      <c r="G87" s="83">
        <v>4057.51</v>
      </c>
      <c r="H87" s="84">
        <f t="shared" ref="H87:H178" si="35">G87/F87</f>
        <v>0.78029038461538469</v>
      </c>
      <c r="I87" s="85">
        <v>4657.51</v>
      </c>
      <c r="J87" s="86">
        <v>6000</v>
      </c>
      <c r="K87" s="611">
        <f t="shared" ref="K87:K139" si="36">J87/F87</f>
        <v>1.1538461538461537</v>
      </c>
      <c r="L87" s="513"/>
      <c r="M87" s="505"/>
      <c r="N87" s="505"/>
      <c r="O87" s="506"/>
      <c r="P87" s="505"/>
      <c r="Q87" s="505">
        <v>6000</v>
      </c>
      <c r="R87" s="506"/>
      <c r="S87" s="506"/>
      <c r="T87" s="506"/>
      <c r="U87" s="506"/>
      <c r="V87" s="506"/>
      <c r="W87" s="506">
        <f t="shared" si="31"/>
        <v>6000</v>
      </c>
    </row>
    <row r="88" spans="1:23" ht="29.25" x14ac:dyDescent="0.2">
      <c r="A88" s="79"/>
      <c r="B88" s="79"/>
      <c r="C88" s="79"/>
      <c r="D88" s="616">
        <v>4010</v>
      </c>
      <c r="E88" s="169" t="s">
        <v>220</v>
      </c>
      <c r="F88" s="178">
        <f>F89+F90</f>
        <v>2211778</v>
      </c>
      <c r="G88" s="327">
        <v>1563045.1</v>
      </c>
      <c r="H88" s="328">
        <f t="shared" si="35"/>
        <v>0.70669167520429266</v>
      </c>
      <c r="I88" s="329">
        <f>I89+I90</f>
        <v>2140227.81</v>
      </c>
      <c r="J88" s="183">
        <f>J89+J90</f>
        <v>2272302.9299999997</v>
      </c>
      <c r="K88" s="590">
        <f>J88/F88</f>
        <v>1.0273648304667105</v>
      </c>
      <c r="L88" s="517" t="s">
        <v>221</v>
      </c>
      <c r="M88" s="505"/>
      <c r="N88" s="505"/>
      <c r="O88" s="506"/>
      <c r="P88" s="505"/>
      <c r="Q88" s="505"/>
      <c r="R88" s="506">
        <f>2475478.01-108000-95175.08</f>
        <v>2272302.9299999997</v>
      </c>
      <c r="S88" s="506"/>
      <c r="T88" s="506"/>
      <c r="U88" s="506"/>
      <c r="V88" s="506"/>
      <c r="W88" s="506">
        <f t="shared" si="31"/>
        <v>2272302.9299999997</v>
      </c>
    </row>
    <row r="89" spans="1:23" ht="19.5" x14ac:dyDescent="0.2">
      <c r="A89" s="79"/>
      <c r="B89" s="79"/>
      <c r="C89" s="79"/>
      <c r="D89" s="616"/>
      <c r="E89" s="638" t="s">
        <v>48</v>
      </c>
      <c r="F89" s="639">
        <f>2043800-7000</f>
        <v>2036800</v>
      </c>
      <c r="G89" s="640">
        <v>1460831.18</v>
      </c>
      <c r="H89" s="641">
        <f t="shared" si="35"/>
        <v>0.7172187647289866</v>
      </c>
      <c r="I89" s="642">
        <v>1981547.25</v>
      </c>
      <c r="J89" s="643">
        <f>2301745.11-108000-95175.08</f>
        <v>2098570.0299999998</v>
      </c>
      <c r="K89" s="644">
        <f>J89/F89</f>
        <v>1.0303269982325216</v>
      </c>
      <c r="L89" s="517" t="s">
        <v>222</v>
      </c>
      <c r="M89" s="505"/>
      <c r="N89" s="505"/>
      <c r="O89" s="506"/>
      <c r="P89" s="505"/>
      <c r="Q89" s="505"/>
      <c r="R89" s="506"/>
      <c r="S89" s="506"/>
      <c r="T89" s="506"/>
      <c r="U89" s="506"/>
      <c r="V89" s="506"/>
      <c r="W89" s="506">
        <f t="shared" si="31"/>
        <v>0</v>
      </c>
    </row>
    <row r="90" spans="1:23" x14ac:dyDescent="0.2">
      <c r="A90" s="79"/>
      <c r="B90" s="79"/>
      <c r="C90" s="79"/>
      <c r="D90" s="616"/>
      <c r="E90" s="638" t="s">
        <v>160</v>
      </c>
      <c r="F90" s="639">
        <f>172458+2520</f>
        <v>174978</v>
      </c>
      <c r="G90" s="640">
        <v>102213.92</v>
      </c>
      <c r="H90" s="641">
        <f>G90/F90</f>
        <v>0.58415297923167486</v>
      </c>
      <c r="I90" s="642">
        <v>158680.56</v>
      </c>
      <c r="J90" s="643">
        <f>173732.9</f>
        <v>173732.9</v>
      </c>
      <c r="K90" s="644">
        <f>J90/I90</f>
        <v>1.0948593829010937</v>
      </c>
      <c r="L90" s="517"/>
      <c r="M90" s="505"/>
      <c r="N90" s="505"/>
      <c r="O90" s="506"/>
      <c r="P90" s="505"/>
      <c r="Q90" s="505"/>
      <c r="R90" s="506"/>
      <c r="S90" s="506"/>
      <c r="T90" s="506"/>
      <c r="U90" s="506"/>
      <c r="V90" s="506"/>
      <c r="W90" s="506">
        <f t="shared" si="31"/>
        <v>0</v>
      </c>
    </row>
    <row r="91" spans="1:23" ht="22.5" x14ac:dyDescent="0.2">
      <c r="A91" s="79"/>
      <c r="B91" s="79"/>
      <c r="C91" s="80"/>
      <c r="D91" s="511">
        <v>4040</v>
      </c>
      <c r="E91" s="37" t="s">
        <v>224</v>
      </c>
      <c r="F91" s="92">
        <f>F92+F93+F94</f>
        <v>162978</v>
      </c>
      <c r="G91" s="93">
        <v>162946.98000000001</v>
      </c>
      <c r="H91" s="94">
        <f t="shared" si="35"/>
        <v>0.99980966756249312</v>
      </c>
      <c r="I91" s="95">
        <f>SUM(I92:I94)</f>
        <v>162946.98000000001</v>
      </c>
      <c r="J91" s="96">
        <f>J92+J93</f>
        <v>176750.57</v>
      </c>
      <c r="K91" s="635">
        <f t="shared" si="36"/>
        <v>1.0845057001558494</v>
      </c>
      <c r="L91" s="513"/>
      <c r="M91" s="505"/>
      <c r="N91" s="505"/>
      <c r="O91" s="506"/>
      <c r="P91" s="505"/>
      <c r="Q91" s="505"/>
      <c r="R91" s="506">
        <f>184179.84-7429.27</f>
        <v>176750.57</v>
      </c>
      <c r="S91" s="506"/>
      <c r="T91" s="506"/>
      <c r="U91" s="506"/>
      <c r="V91" s="506"/>
      <c r="W91" s="506">
        <f t="shared" si="31"/>
        <v>176750.57</v>
      </c>
    </row>
    <row r="92" spans="1:23" x14ac:dyDescent="0.2">
      <c r="A92" s="79"/>
      <c r="B92" s="79"/>
      <c r="C92" s="79"/>
      <c r="D92" s="645"/>
      <c r="E92" s="638" t="s">
        <v>48</v>
      </c>
      <c r="F92" s="646">
        <f>148684.87+31.02</f>
        <v>148715.88999999998</v>
      </c>
      <c r="G92" s="640">
        <v>148684.87</v>
      </c>
      <c r="H92" s="641">
        <f t="shared" si="35"/>
        <v>0.99979141435390673</v>
      </c>
      <c r="I92" s="640">
        <v>148684.87</v>
      </c>
      <c r="J92" s="643">
        <f>170507-7429.27</f>
        <v>163077.73000000001</v>
      </c>
      <c r="K92" s="647">
        <f>J92/F92</f>
        <v>1.0965723299642023</v>
      </c>
      <c r="L92" s="648"/>
      <c r="M92" s="505"/>
      <c r="N92" s="505"/>
      <c r="O92" s="506"/>
      <c r="P92" s="505"/>
      <c r="Q92" s="505"/>
      <c r="R92" s="506"/>
      <c r="S92" s="506"/>
      <c r="T92" s="506"/>
      <c r="U92" s="506"/>
      <c r="V92" s="506"/>
      <c r="W92" s="506">
        <f t="shared" si="31"/>
        <v>0</v>
      </c>
    </row>
    <row r="93" spans="1:23" x14ac:dyDescent="0.2">
      <c r="A93" s="79"/>
      <c r="B93" s="79"/>
      <c r="C93" s="79"/>
      <c r="D93" s="645"/>
      <c r="E93" s="638" t="s">
        <v>223</v>
      </c>
      <c r="F93" s="646">
        <v>12417.6</v>
      </c>
      <c r="G93" s="640">
        <v>12417.6</v>
      </c>
      <c r="H93" s="641">
        <v>0</v>
      </c>
      <c r="I93" s="640">
        <v>12417.6</v>
      </c>
      <c r="J93" s="643">
        <v>13672.84</v>
      </c>
      <c r="K93" s="647">
        <f>J93/F93</f>
        <v>1.1010855559850534</v>
      </c>
      <c r="L93" s="648"/>
      <c r="M93" s="505"/>
      <c r="N93" s="505"/>
      <c r="O93" s="506"/>
      <c r="P93" s="505"/>
      <c r="Q93" s="505"/>
      <c r="R93" s="506"/>
      <c r="S93" s="506"/>
      <c r="T93" s="506"/>
      <c r="U93" s="506"/>
      <c r="V93" s="506"/>
      <c r="W93" s="506">
        <f t="shared" si="31"/>
        <v>0</v>
      </c>
    </row>
    <row r="94" spans="1:23" x14ac:dyDescent="0.2">
      <c r="A94" s="79"/>
      <c r="B94" s="79"/>
      <c r="C94" s="303"/>
      <c r="D94" s="649"/>
      <c r="E94" s="650" t="s">
        <v>225</v>
      </c>
      <c r="F94" s="651">
        <v>1844.51</v>
      </c>
      <c r="G94" s="652">
        <v>1844.51</v>
      </c>
      <c r="H94" s="653">
        <v>0</v>
      </c>
      <c r="I94" s="652">
        <v>1844.51</v>
      </c>
      <c r="J94" s="654">
        <v>0</v>
      </c>
      <c r="K94" s="655">
        <f>J94/F94</f>
        <v>0</v>
      </c>
      <c r="L94" s="656"/>
      <c r="M94" s="505"/>
      <c r="N94" s="505"/>
      <c r="O94" s="506"/>
      <c r="P94" s="505"/>
      <c r="Q94" s="505"/>
      <c r="R94" s="506"/>
      <c r="S94" s="506"/>
      <c r="T94" s="506"/>
      <c r="U94" s="506"/>
      <c r="V94" s="506"/>
      <c r="W94" s="506">
        <f t="shared" si="31"/>
        <v>0</v>
      </c>
    </row>
    <row r="95" spans="1:23" ht="22.5" x14ac:dyDescent="0.2">
      <c r="A95" s="79"/>
      <c r="B95" s="79"/>
      <c r="C95" s="80"/>
      <c r="D95" s="511">
        <v>4110</v>
      </c>
      <c r="E95" s="37" t="s">
        <v>226</v>
      </c>
      <c r="F95" s="92">
        <f>F96+F97+F98</f>
        <v>401580</v>
      </c>
      <c r="G95" s="93">
        <v>272550.13</v>
      </c>
      <c r="H95" s="94">
        <f t="shared" si="35"/>
        <v>0.67869448179690228</v>
      </c>
      <c r="I95" s="95">
        <f>I96+I97+I98</f>
        <v>390775.19</v>
      </c>
      <c r="J95" s="96">
        <f>J96+J97+J98</f>
        <v>411992.20999999996</v>
      </c>
      <c r="K95" s="635">
        <f t="shared" si="36"/>
        <v>1.0259281089695702</v>
      </c>
      <c r="L95" s="636"/>
      <c r="M95" s="505"/>
      <c r="N95" s="505"/>
      <c r="O95" s="506"/>
      <c r="P95" s="505"/>
      <c r="Q95" s="505"/>
      <c r="R95" s="506">
        <f>429581.68-17589.47</f>
        <v>411992.20999999996</v>
      </c>
      <c r="S95" s="506"/>
      <c r="T95" s="506"/>
      <c r="U95" s="506"/>
      <c r="V95" s="506"/>
      <c r="W95" s="506">
        <f t="shared" si="31"/>
        <v>411992.20999999996</v>
      </c>
    </row>
    <row r="96" spans="1:23" x14ac:dyDescent="0.2">
      <c r="A96" s="79"/>
      <c r="B96" s="79"/>
      <c r="C96" s="79"/>
      <c r="D96" s="657"/>
      <c r="E96" s="638" t="s">
        <v>48</v>
      </c>
      <c r="F96" s="658">
        <f>371220-800+466</f>
        <v>370886</v>
      </c>
      <c r="G96" s="659">
        <f>55683.04+200492.25-317.07</f>
        <v>255858.22</v>
      </c>
      <c r="H96" s="660">
        <f t="shared" si="35"/>
        <v>0.68985677539729184</v>
      </c>
      <c r="I96" s="661">
        <v>363711.63</v>
      </c>
      <c r="J96" s="643">
        <f>413763.91-16000-17589.47</f>
        <v>380174.43999999994</v>
      </c>
      <c r="K96" s="644">
        <f>J96/F96</f>
        <v>1.0250439218519976</v>
      </c>
      <c r="L96" s="517"/>
      <c r="M96" s="505"/>
      <c r="N96" s="505"/>
      <c r="O96" s="506"/>
      <c r="P96" s="505"/>
      <c r="Q96" s="505"/>
      <c r="R96" s="506"/>
      <c r="S96" s="506"/>
      <c r="T96" s="506"/>
      <c r="U96" s="506"/>
      <c r="V96" s="506"/>
      <c r="W96" s="506">
        <f t="shared" si="31"/>
        <v>0</v>
      </c>
    </row>
    <row r="97" spans="1:23" x14ac:dyDescent="0.2">
      <c r="A97" s="79"/>
      <c r="B97" s="79"/>
      <c r="C97" s="206"/>
      <c r="D97" s="1073"/>
      <c r="E97" s="664" t="s">
        <v>223</v>
      </c>
      <c r="F97" s="1151">
        <v>30376</v>
      </c>
      <c r="G97" s="1152">
        <v>16374.84</v>
      </c>
      <c r="H97" s="1153">
        <f>G97/F97</f>
        <v>0.53907163550171189</v>
      </c>
      <c r="I97" s="1154">
        <v>26746.49</v>
      </c>
      <c r="J97" s="654">
        <v>31817.77</v>
      </c>
      <c r="K97" s="1087">
        <f>J97/F97</f>
        <v>1.0474641164076903</v>
      </c>
      <c r="L97" s="517"/>
      <c r="M97" s="505"/>
      <c r="N97" s="505"/>
      <c r="O97" s="506"/>
      <c r="P97" s="505"/>
      <c r="Q97" s="505"/>
      <c r="R97" s="506"/>
      <c r="S97" s="506"/>
      <c r="T97" s="506"/>
      <c r="U97" s="506"/>
      <c r="V97" s="506"/>
      <c r="W97" s="506">
        <f t="shared" si="31"/>
        <v>0</v>
      </c>
    </row>
    <row r="98" spans="1:23" x14ac:dyDescent="0.2">
      <c r="A98" s="79"/>
      <c r="B98" s="79"/>
      <c r="C98" s="303"/>
      <c r="D98" s="574"/>
      <c r="E98" s="650" t="s">
        <v>225</v>
      </c>
      <c r="F98" s="651">
        <v>318</v>
      </c>
      <c r="G98" s="652">
        <v>317.07</v>
      </c>
      <c r="H98" s="653">
        <f>G98/F98</f>
        <v>0.99707547169811317</v>
      </c>
      <c r="I98" s="662">
        <v>317.07</v>
      </c>
      <c r="J98" s="654">
        <v>0</v>
      </c>
      <c r="K98" s="644">
        <f>J98/F98</f>
        <v>0</v>
      </c>
      <c r="L98" s="604"/>
      <c r="M98" s="505"/>
      <c r="N98" s="505"/>
      <c r="O98" s="506"/>
      <c r="P98" s="505"/>
      <c r="Q98" s="505"/>
      <c r="R98" s="506"/>
      <c r="S98" s="506"/>
      <c r="T98" s="506"/>
      <c r="U98" s="506"/>
      <c r="V98" s="506"/>
      <c r="W98" s="506">
        <f t="shared" si="31"/>
        <v>0</v>
      </c>
    </row>
    <row r="99" spans="1:23" ht="22.5" x14ac:dyDescent="0.2">
      <c r="A99" s="79"/>
      <c r="B99" s="79"/>
      <c r="C99" s="80"/>
      <c r="D99" s="511">
        <v>4120</v>
      </c>
      <c r="E99" s="37" t="s">
        <v>227</v>
      </c>
      <c r="F99" s="82">
        <f>F100+F101+F102</f>
        <v>49576</v>
      </c>
      <c r="G99" s="93">
        <v>27431.98</v>
      </c>
      <c r="H99" s="94">
        <f t="shared" si="35"/>
        <v>0.55333185412296271</v>
      </c>
      <c r="I99" s="95">
        <f>I100+I101+I102</f>
        <v>40945.070000000007</v>
      </c>
      <c r="J99" s="96">
        <f>J100+J101+J102</f>
        <v>45819.86</v>
      </c>
      <c r="K99" s="635">
        <f t="shared" si="36"/>
        <v>0.92423471034371474</v>
      </c>
      <c r="L99" s="636"/>
      <c r="M99" s="505"/>
      <c r="N99" s="505"/>
      <c r="O99" s="506"/>
      <c r="P99" s="505"/>
      <c r="Q99" s="505"/>
      <c r="R99" s="506">
        <f>49526.79-1200-2506.93</f>
        <v>45819.86</v>
      </c>
      <c r="S99" s="506"/>
      <c r="T99" s="506"/>
      <c r="U99" s="506"/>
      <c r="V99" s="506"/>
      <c r="W99" s="506">
        <f t="shared" si="31"/>
        <v>45819.86</v>
      </c>
    </row>
    <row r="100" spans="1:23" x14ac:dyDescent="0.2">
      <c r="A100" s="79"/>
      <c r="B100" s="79"/>
      <c r="C100" s="79"/>
      <c r="D100" s="616"/>
      <c r="E100" s="638" t="s">
        <v>48</v>
      </c>
      <c r="F100" s="663">
        <f>45135+66</f>
        <v>45201</v>
      </c>
      <c r="G100" s="640">
        <f>5686.68+19411.46-45.19</f>
        <v>25052.95</v>
      </c>
      <c r="H100" s="641">
        <f t="shared" si="35"/>
        <v>0.55425654299683635</v>
      </c>
      <c r="I100" s="642">
        <v>37099.29</v>
      </c>
      <c r="J100" s="643">
        <f>44991.98-1200-2506.93</f>
        <v>41285.050000000003</v>
      </c>
      <c r="K100" s="647">
        <f>J100/F100</f>
        <v>0.91336585473772713</v>
      </c>
      <c r="L100" s="648"/>
      <c r="M100" s="505"/>
      <c r="N100" s="505"/>
      <c r="O100" s="506"/>
      <c r="P100" s="505"/>
      <c r="Q100" s="505"/>
      <c r="R100" s="506"/>
      <c r="S100" s="506"/>
      <c r="T100" s="506"/>
      <c r="U100" s="506"/>
      <c r="V100" s="506"/>
      <c r="W100" s="506">
        <f t="shared" si="31"/>
        <v>0</v>
      </c>
    </row>
    <row r="101" spans="1:23" x14ac:dyDescent="0.2">
      <c r="A101" s="79"/>
      <c r="B101" s="79"/>
      <c r="C101" s="79"/>
      <c r="D101" s="616"/>
      <c r="E101" s="638" t="s">
        <v>223</v>
      </c>
      <c r="F101" s="663">
        <v>4329</v>
      </c>
      <c r="G101" s="640">
        <v>2333.84</v>
      </c>
      <c r="H101" s="641">
        <f t="shared" si="35"/>
        <v>0.53911757911757918</v>
      </c>
      <c r="I101" s="642">
        <v>3800.59</v>
      </c>
      <c r="J101" s="643">
        <v>4534.8100000000004</v>
      </c>
      <c r="K101" s="647">
        <f t="shared" ref="K101:K102" si="37">J101/F101</f>
        <v>1.0475421575421577</v>
      </c>
      <c r="L101" s="648"/>
      <c r="M101" s="505"/>
      <c r="N101" s="505"/>
      <c r="O101" s="506"/>
      <c r="P101" s="505"/>
      <c r="Q101" s="505"/>
      <c r="R101" s="506"/>
      <c r="S101" s="506"/>
      <c r="T101" s="506"/>
      <c r="U101" s="506"/>
      <c r="V101" s="506"/>
      <c r="W101" s="506">
        <f t="shared" si="31"/>
        <v>0</v>
      </c>
    </row>
    <row r="102" spans="1:23" x14ac:dyDescent="0.2">
      <c r="A102" s="79"/>
      <c r="B102" s="79"/>
      <c r="C102" s="206"/>
      <c r="D102" s="391"/>
      <c r="E102" s="664" t="s">
        <v>225</v>
      </c>
      <c r="F102" s="665">
        <f>112-66</f>
        <v>46</v>
      </c>
      <c r="G102" s="652">
        <v>45.19</v>
      </c>
      <c r="H102" s="653">
        <f t="shared" si="35"/>
        <v>0.98239130434782607</v>
      </c>
      <c r="I102" s="662">
        <v>45.19</v>
      </c>
      <c r="J102" s="654">
        <v>0</v>
      </c>
      <c r="K102" s="1078">
        <f t="shared" si="37"/>
        <v>0</v>
      </c>
      <c r="L102" s="656"/>
      <c r="M102" s="505"/>
      <c r="N102" s="505"/>
      <c r="O102" s="506"/>
      <c r="P102" s="505"/>
      <c r="Q102" s="505"/>
      <c r="R102" s="506"/>
      <c r="S102" s="506"/>
      <c r="T102" s="506"/>
      <c r="U102" s="506"/>
      <c r="V102" s="506"/>
      <c r="W102" s="506">
        <f t="shared" si="31"/>
        <v>0</v>
      </c>
    </row>
    <row r="103" spans="1:23" ht="22.5" x14ac:dyDescent="0.2">
      <c r="A103" s="79"/>
      <c r="B103" s="79"/>
      <c r="C103" s="79"/>
      <c r="D103" s="616">
        <v>4140</v>
      </c>
      <c r="E103" s="169" t="s">
        <v>228</v>
      </c>
      <c r="F103" s="326">
        <v>34000</v>
      </c>
      <c r="G103" s="141">
        <v>17959</v>
      </c>
      <c r="H103" s="142">
        <f t="shared" si="35"/>
        <v>0.52820588235294119</v>
      </c>
      <c r="I103" s="143">
        <v>26676</v>
      </c>
      <c r="J103" s="144">
        <v>34000</v>
      </c>
      <c r="K103" s="591">
        <f t="shared" si="36"/>
        <v>1</v>
      </c>
      <c r="L103" s="604" t="s">
        <v>162</v>
      </c>
      <c r="M103" s="505"/>
      <c r="N103" s="505"/>
      <c r="O103" s="506"/>
      <c r="P103" s="505"/>
      <c r="Q103" s="505"/>
      <c r="R103" s="506">
        <v>34000</v>
      </c>
      <c r="S103" s="506"/>
      <c r="T103" s="506"/>
      <c r="U103" s="506"/>
      <c r="V103" s="506"/>
      <c r="W103" s="506">
        <f t="shared" si="31"/>
        <v>34000</v>
      </c>
    </row>
    <row r="104" spans="1:23" x14ac:dyDescent="0.2">
      <c r="A104" s="79"/>
      <c r="B104" s="79"/>
      <c r="C104" s="253"/>
      <c r="D104" s="516">
        <v>4170</v>
      </c>
      <c r="E104" s="160" t="s">
        <v>184</v>
      </c>
      <c r="F104" s="634">
        <v>16000</v>
      </c>
      <c r="G104" s="83">
        <v>6510</v>
      </c>
      <c r="H104" s="142">
        <f t="shared" si="35"/>
        <v>0.40687499999999999</v>
      </c>
      <c r="I104" s="85">
        <v>14010</v>
      </c>
      <c r="J104" s="86">
        <v>9000</v>
      </c>
      <c r="K104" s="611">
        <f t="shared" si="36"/>
        <v>0.5625</v>
      </c>
      <c r="L104" s="513" t="s">
        <v>229</v>
      </c>
      <c r="M104" s="505"/>
      <c r="N104" s="505"/>
      <c r="O104" s="506"/>
      <c r="P104" s="83"/>
      <c r="Q104" s="83">
        <v>9000</v>
      </c>
      <c r="R104" s="506"/>
      <c r="S104" s="506"/>
      <c r="T104" s="506"/>
      <c r="U104" s="506"/>
      <c r="V104" s="506"/>
      <c r="W104" s="506">
        <f t="shared" si="31"/>
        <v>9000</v>
      </c>
    </row>
    <row r="105" spans="1:23" x14ac:dyDescent="0.2">
      <c r="A105" s="79"/>
      <c r="B105" s="79"/>
      <c r="C105" s="303"/>
      <c r="D105" s="574">
        <v>4210</v>
      </c>
      <c r="E105" s="249" t="s">
        <v>176</v>
      </c>
      <c r="F105" s="250">
        <v>85600</v>
      </c>
      <c r="G105" s="141">
        <v>49658.15</v>
      </c>
      <c r="H105" s="142">
        <f t="shared" si="35"/>
        <v>0.5801185747663552</v>
      </c>
      <c r="I105" s="143">
        <v>85600</v>
      </c>
      <c r="J105" s="144">
        <f>90000-490.25</f>
        <v>89509.75</v>
      </c>
      <c r="K105" s="591">
        <f t="shared" si="36"/>
        <v>1.0456746495327103</v>
      </c>
      <c r="L105" s="513" t="s">
        <v>230</v>
      </c>
      <c r="M105" s="505"/>
      <c r="N105" s="505"/>
      <c r="O105" s="506"/>
      <c r="P105" s="83"/>
      <c r="Q105" s="83">
        <v>89509.75</v>
      </c>
      <c r="R105" s="506"/>
      <c r="S105" s="506"/>
      <c r="T105" s="506"/>
      <c r="U105" s="506"/>
      <c r="V105" s="506"/>
      <c r="W105" s="506">
        <f t="shared" si="31"/>
        <v>89509.75</v>
      </c>
    </row>
    <row r="106" spans="1:23" ht="22.5" x14ac:dyDescent="0.2">
      <c r="A106" s="79"/>
      <c r="B106" s="79"/>
      <c r="C106" s="80"/>
      <c r="D106" s="511">
        <v>4230</v>
      </c>
      <c r="E106" s="37" t="s">
        <v>231</v>
      </c>
      <c r="F106" s="120">
        <v>1200</v>
      </c>
      <c r="G106" s="83">
        <v>598.48</v>
      </c>
      <c r="H106" s="142">
        <f t="shared" si="35"/>
        <v>0.49873333333333336</v>
      </c>
      <c r="I106" s="85">
        <v>1197.99</v>
      </c>
      <c r="J106" s="86">
        <v>1200</v>
      </c>
      <c r="K106" s="591">
        <f t="shared" si="36"/>
        <v>1</v>
      </c>
      <c r="L106" s="513"/>
      <c r="M106" s="505"/>
      <c r="N106" s="505"/>
      <c r="O106" s="506"/>
      <c r="P106" s="83"/>
      <c r="Q106" s="83">
        <v>1200</v>
      </c>
      <c r="R106" s="506"/>
      <c r="S106" s="506"/>
      <c r="T106" s="506"/>
      <c r="U106" s="506"/>
      <c r="V106" s="506"/>
      <c r="W106" s="506">
        <f t="shared" si="31"/>
        <v>1200</v>
      </c>
    </row>
    <row r="107" spans="1:23" ht="22.5" x14ac:dyDescent="0.2">
      <c r="A107" s="79"/>
      <c r="B107" s="79"/>
      <c r="C107" s="253"/>
      <c r="D107" s="516">
        <v>4240</v>
      </c>
      <c r="E107" s="160" t="s">
        <v>232</v>
      </c>
      <c r="F107" s="161">
        <v>10000</v>
      </c>
      <c r="G107" s="83">
        <v>4211.3900000000003</v>
      </c>
      <c r="H107" s="142">
        <f t="shared" si="35"/>
        <v>0.42113900000000004</v>
      </c>
      <c r="I107" s="85">
        <v>9861.39</v>
      </c>
      <c r="J107" s="86">
        <v>10000</v>
      </c>
      <c r="K107" s="591">
        <f t="shared" si="36"/>
        <v>1</v>
      </c>
      <c r="L107" s="513"/>
      <c r="M107" s="505"/>
      <c r="N107" s="505"/>
      <c r="O107" s="506"/>
      <c r="P107" s="83"/>
      <c r="Q107" s="83">
        <v>10000</v>
      </c>
      <c r="R107" s="506"/>
      <c r="S107" s="506"/>
      <c r="T107" s="506"/>
      <c r="U107" s="506"/>
      <c r="V107" s="506"/>
      <c r="W107" s="506">
        <f t="shared" ref="W107:W137" si="38">SUM(M107:V107)</f>
        <v>10000</v>
      </c>
    </row>
    <row r="108" spans="1:23" x14ac:dyDescent="0.2">
      <c r="A108" s="79"/>
      <c r="B108" s="79"/>
      <c r="C108" s="303"/>
      <c r="D108" s="574">
        <v>4260</v>
      </c>
      <c r="E108" s="249" t="s">
        <v>185</v>
      </c>
      <c r="F108" s="573">
        <v>78000</v>
      </c>
      <c r="G108" s="141">
        <v>36149.33</v>
      </c>
      <c r="H108" s="142">
        <f t="shared" si="35"/>
        <v>0.46345294871794873</v>
      </c>
      <c r="I108" s="143">
        <v>75632.45</v>
      </c>
      <c r="J108" s="144">
        <v>78000</v>
      </c>
      <c r="K108" s="591">
        <f t="shared" si="36"/>
        <v>1</v>
      </c>
      <c r="L108" s="513"/>
      <c r="M108" s="505"/>
      <c r="N108" s="505"/>
      <c r="O108" s="506"/>
      <c r="P108" s="141"/>
      <c r="Q108" s="141">
        <v>78000</v>
      </c>
      <c r="R108" s="506"/>
      <c r="S108" s="506"/>
      <c r="T108" s="506"/>
      <c r="U108" s="506"/>
      <c r="V108" s="506"/>
      <c r="W108" s="506">
        <f t="shared" si="38"/>
        <v>78000</v>
      </c>
    </row>
    <row r="109" spans="1:23" x14ac:dyDescent="0.2">
      <c r="A109" s="79"/>
      <c r="B109" s="79"/>
      <c r="C109" s="107"/>
      <c r="D109" s="514">
        <v>4270</v>
      </c>
      <c r="E109" s="109" t="s">
        <v>192</v>
      </c>
      <c r="F109" s="110">
        <v>42000</v>
      </c>
      <c r="G109" s="83">
        <v>15892.7</v>
      </c>
      <c r="H109" s="142">
        <f t="shared" si="35"/>
        <v>0.37839761904761904</v>
      </c>
      <c r="I109" s="85">
        <v>42000</v>
      </c>
      <c r="J109" s="86">
        <v>27000</v>
      </c>
      <c r="K109" s="591">
        <f t="shared" si="36"/>
        <v>0.6428571428571429</v>
      </c>
      <c r="L109" s="513"/>
      <c r="M109" s="505"/>
      <c r="N109" s="505"/>
      <c r="O109" s="506"/>
      <c r="P109" s="83"/>
      <c r="Q109" s="83">
        <v>27000</v>
      </c>
      <c r="R109" s="506"/>
      <c r="S109" s="506"/>
      <c r="T109" s="506"/>
      <c r="U109" s="506"/>
      <c r="V109" s="506"/>
      <c r="W109" s="506">
        <f t="shared" si="38"/>
        <v>27000</v>
      </c>
    </row>
    <row r="110" spans="1:23" x14ac:dyDescent="0.2">
      <c r="A110" s="79"/>
      <c r="B110" s="79"/>
      <c r="C110" s="253"/>
      <c r="D110" s="516">
        <v>4280</v>
      </c>
      <c r="E110" s="160" t="s">
        <v>233</v>
      </c>
      <c r="F110" s="634">
        <v>1500</v>
      </c>
      <c r="G110" s="83">
        <v>775</v>
      </c>
      <c r="H110" s="142">
        <f t="shared" si="35"/>
        <v>0.51666666666666672</v>
      </c>
      <c r="I110" s="85">
        <v>1075</v>
      </c>
      <c r="J110" s="86">
        <v>7000</v>
      </c>
      <c r="K110" s="591">
        <f t="shared" si="36"/>
        <v>4.666666666666667</v>
      </c>
      <c r="L110" s="513"/>
      <c r="M110" s="505"/>
      <c r="N110" s="505"/>
      <c r="O110" s="506"/>
      <c r="P110" s="83"/>
      <c r="Q110" s="83">
        <v>7000</v>
      </c>
      <c r="R110" s="506"/>
      <c r="S110" s="506"/>
      <c r="T110" s="506"/>
      <c r="U110" s="506"/>
      <c r="V110" s="506"/>
      <c r="W110" s="506">
        <f t="shared" si="38"/>
        <v>7000</v>
      </c>
    </row>
    <row r="111" spans="1:23" x14ac:dyDescent="0.2">
      <c r="A111" s="79"/>
      <c r="B111" s="79"/>
      <c r="C111" s="303"/>
      <c r="D111" s="574">
        <v>4300</v>
      </c>
      <c r="E111" s="249" t="s">
        <v>177</v>
      </c>
      <c r="F111" s="250">
        <v>152569</v>
      </c>
      <c r="G111" s="141">
        <v>118989.28</v>
      </c>
      <c r="H111" s="142">
        <f t="shared" si="35"/>
        <v>0.77990469885756608</v>
      </c>
      <c r="I111" s="143">
        <v>152569</v>
      </c>
      <c r="J111" s="144">
        <f>146000-1000-1500</f>
        <v>143500</v>
      </c>
      <c r="K111" s="591">
        <f t="shared" si="36"/>
        <v>0.94055804259056563</v>
      </c>
      <c r="L111" s="513" t="s">
        <v>234</v>
      </c>
      <c r="M111" s="505"/>
      <c r="N111" s="505"/>
      <c r="O111" s="506"/>
      <c r="P111" s="141"/>
      <c r="Q111" s="141">
        <f>146000-1000-1500</f>
        <v>143500</v>
      </c>
      <c r="R111" s="506"/>
      <c r="S111" s="506"/>
      <c r="T111" s="506"/>
      <c r="U111" s="506"/>
      <c r="V111" s="506"/>
      <c r="W111" s="506">
        <f t="shared" si="38"/>
        <v>143500</v>
      </c>
    </row>
    <row r="112" spans="1:23" x14ac:dyDescent="0.2">
      <c r="A112" s="79"/>
      <c r="B112" s="79"/>
      <c r="C112" s="253"/>
      <c r="D112" s="516">
        <v>4350</v>
      </c>
      <c r="E112" s="160" t="s">
        <v>235</v>
      </c>
      <c r="F112" s="634">
        <v>5000</v>
      </c>
      <c r="G112" s="83">
        <v>3264.78</v>
      </c>
      <c r="H112" s="142">
        <f t="shared" si="35"/>
        <v>0.65295600000000009</v>
      </c>
      <c r="I112" s="85">
        <v>4872.3100000000004</v>
      </c>
      <c r="J112" s="86">
        <v>5000</v>
      </c>
      <c r="K112" s="591">
        <f t="shared" si="36"/>
        <v>1</v>
      </c>
      <c r="L112" s="513"/>
      <c r="M112" s="505"/>
      <c r="N112" s="505"/>
      <c r="O112" s="506"/>
      <c r="P112" s="83"/>
      <c r="Q112" s="83">
        <v>5000</v>
      </c>
      <c r="R112" s="506"/>
      <c r="S112" s="506"/>
      <c r="T112" s="506"/>
      <c r="U112" s="506"/>
      <c r="V112" s="506"/>
      <c r="W112" s="506">
        <f t="shared" si="38"/>
        <v>5000</v>
      </c>
    </row>
    <row r="113" spans="1:23" ht="33.75" x14ac:dyDescent="0.2">
      <c r="A113" s="79"/>
      <c r="B113" s="79"/>
      <c r="C113" s="206"/>
      <c r="D113" s="391">
        <v>4360</v>
      </c>
      <c r="E113" s="163" t="s">
        <v>236</v>
      </c>
      <c r="F113" s="164">
        <v>24500</v>
      </c>
      <c r="G113" s="141">
        <v>21007.05</v>
      </c>
      <c r="H113" s="142">
        <f t="shared" si="35"/>
        <v>0.85743061224489792</v>
      </c>
      <c r="I113" s="143">
        <v>24500</v>
      </c>
      <c r="J113" s="144">
        <v>24500</v>
      </c>
      <c r="K113" s="591">
        <f t="shared" si="36"/>
        <v>1</v>
      </c>
      <c r="L113" s="604"/>
      <c r="M113" s="505"/>
      <c r="N113" s="505"/>
      <c r="O113" s="506"/>
      <c r="P113" s="141"/>
      <c r="Q113" s="141">
        <v>24500</v>
      </c>
      <c r="R113" s="506"/>
      <c r="S113" s="506"/>
      <c r="T113" s="506"/>
      <c r="U113" s="506"/>
      <c r="V113" s="506"/>
      <c r="W113" s="506">
        <f t="shared" si="38"/>
        <v>24500</v>
      </c>
    </row>
    <row r="114" spans="1:23" ht="33.75" x14ac:dyDescent="0.2">
      <c r="A114" s="79"/>
      <c r="B114" s="79"/>
      <c r="C114" s="79"/>
      <c r="D114" s="616">
        <v>4370</v>
      </c>
      <c r="E114" s="169" t="s">
        <v>237</v>
      </c>
      <c r="F114" s="326">
        <v>3300</v>
      </c>
      <c r="G114" s="141">
        <v>2037.36</v>
      </c>
      <c r="H114" s="142">
        <f t="shared" si="35"/>
        <v>0.61738181818181814</v>
      </c>
      <c r="I114" s="143">
        <v>3300</v>
      </c>
      <c r="J114" s="144">
        <v>1500</v>
      </c>
      <c r="K114" s="591">
        <f t="shared" si="36"/>
        <v>0.45454545454545453</v>
      </c>
      <c r="L114" s="604"/>
      <c r="M114" s="505"/>
      <c r="N114" s="505"/>
      <c r="O114" s="506"/>
      <c r="P114" s="141"/>
      <c r="Q114" s="141">
        <v>1500</v>
      </c>
      <c r="R114" s="506"/>
      <c r="S114" s="506"/>
      <c r="T114" s="506"/>
      <c r="U114" s="506"/>
      <c r="V114" s="506"/>
      <c r="W114" s="506">
        <f t="shared" si="38"/>
        <v>1500</v>
      </c>
    </row>
    <row r="115" spans="1:23" x14ac:dyDescent="0.2">
      <c r="A115" s="79"/>
      <c r="B115" s="79"/>
      <c r="C115" s="253"/>
      <c r="D115" s="516">
        <v>4380</v>
      </c>
      <c r="E115" s="160" t="s">
        <v>238</v>
      </c>
      <c r="F115" s="634">
        <v>1000</v>
      </c>
      <c r="G115" s="83">
        <v>0</v>
      </c>
      <c r="H115" s="142">
        <f t="shared" si="35"/>
        <v>0</v>
      </c>
      <c r="I115" s="85">
        <v>0</v>
      </c>
      <c r="J115" s="86">
        <v>1000</v>
      </c>
      <c r="K115" s="591">
        <f t="shared" si="36"/>
        <v>1</v>
      </c>
      <c r="L115" s="513"/>
      <c r="M115" s="505"/>
      <c r="N115" s="505"/>
      <c r="O115" s="506"/>
      <c r="P115" s="83"/>
      <c r="Q115" s="83">
        <v>1000</v>
      </c>
      <c r="R115" s="506"/>
      <c r="S115" s="506"/>
      <c r="T115" s="506"/>
      <c r="U115" s="506"/>
      <c r="V115" s="506"/>
      <c r="W115" s="506">
        <f t="shared" si="38"/>
        <v>1000</v>
      </c>
    </row>
    <row r="116" spans="1:23" ht="22.5" x14ac:dyDescent="0.2">
      <c r="A116" s="79"/>
      <c r="B116" s="79"/>
      <c r="C116" s="79"/>
      <c r="D116" s="616">
        <v>4390</v>
      </c>
      <c r="E116" s="169" t="s">
        <v>239</v>
      </c>
      <c r="F116" s="326">
        <v>48000</v>
      </c>
      <c r="G116" s="141">
        <v>25956.18</v>
      </c>
      <c r="H116" s="142">
        <f t="shared" si="35"/>
        <v>0.54075375000000003</v>
      </c>
      <c r="I116" s="143">
        <v>45018.74</v>
      </c>
      <c r="J116" s="144">
        <v>48000</v>
      </c>
      <c r="K116" s="591">
        <f t="shared" si="36"/>
        <v>1</v>
      </c>
      <c r="L116" s="604"/>
      <c r="M116" s="505"/>
      <c r="N116" s="505"/>
      <c r="O116" s="506"/>
      <c r="P116" s="141"/>
      <c r="Q116" s="141">
        <v>48000</v>
      </c>
      <c r="R116" s="506"/>
      <c r="S116" s="506"/>
      <c r="T116" s="506"/>
      <c r="U116" s="506"/>
      <c r="V116" s="506"/>
      <c r="W116" s="506">
        <f t="shared" si="38"/>
        <v>48000</v>
      </c>
    </row>
    <row r="117" spans="1:23" x14ac:dyDescent="0.2">
      <c r="A117" s="79"/>
      <c r="B117" s="79"/>
      <c r="C117" s="107"/>
      <c r="D117" s="514">
        <v>4410</v>
      </c>
      <c r="E117" s="109" t="s">
        <v>179</v>
      </c>
      <c r="F117" s="110">
        <v>52500</v>
      </c>
      <c r="G117" s="83">
        <v>29328.85</v>
      </c>
      <c r="H117" s="142">
        <f t="shared" si="35"/>
        <v>0.55864476190476187</v>
      </c>
      <c r="I117" s="85">
        <v>49723.43</v>
      </c>
      <c r="J117" s="86">
        <f>50000-1000</f>
        <v>49000</v>
      </c>
      <c r="K117" s="591">
        <f t="shared" si="36"/>
        <v>0.93333333333333335</v>
      </c>
      <c r="L117" s="513" t="s">
        <v>240</v>
      </c>
      <c r="M117" s="505"/>
      <c r="N117" s="505"/>
      <c r="O117" s="506"/>
      <c r="P117" s="83"/>
      <c r="Q117" s="83">
        <f>50000-1000</f>
        <v>49000</v>
      </c>
      <c r="R117" s="506"/>
      <c r="S117" s="506"/>
      <c r="T117" s="506"/>
      <c r="U117" s="506"/>
      <c r="V117" s="506"/>
      <c r="W117" s="506">
        <f t="shared" si="38"/>
        <v>49000</v>
      </c>
    </row>
    <row r="118" spans="1:23" x14ac:dyDescent="0.2">
      <c r="A118" s="79"/>
      <c r="B118" s="79"/>
      <c r="C118" s="253"/>
      <c r="D118" s="516">
        <v>4420</v>
      </c>
      <c r="E118" s="262" t="s">
        <v>218</v>
      </c>
      <c r="F118" s="161">
        <v>0</v>
      </c>
      <c r="G118" s="83">
        <v>0</v>
      </c>
      <c r="H118" s="142">
        <v>0</v>
      </c>
      <c r="I118" s="85">
        <v>0</v>
      </c>
      <c r="J118" s="86">
        <v>2000</v>
      </c>
      <c r="K118" s="591">
        <v>0</v>
      </c>
      <c r="L118" s="513" t="s">
        <v>162</v>
      </c>
      <c r="M118" s="505"/>
      <c r="N118" s="505"/>
      <c r="O118" s="506"/>
      <c r="P118" s="83"/>
      <c r="Q118" s="83"/>
      <c r="R118" s="506">
        <v>2000</v>
      </c>
      <c r="S118" s="506"/>
      <c r="T118" s="506"/>
      <c r="U118" s="506"/>
      <c r="V118" s="506"/>
      <c r="W118" s="506">
        <f t="shared" si="38"/>
        <v>2000</v>
      </c>
    </row>
    <row r="119" spans="1:23" ht="48.75" x14ac:dyDescent="0.2">
      <c r="A119" s="79"/>
      <c r="B119" s="79"/>
      <c r="C119" s="303"/>
      <c r="D119" s="574">
        <v>4430</v>
      </c>
      <c r="E119" s="249" t="s">
        <v>180</v>
      </c>
      <c r="F119" s="573">
        <v>73000</v>
      </c>
      <c r="G119" s="141">
        <v>72997.47</v>
      </c>
      <c r="H119" s="142">
        <f t="shared" si="35"/>
        <v>0.99996534246575342</v>
      </c>
      <c r="I119" s="143">
        <v>72997.47</v>
      </c>
      <c r="J119" s="144">
        <v>78000</v>
      </c>
      <c r="K119" s="591">
        <f t="shared" si="36"/>
        <v>1.0684931506849316</v>
      </c>
      <c r="L119" s="604" t="s">
        <v>241</v>
      </c>
      <c r="M119" s="505"/>
      <c r="N119" s="505"/>
      <c r="O119" s="506"/>
      <c r="P119" s="141"/>
      <c r="Q119" s="141">
        <v>13000</v>
      </c>
      <c r="R119" s="506">
        <v>65000</v>
      </c>
      <c r="S119" s="506"/>
      <c r="T119" s="506"/>
      <c r="U119" s="506"/>
      <c r="V119" s="506"/>
      <c r="W119" s="506">
        <f t="shared" si="38"/>
        <v>78000</v>
      </c>
    </row>
    <row r="120" spans="1:23" ht="29.25" x14ac:dyDescent="0.2">
      <c r="A120" s="79"/>
      <c r="B120" s="79"/>
      <c r="C120" s="253"/>
      <c r="D120" s="516">
        <v>4440</v>
      </c>
      <c r="E120" s="160" t="s">
        <v>242</v>
      </c>
      <c r="F120" s="161">
        <v>70764</v>
      </c>
      <c r="G120" s="83">
        <v>70764</v>
      </c>
      <c r="H120" s="142">
        <f t="shared" si="35"/>
        <v>1</v>
      </c>
      <c r="I120" s="85">
        <v>70764</v>
      </c>
      <c r="J120" s="86">
        <v>70764</v>
      </c>
      <c r="K120" s="611">
        <f t="shared" si="36"/>
        <v>1</v>
      </c>
      <c r="L120" s="513" t="s">
        <v>243</v>
      </c>
      <c r="M120" s="505"/>
      <c r="N120" s="505"/>
      <c r="O120" s="506"/>
      <c r="P120" s="83"/>
      <c r="Q120" s="83">
        <v>0</v>
      </c>
      <c r="R120" s="506">
        <v>70764</v>
      </c>
      <c r="S120" s="506"/>
      <c r="T120" s="506"/>
      <c r="U120" s="506"/>
      <c r="V120" s="506"/>
      <c r="W120" s="506">
        <f t="shared" si="38"/>
        <v>70764</v>
      </c>
    </row>
    <row r="121" spans="1:23" ht="22.5" x14ac:dyDescent="0.2">
      <c r="A121" s="79"/>
      <c r="B121" s="79"/>
      <c r="C121" s="79"/>
      <c r="D121" s="616">
        <v>4610</v>
      </c>
      <c r="E121" s="169" t="s">
        <v>206</v>
      </c>
      <c r="F121" s="326">
        <v>14000</v>
      </c>
      <c r="G121" s="141">
        <v>9919.52</v>
      </c>
      <c r="H121" s="142">
        <f t="shared" si="35"/>
        <v>0.70853714285714287</v>
      </c>
      <c r="I121" s="143"/>
      <c r="J121" s="144">
        <v>14000</v>
      </c>
      <c r="K121" s="591">
        <f t="shared" si="36"/>
        <v>1</v>
      </c>
      <c r="L121" s="513" t="s">
        <v>162</v>
      </c>
      <c r="M121" s="505"/>
      <c r="N121" s="505"/>
      <c r="O121" s="506"/>
      <c r="P121" s="83"/>
      <c r="Q121" s="83">
        <v>0</v>
      </c>
      <c r="R121" s="506">
        <v>14000</v>
      </c>
      <c r="S121" s="506"/>
      <c r="T121" s="506"/>
      <c r="U121" s="506"/>
      <c r="V121" s="506"/>
      <c r="W121" s="506">
        <f t="shared" si="38"/>
        <v>14000</v>
      </c>
    </row>
    <row r="122" spans="1:23" ht="22.5" x14ac:dyDescent="0.2">
      <c r="A122" s="79"/>
      <c r="B122" s="79"/>
      <c r="C122" s="253"/>
      <c r="D122" s="516">
        <v>4700</v>
      </c>
      <c r="E122" s="160" t="s">
        <v>181</v>
      </c>
      <c r="F122" s="161">
        <v>20000</v>
      </c>
      <c r="G122" s="83">
        <v>11581.37</v>
      </c>
      <c r="H122" s="142">
        <f t="shared" si="35"/>
        <v>0.57906849999999999</v>
      </c>
      <c r="I122" s="85">
        <v>17717.37</v>
      </c>
      <c r="J122" s="86">
        <v>20000</v>
      </c>
      <c r="K122" s="591">
        <f t="shared" si="36"/>
        <v>1</v>
      </c>
      <c r="L122" s="513"/>
      <c r="M122" s="505"/>
      <c r="N122" s="505"/>
      <c r="O122" s="506"/>
      <c r="P122" s="83"/>
      <c r="Q122" s="83">
        <v>20000</v>
      </c>
      <c r="R122" s="506"/>
      <c r="S122" s="506"/>
      <c r="T122" s="506"/>
      <c r="U122" s="506"/>
      <c r="V122" s="506"/>
      <c r="W122" s="506">
        <f t="shared" si="38"/>
        <v>20000</v>
      </c>
    </row>
    <row r="123" spans="1:23" x14ac:dyDescent="0.2">
      <c r="A123" s="79"/>
      <c r="B123" s="79"/>
      <c r="C123" s="427"/>
      <c r="D123" s="609">
        <v>6050</v>
      </c>
      <c r="E123" s="269" t="s">
        <v>182</v>
      </c>
      <c r="F123" s="666">
        <v>25000</v>
      </c>
      <c r="G123" s="83">
        <v>0</v>
      </c>
      <c r="H123" s="142">
        <f t="shared" si="35"/>
        <v>0</v>
      </c>
      <c r="I123" s="85">
        <v>0</v>
      </c>
      <c r="J123" s="86">
        <v>0</v>
      </c>
      <c r="K123" s="611">
        <f t="shared" si="36"/>
        <v>0</v>
      </c>
      <c r="L123" s="513"/>
      <c r="M123" s="505"/>
      <c r="N123" s="505"/>
      <c r="O123" s="506"/>
      <c r="P123" s="141"/>
      <c r="Q123" s="141">
        <v>0</v>
      </c>
      <c r="R123" s="506"/>
      <c r="S123" s="506"/>
      <c r="T123" s="506"/>
      <c r="U123" s="506"/>
      <c r="V123" s="506"/>
      <c r="W123" s="506">
        <f t="shared" si="38"/>
        <v>0</v>
      </c>
    </row>
    <row r="124" spans="1:23" ht="48.75" x14ac:dyDescent="0.2">
      <c r="A124" s="79"/>
      <c r="B124" s="206"/>
      <c r="C124" s="206"/>
      <c r="D124" s="391">
        <v>6060</v>
      </c>
      <c r="E124" s="163" t="s">
        <v>207</v>
      </c>
      <c r="F124" s="164">
        <v>5000</v>
      </c>
      <c r="G124" s="141">
        <v>4896</v>
      </c>
      <c r="H124" s="142">
        <f t="shared" si="35"/>
        <v>0.97919999999999996</v>
      </c>
      <c r="I124" s="143">
        <v>4896</v>
      </c>
      <c r="J124" s="144">
        <v>5000</v>
      </c>
      <c r="K124" s="611">
        <f t="shared" si="36"/>
        <v>1</v>
      </c>
      <c r="L124" s="604" t="s">
        <v>244</v>
      </c>
      <c r="M124" s="505"/>
      <c r="N124" s="505"/>
      <c r="O124" s="506"/>
      <c r="P124" s="141"/>
      <c r="Q124" s="141">
        <v>5000</v>
      </c>
      <c r="R124" s="506"/>
      <c r="S124" s="506"/>
      <c r="T124" s="506"/>
      <c r="U124" s="506"/>
      <c r="V124" s="506"/>
      <c r="W124" s="506">
        <f t="shared" si="38"/>
        <v>5000</v>
      </c>
    </row>
    <row r="125" spans="1:23" ht="45" x14ac:dyDescent="0.2">
      <c r="A125" s="79"/>
      <c r="B125" s="152">
        <v>75053</v>
      </c>
      <c r="C125" s="234"/>
      <c r="D125" s="71"/>
      <c r="E125" s="104" t="s">
        <v>58</v>
      </c>
      <c r="F125" s="781">
        <f>F126</f>
        <v>2000</v>
      </c>
      <c r="G125" s="781">
        <f>G126</f>
        <v>0</v>
      </c>
      <c r="H125" s="258">
        <f t="shared" si="35"/>
        <v>0</v>
      </c>
      <c r="I125" s="156">
        <f>I126</f>
        <v>0</v>
      </c>
      <c r="J125" s="157">
        <f>J126</f>
        <v>0</v>
      </c>
      <c r="K125" s="1076">
        <f>J125/F125</f>
        <v>0</v>
      </c>
      <c r="L125" s="1080"/>
      <c r="M125" s="510">
        <f t="shared" ref="M125:V125" si="39">M126</f>
        <v>0</v>
      </c>
      <c r="N125" s="510">
        <f t="shared" si="39"/>
        <v>0</v>
      </c>
      <c r="O125" s="510">
        <f t="shared" si="39"/>
        <v>0</v>
      </c>
      <c r="P125" s="510">
        <f t="shared" si="39"/>
        <v>0</v>
      </c>
      <c r="Q125" s="510">
        <f t="shared" si="39"/>
        <v>0</v>
      </c>
      <c r="R125" s="510">
        <f t="shared" si="39"/>
        <v>0</v>
      </c>
      <c r="S125" s="510">
        <f t="shared" si="39"/>
        <v>0</v>
      </c>
      <c r="T125" s="510">
        <f t="shared" si="39"/>
        <v>0</v>
      </c>
      <c r="U125" s="510">
        <f t="shared" si="39"/>
        <v>0</v>
      </c>
      <c r="V125" s="510">
        <f t="shared" si="39"/>
        <v>0</v>
      </c>
      <c r="W125" s="510">
        <f t="shared" si="38"/>
        <v>0</v>
      </c>
    </row>
    <row r="126" spans="1:23" x14ac:dyDescent="0.2">
      <c r="A126" s="79"/>
      <c r="B126" s="667"/>
      <c r="C126" s="107"/>
      <c r="D126" s="514">
        <v>4210</v>
      </c>
      <c r="E126" s="109" t="s">
        <v>176</v>
      </c>
      <c r="F126" s="668">
        <v>2000</v>
      </c>
      <c r="G126" s="668">
        <v>0</v>
      </c>
      <c r="H126" s="669">
        <f>G126/F126</f>
        <v>0</v>
      </c>
      <c r="I126" s="41">
        <v>0</v>
      </c>
      <c r="J126" s="42">
        <v>0</v>
      </c>
      <c r="K126" s="1085">
        <f>J126/F126</f>
        <v>0</v>
      </c>
      <c r="L126" s="670"/>
      <c r="M126" s="505"/>
      <c r="N126" s="505"/>
      <c r="O126" s="506"/>
      <c r="P126" s="505"/>
      <c r="Q126" s="505"/>
      <c r="R126" s="506"/>
      <c r="S126" s="506"/>
      <c r="T126" s="506"/>
      <c r="U126" s="506"/>
      <c r="V126" s="506"/>
      <c r="W126" s="506">
        <f t="shared" si="38"/>
        <v>0</v>
      </c>
    </row>
    <row r="127" spans="1:23" x14ac:dyDescent="0.2">
      <c r="A127" s="79"/>
      <c r="B127" s="118">
        <v>75075</v>
      </c>
      <c r="C127" s="70"/>
      <c r="D127" s="103"/>
      <c r="E127" s="72" t="s">
        <v>245</v>
      </c>
      <c r="F127" s="314">
        <f>SUM(F128:F130)</f>
        <v>22000</v>
      </c>
      <c r="G127" s="314">
        <f>SUM(G128:G130)</f>
        <v>14922.93</v>
      </c>
      <c r="H127" s="315">
        <f t="shared" si="35"/>
        <v>0.678315</v>
      </c>
      <c r="I127" s="388">
        <f>SUM(I128:I130)</f>
        <v>20000</v>
      </c>
      <c r="J127" s="389">
        <f>SUM(J128:J130)</f>
        <v>37000</v>
      </c>
      <c r="K127" s="1086">
        <f>J127/F127</f>
        <v>1.6818181818181819</v>
      </c>
      <c r="L127" s="1080"/>
      <c r="M127" s="510">
        <f t="shared" ref="M127:V127" si="40">SUM(M128:M130)</f>
        <v>0</v>
      </c>
      <c r="N127" s="510">
        <f t="shared" si="40"/>
        <v>0</v>
      </c>
      <c r="O127" s="510">
        <f t="shared" si="40"/>
        <v>0</v>
      </c>
      <c r="P127" s="510">
        <f t="shared" si="40"/>
        <v>0</v>
      </c>
      <c r="Q127" s="510">
        <f t="shared" si="40"/>
        <v>0</v>
      </c>
      <c r="R127" s="510">
        <f t="shared" si="40"/>
        <v>0</v>
      </c>
      <c r="S127" s="510">
        <f t="shared" si="40"/>
        <v>0</v>
      </c>
      <c r="T127" s="510">
        <f t="shared" si="40"/>
        <v>37000</v>
      </c>
      <c r="U127" s="510">
        <f t="shared" si="40"/>
        <v>0</v>
      </c>
      <c r="V127" s="510">
        <f t="shared" si="40"/>
        <v>0</v>
      </c>
      <c r="W127" s="510">
        <f t="shared" si="38"/>
        <v>37000</v>
      </c>
    </row>
    <row r="128" spans="1:23" x14ac:dyDescent="0.2">
      <c r="A128" s="79"/>
      <c r="B128" s="79"/>
      <c r="C128" s="107"/>
      <c r="D128" s="514">
        <v>4170</v>
      </c>
      <c r="E128" s="109" t="s">
        <v>184</v>
      </c>
      <c r="F128" s="530">
        <v>2000</v>
      </c>
      <c r="G128" s="141">
        <v>0</v>
      </c>
      <c r="H128" s="142">
        <f t="shared" si="35"/>
        <v>0</v>
      </c>
      <c r="I128" s="143">
        <v>0</v>
      </c>
      <c r="J128" s="144">
        <v>2000</v>
      </c>
      <c r="K128" s="591">
        <f t="shared" si="36"/>
        <v>1</v>
      </c>
      <c r="L128" s="513"/>
      <c r="M128" s="505"/>
      <c r="N128" s="505"/>
      <c r="O128" s="506"/>
      <c r="P128" s="505"/>
      <c r="Q128" s="505"/>
      <c r="R128" s="506"/>
      <c r="S128" s="506"/>
      <c r="T128" s="506">
        <v>2000</v>
      </c>
      <c r="U128" s="506"/>
      <c r="V128" s="506"/>
      <c r="W128" s="506">
        <f t="shared" si="38"/>
        <v>2000</v>
      </c>
    </row>
    <row r="129" spans="1:23" x14ac:dyDescent="0.2">
      <c r="A129" s="79"/>
      <c r="B129" s="79"/>
      <c r="C129" s="107"/>
      <c r="D129" s="514">
        <v>4210</v>
      </c>
      <c r="E129" s="109" t="s">
        <v>176</v>
      </c>
      <c r="F129" s="110">
        <v>10000</v>
      </c>
      <c r="G129" s="83">
        <v>6080.7</v>
      </c>
      <c r="H129" s="84">
        <f t="shared" si="35"/>
        <v>0.60807</v>
      </c>
      <c r="I129" s="85">
        <v>10000</v>
      </c>
      <c r="J129" s="86">
        <v>15000</v>
      </c>
      <c r="K129" s="591">
        <f t="shared" si="36"/>
        <v>1.5</v>
      </c>
      <c r="L129" s="513"/>
      <c r="M129" s="505"/>
      <c r="N129" s="505"/>
      <c r="O129" s="506"/>
      <c r="P129" s="505"/>
      <c r="Q129" s="505"/>
      <c r="R129" s="506"/>
      <c r="S129" s="506"/>
      <c r="T129" s="506">
        <v>15000</v>
      </c>
      <c r="U129" s="506"/>
      <c r="V129" s="506"/>
      <c r="W129" s="506">
        <f t="shared" si="38"/>
        <v>15000</v>
      </c>
    </row>
    <row r="130" spans="1:23" x14ac:dyDescent="0.2">
      <c r="A130" s="79"/>
      <c r="B130" s="79"/>
      <c r="C130" s="107"/>
      <c r="D130" s="514">
        <v>4300</v>
      </c>
      <c r="E130" s="109" t="s">
        <v>177</v>
      </c>
      <c r="F130" s="110">
        <v>10000</v>
      </c>
      <c r="G130" s="83">
        <v>8842.23</v>
      </c>
      <c r="H130" s="84">
        <f t="shared" si="35"/>
        <v>0.88422299999999998</v>
      </c>
      <c r="I130" s="85">
        <v>10000</v>
      </c>
      <c r="J130" s="86">
        <v>20000</v>
      </c>
      <c r="K130" s="591">
        <f t="shared" si="36"/>
        <v>2</v>
      </c>
      <c r="L130" s="513"/>
      <c r="M130" s="505"/>
      <c r="N130" s="505"/>
      <c r="O130" s="506"/>
      <c r="P130" s="505"/>
      <c r="Q130" s="505"/>
      <c r="R130" s="506"/>
      <c r="S130" s="506"/>
      <c r="T130" s="506">
        <v>20000</v>
      </c>
      <c r="U130" s="506"/>
      <c r="V130" s="506"/>
      <c r="W130" s="506">
        <f t="shared" si="38"/>
        <v>20000</v>
      </c>
    </row>
    <row r="131" spans="1:23" x14ac:dyDescent="0.2">
      <c r="A131" s="79"/>
      <c r="B131" s="118">
        <v>75095</v>
      </c>
      <c r="C131" s="70"/>
      <c r="D131" s="103"/>
      <c r="E131" s="72" t="s">
        <v>23</v>
      </c>
      <c r="F131" s="105">
        <f>SUM(F132:F134)</f>
        <v>189710</v>
      </c>
      <c r="G131" s="105">
        <f>SUM(G132:G134)</f>
        <v>131028.63</v>
      </c>
      <c r="H131" s="74">
        <f t="shared" si="35"/>
        <v>0.69067856201570821</v>
      </c>
      <c r="I131" s="75">
        <f>SUM(I132:I134)</f>
        <v>189450</v>
      </c>
      <c r="J131" s="76">
        <f>SUM(J132:J134)</f>
        <v>213500</v>
      </c>
      <c r="K131" s="1084">
        <f>J131/F131</f>
        <v>1.1254019292604502</v>
      </c>
      <c r="L131" s="1080"/>
      <c r="M131" s="510">
        <f t="shared" ref="M131:V131" si="41">SUM(M132:M134)</f>
        <v>0</v>
      </c>
      <c r="N131" s="510">
        <f t="shared" si="41"/>
        <v>0</v>
      </c>
      <c r="O131" s="510">
        <f t="shared" si="41"/>
        <v>0</v>
      </c>
      <c r="P131" s="510">
        <f t="shared" si="41"/>
        <v>0</v>
      </c>
      <c r="Q131" s="510">
        <f t="shared" si="41"/>
        <v>93500</v>
      </c>
      <c r="R131" s="510">
        <f t="shared" si="41"/>
        <v>120000</v>
      </c>
      <c r="S131" s="510">
        <f t="shared" si="41"/>
        <v>0</v>
      </c>
      <c r="T131" s="510">
        <f t="shared" si="41"/>
        <v>0</v>
      </c>
      <c r="U131" s="510">
        <f t="shared" si="41"/>
        <v>0</v>
      </c>
      <c r="V131" s="510">
        <f t="shared" si="41"/>
        <v>0</v>
      </c>
      <c r="W131" s="510">
        <f t="shared" si="38"/>
        <v>213500</v>
      </c>
    </row>
    <row r="132" spans="1:23" x14ac:dyDescent="0.2">
      <c r="A132" s="79"/>
      <c r="B132" s="79"/>
      <c r="C132" s="107"/>
      <c r="D132" s="514">
        <v>3030</v>
      </c>
      <c r="E132" s="109" t="s">
        <v>216</v>
      </c>
      <c r="F132" s="110">
        <v>89110</v>
      </c>
      <c r="G132" s="83">
        <v>66830.399999999994</v>
      </c>
      <c r="H132" s="84">
        <f t="shared" si="35"/>
        <v>0.74997643362136679</v>
      </c>
      <c r="I132" s="85">
        <v>89110</v>
      </c>
      <c r="J132" s="86">
        <v>92820</v>
      </c>
      <c r="K132" s="592">
        <f t="shared" si="36"/>
        <v>1.0416339355852318</v>
      </c>
      <c r="L132" s="513"/>
      <c r="M132" s="505"/>
      <c r="N132" s="505"/>
      <c r="O132" s="506"/>
      <c r="P132" s="505"/>
      <c r="Q132" s="505">
        <v>92820</v>
      </c>
      <c r="R132" s="506"/>
      <c r="S132" s="506"/>
      <c r="T132" s="506"/>
      <c r="U132" s="506"/>
      <c r="V132" s="506"/>
      <c r="W132" s="506">
        <f t="shared" si="38"/>
        <v>92820</v>
      </c>
    </row>
    <row r="133" spans="1:23" ht="29.25" x14ac:dyDescent="0.2">
      <c r="A133" s="79"/>
      <c r="B133" s="79"/>
      <c r="C133" s="107"/>
      <c r="D133" s="514">
        <v>4100</v>
      </c>
      <c r="E133" s="109" t="s">
        <v>246</v>
      </c>
      <c r="F133" s="110">
        <v>100000</v>
      </c>
      <c r="G133" s="83">
        <v>63858.23</v>
      </c>
      <c r="H133" s="84">
        <f t="shared" si="35"/>
        <v>0.63858230000000005</v>
      </c>
      <c r="I133" s="85">
        <v>100000</v>
      </c>
      <c r="J133" s="86">
        <v>120000</v>
      </c>
      <c r="K133" s="592">
        <f t="shared" si="36"/>
        <v>1.2</v>
      </c>
      <c r="L133" s="513" t="s">
        <v>247</v>
      </c>
      <c r="M133" s="505"/>
      <c r="N133" s="505"/>
      <c r="O133" s="506"/>
      <c r="P133" s="505"/>
      <c r="Q133" s="505"/>
      <c r="R133" s="506">
        <v>120000</v>
      </c>
      <c r="S133" s="506"/>
      <c r="T133" s="506"/>
      <c r="U133" s="506"/>
      <c r="V133" s="506"/>
      <c r="W133" s="506">
        <f t="shared" si="38"/>
        <v>120000</v>
      </c>
    </row>
    <row r="134" spans="1:23" ht="19.5" x14ac:dyDescent="0.2">
      <c r="A134" s="79"/>
      <c r="B134" s="79"/>
      <c r="C134" s="107"/>
      <c r="D134" s="514">
        <v>4430</v>
      </c>
      <c r="E134" s="109" t="s">
        <v>180</v>
      </c>
      <c r="F134" s="191">
        <v>600</v>
      </c>
      <c r="G134" s="83">
        <v>340</v>
      </c>
      <c r="H134" s="84">
        <f t="shared" si="35"/>
        <v>0.56666666666666665</v>
      </c>
      <c r="I134" s="85">
        <v>340</v>
      </c>
      <c r="J134" s="86">
        <v>680</v>
      </c>
      <c r="K134" s="592">
        <f t="shared" si="36"/>
        <v>1.1333333333333333</v>
      </c>
      <c r="L134" s="513" t="s">
        <v>248</v>
      </c>
      <c r="M134" s="505"/>
      <c r="N134" s="505"/>
      <c r="O134" s="506"/>
      <c r="P134" s="505"/>
      <c r="Q134" s="505">
        <v>680</v>
      </c>
      <c r="R134" s="506"/>
      <c r="S134" s="506"/>
      <c r="T134" s="506"/>
      <c r="U134" s="506"/>
      <c r="V134" s="506"/>
      <c r="W134" s="506">
        <f t="shared" si="38"/>
        <v>680</v>
      </c>
    </row>
    <row r="135" spans="1:23" ht="33.75" x14ac:dyDescent="0.2">
      <c r="A135" s="531">
        <v>751</v>
      </c>
      <c r="B135" s="145"/>
      <c r="C135" s="145"/>
      <c r="D135" s="192"/>
      <c r="E135" s="193" t="s">
        <v>56</v>
      </c>
      <c r="F135" s="194">
        <f>F136+F140+F148</f>
        <v>133206</v>
      </c>
      <c r="G135" s="194">
        <f>G136+G140+G148</f>
        <v>35596</v>
      </c>
      <c r="H135" s="195">
        <f t="shared" si="35"/>
        <v>0.2672252000660631</v>
      </c>
      <c r="I135" s="196">
        <f>I136+I140+I148</f>
        <v>133206</v>
      </c>
      <c r="J135" s="197">
        <f>J136+J140+J148</f>
        <v>2949</v>
      </c>
      <c r="K135" s="1111">
        <f>J135/F135</f>
        <v>2.2138642403495338E-2</v>
      </c>
      <c r="L135" s="1105"/>
      <c r="M135" s="576">
        <f t="shared" ref="M135:V135" si="42">M136+M140+M148</f>
        <v>0</v>
      </c>
      <c r="N135" s="576">
        <f t="shared" si="42"/>
        <v>0</v>
      </c>
      <c r="O135" s="576">
        <f t="shared" si="42"/>
        <v>0</v>
      </c>
      <c r="P135" s="576">
        <f t="shared" si="42"/>
        <v>0</v>
      </c>
      <c r="Q135" s="576">
        <f t="shared" si="42"/>
        <v>0</v>
      </c>
      <c r="R135" s="576">
        <f t="shared" si="42"/>
        <v>2949</v>
      </c>
      <c r="S135" s="576">
        <f t="shared" si="42"/>
        <v>0</v>
      </c>
      <c r="T135" s="576">
        <f t="shared" si="42"/>
        <v>0</v>
      </c>
      <c r="U135" s="576">
        <f t="shared" si="42"/>
        <v>0</v>
      </c>
      <c r="V135" s="576">
        <f t="shared" si="42"/>
        <v>0</v>
      </c>
      <c r="W135" s="576">
        <f t="shared" si="38"/>
        <v>2949</v>
      </c>
    </row>
    <row r="136" spans="1:23" ht="22.5" x14ac:dyDescent="0.2">
      <c r="A136" s="79"/>
      <c r="B136" s="237">
        <v>75101</v>
      </c>
      <c r="C136" s="295"/>
      <c r="D136" s="296"/>
      <c r="E136" s="297" t="s">
        <v>57</v>
      </c>
      <c r="F136" s="671">
        <f>SUM(F137:F139)</f>
        <v>2930</v>
      </c>
      <c r="G136" s="671">
        <f>SUM(G137:G139)</f>
        <v>2196</v>
      </c>
      <c r="H136" s="299">
        <f t="shared" si="35"/>
        <v>0.74948805460750856</v>
      </c>
      <c r="I136" s="300">
        <f>SUM(I137:I139)</f>
        <v>2930</v>
      </c>
      <c r="J136" s="301">
        <f>SUM(J137:J139)</f>
        <v>2949</v>
      </c>
      <c r="K136" s="1098">
        <f>J136/F136</f>
        <v>1.0064846416382252</v>
      </c>
      <c r="L136" s="1088"/>
      <c r="M136" s="570">
        <f t="shared" ref="M136:V136" si="43">SUM(M137:M139)</f>
        <v>0</v>
      </c>
      <c r="N136" s="570">
        <f t="shared" si="43"/>
        <v>0</v>
      </c>
      <c r="O136" s="570">
        <f t="shared" si="43"/>
        <v>0</v>
      </c>
      <c r="P136" s="570">
        <f t="shared" si="43"/>
        <v>0</v>
      </c>
      <c r="Q136" s="570">
        <f t="shared" si="43"/>
        <v>0</v>
      </c>
      <c r="R136" s="570">
        <f t="shared" si="43"/>
        <v>2949</v>
      </c>
      <c r="S136" s="570">
        <f t="shared" si="43"/>
        <v>0</v>
      </c>
      <c r="T136" s="570">
        <f t="shared" si="43"/>
        <v>0</v>
      </c>
      <c r="U136" s="570">
        <f t="shared" si="43"/>
        <v>0</v>
      </c>
      <c r="V136" s="570">
        <f t="shared" si="43"/>
        <v>0</v>
      </c>
      <c r="W136" s="570">
        <f t="shared" si="38"/>
        <v>2949</v>
      </c>
    </row>
    <row r="137" spans="1:23" x14ac:dyDescent="0.2">
      <c r="A137" s="79"/>
      <c r="B137" s="79"/>
      <c r="C137" s="303"/>
      <c r="D137" s="574">
        <v>4010</v>
      </c>
      <c r="E137" s="249" t="s">
        <v>173</v>
      </c>
      <c r="F137" s="530">
        <v>2449</v>
      </c>
      <c r="G137" s="141">
        <v>1875.52</v>
      </c>
      <c r="H137" s="142">
        <f t="shared" si="35"/>
        <v>0.76583095140873825</v>
      </c>
      <c r="I137" s="530">
        <v>2449</v>
      </c>
      <c r="J137" s="672">
        <v>2464.9</v>
      </c>
      <c r="K137" s="591">
        <f t="shared" si="36"/>
        <v>1.0064924458962843</v>
      </c>
      <c r="L137" s="604"/>
      <c r="M137" s="505"/>
      <c r="N137" s="505"/>
      <c r="O137" s="506"/>
      <c r="P137" s="505"/>
      <c r="Q137" s="505"/>
      <c r="R137" s="530">
        <v>2464.9</v>
      </c>
      <c r="S137" s="506"/>
      <c r="T137" s="506"/>
      <c r="U137" s="506"/>
      <c r="V137" s="506"/>
      <c r="W137" s="506">
        <f t="shared" si="38"/>
        <v>2464.9</v>
      </c>
    </row>
    <row r="138" spans="1:23" x14ac:dyDescent="0.2">
      <c r="A138" s="79"/>
      <c r="B138" s="79"/>
      <c r="C138" s="253"/>
      <c r="D138" s="516">
        <v>4110</v>
      </c>
      <c r="E138" s="160" t="s">
        <v>174</v>
      </c>
      <c r="F138" s="673">
        <v>421</v>
      </c>
      <c r="G138" s="83">
        <v>280.48</v>
      </c>
      <c r="H138" s="142">
        <f t="shared" si="35"/>
        <v>0.66622327790973879</v>
      </c>
      <c r="I138" s="673">
        <v>421</v>
      </c>
      <c r="J138" s="674">
        <v>423.71</v>
      </c>
      <c r="K138" s="591">
        <f t="shared" si="36"/>
        <v>1.0064370546318289</v>
      </c>
      <c r="L138" s="513"/>
      <c r="M138" s="505"/>
      <c r="N138" s="505"/>
      <c r="O138" s="506"/>
      <c r="P138" s="505"/>
      <c r="Q138" s="505"/>
      <c r="R138" s="673">
        <v>423.71</v>
      </c>
      <c r="S138" s="506"/>
      <c r="T138" s="506"/>
      <c r="U138" s="506"/>
      <c r="V138" s="506"/>
      <c r="W138" s="506">
        <f t="shared" ref="W138:W139" si="44">SUM(M138:V138)</f>
        <v>423.71</v>
      </c>
    </row>
    <row r="139" spans="1:23" x14ac:dyDescent="0.2">
      <c r="A139" s="675"/>
      <c r="B139" s="206"/>
      <c r="C139" s="206"/>
      <c r="D139" s="391">
        <v>4120</v>
      </c>
      <c r="E139" s="163" t="s">
        <v>175</v>
      </c>
      <c r="F139" s="676">
        <v>60</v>
      </c>
      <c r="G139" s="141">
        <v>40</v>
      </c>
      <c r="H139" s="142">
        <f t="shared" si="35"/>
        <v>0.66666666666666663</v>
      </c>
      <c r="I139" s="676">
        <v>60</v>
      </c>
      <c r="J139" s="677">
        <v>60.39</v>
      </c>
      <c r="K139" s="591">
        <f t="shared" si="36"/>
        <v>1.0065</v>
      </c>
      <c r="L139" s="513"/>
      <c r="M139" s="505"/>
      <c r="N139" s="505"/>
      <c r="O139" s="506"/>
      <c r="P139" s="505"/>
      <c r="Q139" s="505"/>
      <c r="R139" s="676">
        <v>60.39</v>
      </c>
      <c r="S139" s="506"/>
      <c r="T139" s="506"/>
      <c r="U139" s="506"/>
      <c r="V139" s="506"/>
      <c r="W139" s="506">
        <f t="shared" si="44"/>
        <v>60.39</v>
      </c>
    </row>
    <row r="140" spans="1:23" ht="45" x14ac:dyDescent="0.2">
      <c r="A140" s="79"/>
      <c r="B140" s="237">
        <v>75109</v>
      </c>
      <c r="C140" s="295"/>
      <c r="D140" s="296"/>
      <c r="E140" s="72" t="s">
        <v>58</v>
      </c>
      <c r="F140" s="671">
        <f>SUM(F141:F147)</f>
        <v>96876.000000000015</v>
      </c>
      <c r="G140" s="671">
        <f>SUM(G141:G147)</f>
        <v>0</v>
      </c>
      <c r="H140" s="299">
        <f t="shared" si="35"/>
        <v>0</v>
      </c>
      <c r="I140" s="300">
        <f>SUM(I141:I147)</f>
        <v>96876.000000000015</v>
      </c>
      <c r="J140" s="301">
        <f>SUM(J141:J147)</f>
        <v>0</v>
      </c>
      <c r="K140" s="1098">
        <f>J140/F140</f>
        <v>0</v>
      </c>
      <c r="L140" s="1088"/>
      <c r="M140" s="570">
        <f t="shared" ref="M140:V140" si="45">SUM(M141:M147)</f>
        <v>0</v>
      </c>
      <c r="N140" s="570">
        <f t="shared" si="45"/>
        <v>0</v>
      </c>
      <c r="O140" s="570">
        <f t="shared" si="45"/>
        <v>0</v>
      </c>
      <c r="P140" s="570">
        <f t="shared" si="45"/>
        <v>0</v>
      </c>
      <c r="Q140" s="570">
        <f t="shared" si="45"/>
        <v>0</v>
      </c>
      <c r="R140" s="570">
        <f t="shared" si="45"/>
        <v>0</v>
      </c>
      <c r="S140" s="570">
        <f t="shared" si="45"/>
        <v>0</v>
      </c>
      <c r="T140" s="570">
        <f t="shared" si="45"/>
        <v>0</v>
      </c>
      <c r="U140" s="570">
        <f t="shared" si="45"/>
        <v>0</v>
      </c>
      <c r="V140" s="570">
        <f t="shared" si="45"/>
        <v>0</v>
      </c>
      <c r="W140" s="570">
        <f>SUM(M140:V140)</f>
        <v>0</v>
      </c>
    </row>
    <row r="141" spans="1:23" x14ac:dyDescent="0.2">
      <c r="A141" s="79"/>
      <c r="B141" s="352"/>
      <c r="C141" s="555"/>
      <c r="D141" s="516">
        <v>3030</v>
      </c>
      <c r="E141" s="160" t="s">
        <v>216</v>
      </c>
      <c r="F141" s="678">
        <v>62995</v>
      </c>
      <c r="G141" s="468">
        <v>0</v>
      </c>
      <c r="H141" s="322">
        <f>G141/F141</f>
        <v>0</v>
      </c>
      <c r="I141" s="678">
        <v>62995</v>
      </c>
      <c r="J141" s="357">
        <v>0</v>
      </c>
      <c r="K141" s="66">
        <f>J141/F141</f>
        <v>0</v>
      </c>
      <c r="L141" s="679"/>
      <c r="M141" s="505"/>
      <c r="N141" s="505"/>
      <c r="O141" s="506"/>
      <c r="P141" s="505"/>
      <c r="Q141" s="505"/>
      <c r="R141" s="506"/>
      <c r="S141" s="506"/>
      <c r="T141" s="506"/>
      <c r="U141" s="506"/>
      <c r="V141" s="506"/>
      <c r="W141" s="506">
        <f>SUM(M141:V141)</f>
        <v>0</v>
      </c>
    </row>
    <row r="142" spans="1:23" x14ac:dyDescent="0.2">
      <c r="A142" s="79"/>
      <c r="B142" s="79"/>
      <c r="C142" s="303"/>
      <c r="D142" s="391">
        <v>4110</v>
      </c>
      <c r="E142" s="163" t="s">
        <v>174</v>
      </c>
      <c r="F142" s="530">
        <v>2153.23</v>
      </c>
      <c r="G142" s="141">
        <v>0</v>
      </c>
      <c r="H142" s="142">
        <f t="shared" si="35"/>
        <v>0</v>
      </c>
      <c r="I142" s="530">
        <v>2153.23</v>
      </c>
      <c r="J142" s="144">
        <v>0</v>
      </c>
      <c r="K142" s="66">
        <f t="shared" ref="K142:K147" si="46">J142/F142</f>
        <v>0</v>
      </c>
      <c r="L142" s="604"/>
      <c r="M142" s="505"/>
      <c r="N142" s="505"/>
      <c r="O142" s="506"/>
      <c r="P142" s="505"/>
      <c r="Q142" s="505"/>
      <c r="R142" s="506"/>
      <c r="S142" s="506"/>
      <c r="T142" s="506"/>
      <c r="U142" s="506"/>
      <c r="V142" s="506"/>
      <c r="W142" s="506">
        <f t="shared" ref="W142:W147" si="47">SUM(M142:V142)</f>
        <v>0</v>
      </c>
    </row>
    <row r="143" spans="1:23" x14ac:dyDescent="0.2">
      <c r="A143" s="79"/>
      <c r="B143" s="79"/>
      <c r="C143" s="253"/>
      <c r="D143" s="391">
        <v>4120</v>
      </c>
      <c r="E143" s="163" t="s">
        <v>175</v>
      </c>
      <c r="F143" s="673">
        <v>257.66000000000003</v>
      </c>
      <c r="G143" s="83">
        <v>0</v>
      </c>
      <c r="H143" s="84">
        <f t="shared" si="35"/>
        <v>0</v>
      </c>
      <c r="I143" s="673">
        <v>257.66000000000003</v>
      </c>
      <c r="J143" s="86">
        <v>0</v>
      </c>
      <c r="K143" s="66">
        <f t="shared" si="46"/>
        <v>0</v>
      </c>
      <c r="L143" s="513"/>
      <c r="M143" s="505"/>
      <c r="N143" s="505"/>
      <c r="O143" s="506"/>
      <c r="P143" s="505"/>
      <c r="Q143" s="505"/>
      <c r="R143" s="506"/>
      <c r="S143" s="506"/>
      <c r="T143" s="506"/>
      <c r="U143" s="506"/>
      <c r="V143" s="506"/>
      <c r="W143" s="506">
        <f t="shared" si="47"/>
        <v>0</v>
      </c>
    </row>
    <row r="144" spans="1:23" x14ac:dyDescent="0.2">
      <c r="A144" s="675"/>
      <c r="B144" s="675"/>
      <c r="C144" s="206"/>
      <c r="D144" s="391">
        <v>4170</v>
      </c>
      <c r="E144" s="163" t="s">
        <v>184</v>
      </c>
      <c r="F144" s="680">
        <v>16576</v>
      </c>
      <c r="G144" s="141">
        <v>0</v>
      </c>
      <c r="H144" s="142">
        <f t="shared" si="35"/>
        <v>0</v>
      </c>
      <c r="I144" s="680">
        <v>16576</v>
      </c>
      <c r="J144" s="144">
        <v>0</v>
      </c>
      <c r="K144" s="66">
        <f t="shared" si="46"/>
        <v>0</v>
      </c>
      <c r="L144" s="513"/>
      <c r="M144" s="505"/>
      <c r="N144" s="505"/>
      <c r="O144" s="506"/>
      <c r="P144" s="505"/>
      <c r="Q144" s="505"/>
      <c r="R144" s="506"/>
      <c r="S144" s="506"/>
      <c r="T144" s="506"/>
      <c r="U144" s="506"/>
      <c r="V144" s="506"/>
      <c r="W144" s="506">
        <f t="shared" si="47"/>
        <v>0</v>
      </c>
    </row>
    <row r="145" spans="1:23" x14ac:dyDescent="0.2">
      <c r="A145" s="79"/>
      <c r="B145" s="79"/>
      <c r="C145" s="107"/>
      <c r="D145" s="514">
        <v>4210</v>
      </c>
      <c r="E145" s="109" t="s">
        <v>176</v>
      </c>
      <c r="F145" s="110">
        <v>6494.11</v>
      </c>
      <c r="G145" s="83">
        <v>0</v>
      </c>
      <c r="H145" s="84">
        <f t="shared" si="35"/>
        <v>0</v>
      </c>
      <c r="I145" s="110">
        <v>6494.11</v>
      </c>
      <c r="J145" s="86">
        <v>0</v>
      </c>
      <c r="K145" s="66">
        <f t="shared" si="46"/>
        <v>0</v>
      </c>
      <c r="L145" s="513"/>
      <c r="M145" s="505"/>
      <c r="N145" s="505"/>
      <c r="O145" s="506"/>
      <c r="P145" s="505"/>
      <c r="Q145" s="505"/>
      <c r="R145" s="506"/>
      <c r="S145" s="506"/>
      <c r="T145" s="506"/>
      <c r="U145" s="506"/>
      <c r="V145" s="506"/>
      <c r="W145" s="506">
        <f t="shared" si="47"/>
        <v>0</v>
      </c>
    </row>
    <row r="146" spans="1:23" x14ac:dyDescent="0.2">
      <c r="A146" s="79"/>
      <c r="B146" s="79"/>
      <c r="C146" s="253"/>
      <c r="D146" s="516">
        <v>4300</v>
      </c>
      <c r="E146" s="160" t="s">
        <v>177</v>
      </c>
      <c r="F146" s="161">
        <v>6900</v>
      </c>
      <c r="G146" s="83">
        <v>0</v>
      </c>
      <c r="H146" s="84">
        <f t="shared" si="35"/>
        <v>0</v>
      </c>
      <c r="I146" s="161">
        <v>6900</v>
      </c>
      <c r="J146" s="86">
        <v>0</v>
      </c>
      <c r="K146" s="66">
        <f t="shared" si="46"/>
        <v>0</v>
      </c>
      <c r="L146" s="513"/>
      <c r="M146" s="505"/>
      <c r="N146" s="505"/>
      <c r="O146" s="506"/>
      <c r="P146" s="505"/>
      <c r="Q146" s="505"/>
      <c r="R146" s="506"/>
      <c r="S146" s="506"/>
      <c r="T146" s="506"/>
      <c r="U146" s="506"/>
      <c r="V146" s="506"/>
      <c r="W146" s="506">
        <f t="shared" si="47"/>
        <v>0</v>
      </c>
    </row>
    <row r="147" spans="1:23" x14ac:dyDescent="0.2">
      <c r="A147" s="79"/>
      <c r="B147" s="79"/>
      <c r="C147" s="303"/>
      <c r="D147" s="574">
        <v>4410</v>
      </c>
      <c r="E147" s="249" t="s">
        <v>179</v>
      </c>
      <c r="F147" s="573">
        <v>1500</v>
      </c>
      <c r="G147" s="141">
        <v>0</v>
      </c>
      <c r="H147" s="142">
        <f t="shared" si="35"/>
        <v>0</v>
      </c>
      <c r="I147" s="573">
        <v>1500</v>
      </c>
      <c r="J147" s="144">
        <v>0</v>
      </c>
      <c r="K147" s="66">
        <f t="shared" si="46"/>
        <v>0</v>
      </c>
      <c r="L147" s="513" t="s">
        <v>240</v>
      </c>
      <c r="M147" s="505"/>
      <c r="N147" s="505"/>
      <c r="O147" s="506"/>
      <c r="P147" s="505"/>
      <c r="Q147" s="505"/>
      <c r="R147" s="506"/>
      <c r="S147" s="506"/>
      <c r="T147" s="506"/>
      <c r="U147" s="506"/>
      <c r="V147" s="506"/>
      <c r="W147" s="506">
        <f t="shared" si="47"/>
        <v>0</v>
      </c>
    </row>
    <row r="148" spans="1:23" x14ac:dyDescent="0.2">
      <c r="A148" s="79"/>
      <c r="B148" s="237">
        <v>75113</v>
      </c>
      <c r="C148" s="295"/>
      <c r="D148" s="296"/>
      <c r="E148" s="297" t="s">
        <v>59</v>
      </c>
      <c r="F148" s="671">
        <f>SUM(F149:F155)</f>
        <v>33400</v>
      </c>
      <c r="G148" s="671">
        <f>SUM(G149:G155)</f>
        <v>33400</v>
      </c>
      <c r="H148" s="299">
        <f t="shared" si="35"/>
        <v>1</v>
      </c>
      <c r="I148" s="300">
        <f>SUM(I149:I155)</f>
        <v>33400</v>
      </c>
      <c r="J148" s="301">
        <f>SUM(J149:J155)</f>
        <v>0</v>
      </c>
      <c r="K148" s="1098">
        <f>J148/F148</f>
        <v>0</v>
      </c>
      <c r="L148" s="1088"/>
      <c r="M148" s="570">
        <f t="shared" ref="M148:V148" si="48">SUM(M149:M155)</f>
        <v>0</v>
      </c>
      <c r="N148" s="570">
        <f t="shared" si="48"/>
        <v>0</v>
      </c>
      <c r="O148" s="570">
        <f t="shared" si="48"/>
        <v>0</v>
      </c>
      <c r="P148" s="570">
        <f t="shared" si="48"/>
        <v>0</v>
      </c>
      <c r="Q148" s="570">
        <f t="shared" si="48"/>
        <v>0</v>
      </c>
      <c r="R148" s="570">
        <f t="shared" si="48"/>
        <v>0</v>
      </c>
      <c r="S148" s="570">
        <f t="shared" si="48"/>
        <v>0</v>
      </c>
      <c r="T148" s="570">
        <f t="shared" si="48"/>
        <v>0</v>
      </c>
      <c r="U148" s="570">
        <f t="shared" si="48"/>
        <v>0</v>
      </c>
      <c r="V148" s="570">
        <f t="shared" si="48"/>
        <v>0</v>
      </c>
      <c r="W148" s="570">
        <f>SUM(M148:V148)</f>
        <v>0</v>
      </c>
    </row>
    <row r="149" spans="1:23" x14ac:dyDescent="0.2">
      <c r="A149" s="79"/>
      <c r="B149" s="352"/>
      <c r="C149" s="555"/>
      <c r="D149" s="514">
        <v>3030</v>
      </c>
      <c r="E149" s="109" t="s">
        <v>216</v>
      </c>
      <c r="F149" s="678">
        <v>16280.06</v>
      </c>
      <c r="G149" s="468">
        <v>16280.06</v>
      </c>
      <c r="H149" s="322">
        <f>G149/F149</f>
        <v>1</v>
      </c>
      <c r="I149" s="468">
        <v>16280.06</v>
      </c>
      <c r="J149" s="357">
        <v>0</v>
      </c>
      <c r="K149" s="66">
        <f>J149/F149</f>
        <v>0</v>
      </c>
      <c r="L149" s="679"/>
      <c r="M149" s="505"/>
      <c r="N149" s="505"/>
      <c r="O149" s="506"/>
      <c r="P149" s="505"/>
      <c r="Q149" s="505"/>
      <c r="R149" s="506"/>
      <c r="S149" s="506"/>
      <c r="T149" s="506"/>
      <c r="U149" s="506"/>
      <c r="V149" s="506"/>
      <c r="W149" s="506">
        <f>SUM(M149:V149)</f>
        <v>0</v>
      </c>
    </row>
    <row r="150" spans="1:23" x14ac:dyDescent="0.2">
      <c r="A150" s="79"/>
      <c r="B150" s="79"/>
      <c r="C150" s="303"/>
      <c r="D150" s="516">
        <v>4110</v>
      </c>
      <c r="E150" s="160" t="s">
        <v>174</v>
      </c>
      <c r="F150" s="530">
        <v>905.92</v>
      </c>
      <c r="G150" s="141">
        <v>905.92</v>
      </c>
      <c r="H150" s="322">
        <f t="shared" ref="H150:H155" si="49">G150/F150</f>
        <v>1</v>
      </c>
      <c r="I150" s="141">
        <v>905.92</v>
      </c>
      <c r="J150" s="144">
        <v>0</v>
      </c>
      <c r="K150" s="66">
        <f t="shared" ref="K150:K155" si="50">J150/F150</f>
        <v>0</v>
      </c>
      <c r="L150" s="604"/>
      <c r="M150" s="505"/>
      <c r="N150" s="505"/>
      <c r="O150" s="506"/>
      <c r="P150" s="505"/>
      <c r="Q150" s="505"/>
      <c r="R150" s="506"/>
      <c r="S150" s="506"/>
      <c r="T150" s="506"/>
      <c r="U150" s="506"/>
      <c r="V150" s="506"/>
      <c r="W150" s="506">
        <f t="shared" ref="W150:W155" si="51">SUM(M150:V150)</f>
        <v>0</v>
      </c>
    </row>
    <row r="151" spans="1:23" x14ac:dyDescent="0.2">
      <c r="A151" s="79"/>
      <c r="B151" s="79"/>
      <c r="C151" s="253"/>
      <c r="D151" s="391">
        <v>4120</v>
      </c>
      <c r="E151" s="163" t="s">
        <v>175</v>
      </c>
      <c r="F151" s="673">
        <v>91.15</v>
      </c>
      <c r="G151" s="83">
        <v>91.15</v>
      </c>
      <c r="H151" s="322">
        <f t="shared" si="49"/>
        <v>1</v>
      </c>
      <c r="I151" s="83">
        <v>91.15</v>
      </c>
      <c r="J151" s="86">
        <v>0</v>
      </c>
      <c r="K151" s="66">
        <f t="shared" si="50"/>
        <v>0</v>
      </c>
      <c r="L151" s="513"/>
      <c r="M151" s="505"/>
      <c r="N151" s="505"/>
      <c r="O151" s="506"/>
      <c r="P151" s="505"/>
      <c r="Q151" s="505"/>
      <c r="R151" s="506"/>
      <c r="S151" s="506"/>
      <c r="T151" s="506"/>
      <c r="U151" s="506"/>
      <c r="V151" s="506"/>
      <c r="W151" s="506">
        <f t="shared" si="51"/>
        <v>0</v>
      </c>
    </row>
    <row r="152" spans="1:23" x14ac:dyDescent="0.2">
      <c r="A152" s="675"/>
      <c r="B152" s="675"/>
      <c r="C152" s="206"/>
      <c r="D152" s="391">
        <v>4170</v>
      </c>
      <c r="E152" s="163" t="s">
        <v>184</v>
      </c>
      <c r="F152" s="680">
        <v>6860</v>
      </c>
      <c r="G152" s="141">
        <v>6860</v>
      </c>
      <c r="H152" s="322">
        <f t="shared" si="49"/>
        <v>1</v>
      </c>
      <c r="I152" s="141">
        <v>6860</v>
      </c>
      <c r="J152" s="144">
        <v>0</v>
      </c>
      <c r="K152" s="66">
        <f t="shared" si="50"/>
        <v>0</v>
      </c>
      <c r="L152" s="513"/>
      <c r="M152" s="505"/>
      <c r="N152" s="505"/>
      <c r="O152" s="506"/>
      <c r="P152" s="505"/>
      <c r="Q152" s="505"/>
      <c r="R152" s="506"/>
      <c r="S152" s="506"/>
      <c r="T152" s="506"/>
      <c r="U152" s="506"/>
      <c r="V152" s="506"/>
      <c r="W152" s="506">
        <f t="shared" si="51"/>
        <v>0</v>
      </c>
    </row>
    <row r="153" spans="1:23" x14ac:dyDescent="0.2">
      <c r="A153" s="79"/>
      <c r="B153" s="79"/>
      <c r="C153" s="107"/>
      <c r="D153" s="514">
        <v>4210</v>
      </c>
      <c r="E153" s="109" t="s">
        <v>176</v>
      </c>
      <c r="F153" s="110">
        <v>4262.16</v>
      </c>
      <c r="G153" s="83">
        <v>4262.16</v>
      </c>
      <c r="H153" s="322">
        <f t="shared" si="49"/>
        <v>1</v>
      </c>
      <c r="I153" s="83">
        <v>4262.16</v>
      </c>
      <c r="J153" s="86">
        <v>0</v>
      </c>
      <c r="K153" s="66">
        <f t="shared" si="50"/>
        <v>0</v>
      </c>
      <c r="L153" s="513"/>
      <c r="M153" s="505"/>
      <c r="N153" s="505"/>
      <c r="O153" s="506"/>
      <c r="P153" s="505"/>
      <c r="Q153" s="505"/>
      <c r="R153" s="506"/>
      <c r="S153" s="506"/>
      <c r="T153" s="506"/>
      <c r="U153" s="506"/>
      <c r="V153" s="506"/>
      <c r="W153" s="506">
        <f t="shared" si="51"/>
        <v>0</v>
      </c>
    </row>
    <row r="154" spans="1:23" x14ac:dyDescent="0.2">
      <c r="A154" s="79"/>
      <c r="B154" s="79"/>
      <c r="C154" s="253"/>
      <c r="D154" s="516">
        <v>4300</v>
      </c>
      <c r="E154" s="160" t="s">
        <v>177</v>
      </c>
      <c r="F154" s="161">
        <v>4107.24</v>
      </c>
      <c r="G154" s="83">
        <v>4107.24</v>
      </c>
      <c r="H154" s="322">
        <f t="shared" si="49"/>
        <v>1</v>
      </c>
      <c r="I154" s="83">
        <v>4107.24</v>
      </c>
      <c r="J154" s="86">
        <v>0</v>
      </c>
      <c r="K154" s="66">
        <f t="shared" si="50"/>
        <v>0</v>
      </c>
      <c r="L154" s="513"/>
      <c r="M154" s="505"/>
      <c r="N154" s="505"/>
      <c r="O154" s="506"/>
      <c r="P154" s="505"/>
      <c r="Q154" s="505"/>
      <c r="R154" s="506"/>
      <c r="S154" s="506"/>
      <c r="T154" s="506"/>
      <c r="U154" s="506"/>
      <c r="V154" s="506"/>
      <c r="W154" s="506">
        <f t="shared" si="51"/>
        <v>0</v>
      </c>
    </row>
    <row r="155" spans="1:23" x14ac:dyDescent="0.2">
      <c r="A155" s="79"/>
      <c r="B155" s="79"/>
      <c r="C155" s="303"/>
      <c r="D155" s="574">
        <v>4410</v>
      </c>
      <c r="E155" s="249" t="s">
        <v>179</v>
      </c>
      <c r="F155" s="573">
        <v>893.47</v>
      </c>
      <c r="G155" s="141">
        <v>893.47</v>
      </c>
      <c r="H155" s="322">
        <f t="shared" si="49"/>
        <v>1</v>
      </c>
      <c r="I155" s="141">
        <v>893.47</v>
      </c>
      <c r="J155" s="144">
        <v>0</v>
      </c>
      <c r="K155" s="66">
        <f t="shared" si="50"/>
        <v>0</v>
      </c>
      <c r="L155" s="604"/>
      <c r="M155" s="505"/>
      <c r="N155" s="505"/>
      <c r="O155" s="506"/>
      <c r="P155" s="505"/>
      <c r="Q155" s="505"/>
      <c r="R155" s="506"/>
      <c r="S155" s="506"/>
      <c r="T155" s="506"/>
      <c r="U155" s="506"/>
      <c r="V155" s="506"/>
      <c r="W155" s="506">
        <f t="shared" si="51"/>
        <v>0</v>
      </c>
    </row>
    <row r="156" spans="1:23" ht="22.5" x14ac:dyDescent="0.2">
      <c r="A156" s="531">
        <v>754</v>
      </c>
      <c r="B156" s="681"/>
      <c r="C156" s="619"/>
      <c r="D156" s="146"/>
      <c r="E156" s="620" t="s">
        <v>249</v>
      </c>
      <c r="F156" s="682">
        <f>F157+F160+F176+F180</f>
        <v>1230452</v>
      </c>
      <c r="G156" s="682">
        <f>G157+G160+G176+G180</f>
        <v>721824.15999999992</v>
      </c>
      <c r="H156" s="149">
        <f t="shared" si="35"/>
        <v>0.58663333474202972</v>
      </c>
      <c r="I156" s="150">
        <f>I157+I160+I176+I180</f>
        <v>856747.07</v>
      </c>
      <c r="J156" s="151">
        <f>J157+J160+J176+J180</f>
        <v>827454.97</v>
      </c>
      <c r="K156" s="1130">
        <f t="shared" ref="K156:K161" si="52">J156/F156</f>
        <v>0.67248049497257911</v>
      </c>
      <c r="L156" s="1122"/>
      <c r="M156" s="621">
        <f t="shared" ref="M156:V156" si="53">M157+M160+M176+M180</f>
        <v>13603.07</v>
      </c>
      <c r="N156" s="621">
        <f t="shared" si="53"/>
        <v>0</v>
      </c>
      <c r="O156" s="621">
        <f t="shared" si="53"/>
        <v>0</v>
      </c>
      <c r="P156" s="621">
        <f t="shared" si="53"/>
        <v>757380</v>
      </c>
      <c r="Q156" s="621">
        <f t="shared" si="53"/>
        <v>14000</v>
      </c>
      <c r="R156" s="621">
        <f t="shared" si="53"/>
        <v>32471.9</v>
      </c>
      <c r="S156" s="621">
        <f t="shared" si="53"/>
        <v>10000</v>
      </c>
      <c r="T156" s="621">
        <f t="shared" si="53"/>
        <v>0</v>
      </c>
      <c r="U156" s="621">
        <f t="shared" si="53"/>
        <v>0</v>
      </c>
      <c r="V156" s="621">
        <f t="shared" si="53"/>
        <v>0</v>
      </c>
      <c r="W156" s="621">
        <f t="shared" ref="W156:W181" si="54">SUM(M156:V156)</f>
        <v>827454.97</v>
      </c>
    </row>
    <row r="157" spans="1:23" x14ac:dyDescent="0.2">
      <c r="A157" s="79"/>
      <c r="B157" s="152">
        <v>75404</v>
      </c>
      <c r="C157" s="234"/>
      <c r="D157" s="71"/>
      <c r="E157" s="104" t="s">
        <v>250</v>
      </c>
      <c r="F157" s="235">
        <f>F158+F159</f>
        <v>44000</v>
      </c>
      <c r="G157" s="156">
        <f>G158+G159</f>
        <v>44000</v>
      </c>
      <c r="H157" s="155">
        <f t="shared" si="35"/>
        <v>1</v>
      </c>
      <c r="I157" s="156">
        <f>I158+I159</f>
        <v>44000</v>
      </c>
      <c r="J157" s="157">
        <f>J158+J159</f>
        <v>10000</v>
      </c>
      <c r="K157" s="1076">
        <f t="shared" si="52"/>
        <v>0.22727272727272727</v>
      </c>
      <c r="L157" s="1123"/>
      <c r="M157" s="572">
        <f t="shared" ref="M157:V157" si="55">M158+M159</f>
        <v>0</v>
      </c>
      <c r="N157" s="572">
        <f t="shared" si="55"/>
        <v>0</v>
      </c>
      <c r="O157" s="572">
        <f t="shared" si="55"/>
        <v>0</v>
      </c>
      <c r="P157" s="572">
        <f t="shared" si="55"/>
        <v>0</v>
      </c>
      <c r="Q157" s="572">
        <f t="shared" si="55"/>
        <v>0</v>
      </c>
      <c r="R157" s="572">
        <f t="shared" si="55"/>
        <v>0</v>
      </c>
      <c r="S157" s="572">
        <f t="shared" si="55"/>
        <v>10000</v>
      </c>
      <c r="T157" s="572">
        <f t="shared" si="55"/>
        <v>0</v>
      </c>
      <c r="U157" s="572">
        <f t="shared" si="55"/>
        <v>0</v>
      </c>
      <c r="V157" s="572">
        <f t="shared" si="55"/>
        <v>0</v>
      </c>
      <c r="W157" s="572">
        <f t="shared" si="54"/>
        <v>10000</v>
      </c>
    </row>
    <row r="158" spans="1:23" ht="22.5" x14ac:dyDescent="0.2">
      <c r="A158" s="79"/>
      <c r="B158" s="683"/>
      <c r="C158" s="80"/>
      <c r="D158" s="511">
        <v>3000</v>
      </c>
      <c r="E158" s="37" t="s">
        <v>251</v>
      </c>
      <c r="F158" s="82">
        <v>25000</v>
      </c>
      <c r="G158" s="93">
        <v>25000</v>
      </c>
      <c r="H158" s="94">
        <f t="shared" si="35"/>
        <v>1</v>
      </c>
      <c r="I158" s="95">
        <v>25000</v>
      </c>
      <c r="J158" s="96">
        <v>10000</v>
      </c>
      <c r="K158" s="635">
        <f t="shared" si="52"/>
        <v>0.4</v>
      </c>
      <c r="L158" s="636"/>
      <c r="M158" s="505"/>
      <c r="N158" s="505"/>
      <c r="O158" s="506"/>
      <c r="P158" s="505"/>
      <c r="Q158" s="505"/>
      <c r="R158" s="506"/>
      <c r="S158" s="93">
        <v>10000</v>
      </c>
      <c r="T158" s="506"/>
      <c r="U158" s="506"/>
      <c r="V158" s="506"/>
      <c r="W158" s="506">
        <f t="shared" si="54"/>
        <v>10000</v>
      </c>
    </row>
    <row r="159" spans="1:23" ht="33.75" x14ac:dyDescent="0.2">
      <c r="A159" s="79"/>
      <c r="B159" s="473"/>
      <c r="C159" s="498"/>
      <c r="D159" s="609">
        <v>6170</v>
      </c>
      <c r="E159" s="37" t="s">
        <v>407</v>
      </c>
      <c r="F159" s="684">
        <v>19000</v>
      </c>
      <c r="G159" s="83">
        <v>19000</v>
      </c>
      <c r="H159" s="84">
        <f t="shared" si="35"/>
        <v>1</v>
      </c>
      <c r="I159" s="85">
        <v>19000</v>
      </c>
      <c r="J159" s="86">
        <v>0</v>
      </c>
      <c r="K159" s="635">
        <f t="shared" si="52"/>
        <v>0</v>
      </c>
      <c r="L159" s="513"/>
      <c r="M159" s="505"/>
      <c r="N159" s="505"/>
      <c r="O159" s="506"/>
      <c r="P159" s="505"/>
      <c r="Q159" s="505"/>
      <c r="R159" s="506"/>
      <c r="S159" s="506"/>
      <c r="T159" s="506"/>
      <c r="U159" s="506"/>
      <c r="V159" s="506"/>
      <c r="W159" s="506">
        <f t="shared" si="54"/>
        <v>0</v>
      </c>
    </row>
    <row r="160" spans="1:23" x14ac:dyDescent="0.2">
      <c r="A160" s="79"/>
      <c r="B160" s="310">
        <v>75412</v>
      </c>
      <c r="C160" s="311"/>
      <c r="D160" s="312"/>
      <c r="E160" s="313" t="s">
        <v>252</v>
      </c>
      <c r="F160" s="387">
        <f>SUM(F161:F175)</f>
        <v>1154652</v>
      </c>
      <c r="G160" s="387">
        <f>SUM(G161:G175)</f>
        <v>665384.93999999994</v>
      </c>
      <c r="H160" s="204">
        <f t="shared" si="35"/>
        <v>0.57626448488375714</v>
      </c>
      <c r="I160" s="388">
        <f>SUM(I161:I175)</f>
        <v>784333.73</v>
      </c>
      <c r="J160" s="389">
        <f>SUM(J161:J175)</f>
        <v>709354.97</v>
      </c>
      <c r="K160" s="1086">
        <f t="shared" si="52"/>
        <v>0.61434524861170292</v>
      </c>
      <c r="L160" s="1089"/>
      <c r="M160" s="617">
        <f t="shared" ref="M160:V160" si="56">SUM(M161:M175)</f>
        <v>13603.07</v>
      </c>
      <c r="N160" s="617">
        <f t="shared" si="56"/>
        <v>0</v>
      </c>
      <c r="O160" s="617">
        <f t="shared" si="56"/>
        <v>0</v>
      </c>
      <c r="P160" s="617">
        <f>SUM(P161:P175)</f>
        <v>663280</v>
      </c>
      <c r="Q160" s="617">
        <f t="shared" ref="Q160" si="57">SUM(Q161:Q175)</f>
        <v>0</v>
      </c>
      <c r="R160" s="617">
        <f t="shared" si="56"/>
        <v>32471.9</v>
      </c>
      <c r="S160" s="617">
        <f t="shared" si="56"/>
        <v>0</v>
      </c>
      <c r="T160" s="617">
        <f t="shared" si="56"/>
        <v>0</v>
      </c>
      <c r="U160" s="617">
        <f t="shared" si="56"/>
        <v>0</v>
      </c>
      <c r="V160" s="617">
        <f t="shared" si="56"/>
        <v>0</v>
      </c>
      <c r="W160" s="617">
        <f t="shared" si="54"/>
        <v>709354.97</v>
      </c>
    </row>
    <row r="161" spans="1:23" ht="33.75" x14ac:dyDescent="0.2">
      <c r="A161" s="79"/>
      <c r="B161" s="352"/>
      <c r="C161" s="394"/>
      <c r="D161" s="609">
        <v>2820</v>
      </c>
      <c r="E161" s="166" t="s">
        <v>253</v>
      </c>
      <c r="F161" s="573">
        <v>30000</v>
      </c>
      <c r="G161" s="321">
        <v>30000</v>
      </c>
      <c r="H161" s="322">
        <f>G161/F161</f>
        <v>1</v>
      </c>
      <c r="I161" s="323">
        <v>30000</v>
      </c>
      <c r="J161" s="324">
        <v>30000</v>
      </c>
      <c r="K161" s="43">
        <f t="shared" si="52"/>
        <v>1</v>
      </c>
      <c r="L161" s="679"/>
      <c r="M161" s="505"/>
      <c r="N161" s="505"/>
      <c r="O161" s="506"/>
      <c r="P161" s="505">
        <v>30000</v>
      </c>
      <c r="Q161" s="505"/>
      <c r="R161" s="506"/>
      <c r="S161" s="506"/>
      <c r="T161" s="506"/>
      <c r="U161" s="506"/>
      <c r="V161" s="506"/>
      <c r="W161" s="506">
        <f t="shared" si="54"/>
        <v>30000</v>
      </c>
    </row>
    <row r="162" spans="1:23" x14ac:dyDescent="0.2">
      <c r="A162" s="79"/>
      <c r="B162" s="79"/>
      <c r="C162" s="303"/>
      <c r="D162" s="574">
        <v>3030</v>
      </c>
      <c r="E162" s="249" t="s">
        <v>216</v>
      </c>
      <c r="F162" s="110">
        <v>55000</v>
      </c>
      <c r="G162" s="141">
        <v>44909</v>
      </c>
      <c r="H162" s="322">
        <f t="shared" ref="H162:H175" si="58">G162/F162</f>
        <v>0.81652727272727277</v>
      </c>
      <c r="I162" s="143">
        <v>55000</v>
      </c>
      <c r="J162" s="144">
        <v>55000</v>
      </c>
      <c r="K162" s="43">
        <f t="shared" ref="K162:K175" si="59">J162/F162</f>
        <v>1</v>
      </c>
      <c r="L162" s="604"/>
      <c r="M162" s="505"/>
      <c r="N162" s="499"/>
      <c r="O162" s="506"/>
      <c r="P162" s="505">
        <v>55000</v>
      </c>
      <c r="Q162" s="505"/>
      <c r="R162" s="506"/>
      <c r="S162" s="506"/>
      <c r="T162" s="506"/>
      <c r="U162" s="506"/>
      <c r="V162" s="506"/>
      <c r="W162" s="506">
        <f t="shared" si="54"/>
        <v>55000</v>
      </c>
    </row>
    <row r="163" spans="1:23" x14ac:dyDescent="0.2">
      <c r="A163" s="79"/>
      <c r="B163" s="79"/>
      <c r="C163" s="303"/>
      <c r="D163" s="574">
        <v>4110</v>
      </c>
      <c r="E163" s="249" t="s">
        <v>174</v>
      </c>
      <c r="F163" s="191">
        <v>4439</v>
      </c>
      <c r="G163" s="141">
        <v>3025.44</v>
      </c>
      <c r="H163" s="322">
        <f t="shared" si="58"/>
        <v>0.68155890966433885</v>
      </c>
      <c r="I163" s="143">
        <v>4435.0200000000004</v>
      </c>
      <c r="J163" s="144">
        <v>4674.3</v>
      </c>
      <c r="K163" s="43">
        <f t="shared" si="59"/>
        <v>1.0530074341067808</v>
      </c>
      <c r="L163" s="604"/>
      <c r="M163" s="505"/>
      <c r="N163" s="499"/>
      <c r="O163" s="506"/>
      <c r="P163" s="505"/>
      <c r="Q163" s="505"/>
      <c r="R163" s="506">
        <v>4674.3</v>
      </c>
      <c r="S163" s="506"/>
      <c r="T163" s="506"/>
      <c r="U163" s="506"/>
      <c r="V163" s="506"/>
      <c r="W163" s="506">
        <f t="shared" si="54"/>
        <v>4674.3</v>
      </c>
    </row>
    <row r="164" spans="1:23" x14ac:dyDescent="0.2">
      <c r="A164" s="79"/>
      <c r="B164" s="79"/>
      <c r="C164" s="107"/>
      <c r="D164" s="514">
        <v>4120</v>
      </c>
      <c r="E164" s="109" t="s">
        <v>175</v>
      </c>
      <c r="F164" s="191">
        <v>634</v>
      </c>
      <c r="G164" s="83">
        <v>392</v>
      </c>
      <c r="H164" s="322">
        <f t="shared" si="58"/>
        <v>0.6182965299684543</v>
      </c>
      <c r="I164" s="85">
        <v>632.1</v>
      </c>
      <c r="J164" s="86">
        <v>605.6</v>
      </c>
      <c r="K164" s="43">
        <f t="shared" si="59"/>
        <v>0.955205047318612</v>
      </c>
      <c r="L164" s="513"/>
      <c r="M164" s="505"/>
      <c r="N164" s="499"/>
      <c r="O164" s="506"/>
      <c r="P164" s="505"/>
      <c r="Q164" s="505"/>
      <c r="R164" s="506">
        <v>605.6</v>
      </c>
      <c r="S164" s="506"/>
      <c r="T164" s="506"/>
      <c r="U164" s="506"/>
      <c r="V164" s="506"/>
      <c r="W164" s="506">
        <f t="shared" si="54"/>
        <v>605.6</v>
      </c>
    </row>
    <row r="165" spans="1:23" x14ac:dyDescent="0.2">
      <c r="A165" s="79"/>
      <c r="B165" s="79"/>
      <c r="C165" s="107"/>
      <c r="D165" s="514">
        <v>4170</v>
      </c>
      <c r="E165" s="109" t="s">
        <v>254</v>
      </c>
      <c r="F165" s="251">
        <v>25800</v>
      </c>
      <c r="G165" s="83">
        <v>19244.61</v>
      </c>
      <c r="H165" s="322">
        <f t="shared" si="58"/>
        <v>0.74591511627906981</v>
      </c>
      <c r="I165" s="85">
        <v>25800</v>
      </c>
      <c r="J165" s="86">
        <v>27192</v>
      </c>
      <c r="K165" s="43">
        <f t="shared" si="59"/>
        <v>1.0539534883720931</v>
      </c>
      <c r="L165" s="513"/>
      <c r="M165" s="505"/>
      <c r="N165" s="499"/>
      <c r="O165" s="506"/>
      <c r="P165" s="505"/>
      <c r="Q165" s="505"/>
      <c r="R165" s="506">
        <v>27192</v>
      </c>
      <c r="S165" s="506"/>
      <c r="T165" s="506"/>
      <c r="U165" s="506"/>
      <c r="V165" s="506"/>
      <c r="W165" s="506">
        <f t="shared" si="54"/>
        <v>27192</v>
      </c>
    </row>
    <row r="166" spans="1:23" ht="19.5" x14ac:dyDescent="0.2">
      <c r="A166" s="79"/>
      <c r="B166" s="79"/>
      <c r="C166" s="107"/>
      <c r="D166" s="514">
        <v>4210</v>
      </c>
      <c r="E166" s="109" t="s">
        <v>176</v>
      </c>
      <c r="F166" s="110">
        <v>138459</v>
      </c>
      <c r="G166" s="83">
        <v>89018.22</v>
      </c>
      <c r="H166" s="322">
        <f t="shared" si="58"/>
        <v>0.64292115355448187</v>
      </c>
      <c r="I166" s="85">
        <v>138459</v>
      </c>
      <c r="J166" s="86">
        <v>147103.07</v>
      </c>
      <c r="K166" s="43">
        <f t="shared" si="59"/>
        <v>1.0624305390043263</v>
      </c>
      <c r="L166" s="513" t="s">
        <v>255</v>
      </c>
      <c r="M166" s="505">
        <v>12103.07</v>
      </c>
      <c r="N166" s="499"/>
      <c r="O166" s="506"/>
      <c r="P166" s="505">
        <f>145000-10000</f>
        <v>135000</v>
      </c>
      <c r="Q166" s="505"/>
      <c r="R166" s="506"/>
      <c r="S166" s="506"/>
      <c r="T166" s="506"/>
      <c r="U166" s="506"/>
      <c r="V166" s="506"/>
      <c r="W166" s="506">
        <f t="shared" si="54"/>
        <v>147103.07</v>
      </c>
    </row>
    <row r="167" spans="1:23" x14ac:dyDescent="0.2">
      <c r="A167" s="79"/>
      <c r="B167" s="79"/>
      <c r="C167" s="107"/>
      <c r="D167" s="514">
        <v>4260</v>
      </c>
      <c r="E167" s="109" t="s">
        <v>185</v>
      </c>
      <c r="F167" s="110">
        <v>43000</v>
      </c>
      <c r="G167" s="83">
        <v>22191.279999999999</v>
      </c>
      <c r="H167" s="322">
        <f t="shared" si="58"/>
        <v>0.51607627906976739</v>
      </c>
      <c r="I167" s="85">
        <v>43000</v>
      </c>
      <c r="J167" s="86">
        <v>50000</v>
      </c>
      <c r="K167" s="43">
        <f t="shared" si="59"/>
        <v>1.1627906976744187</v>
      </c>
      <c r="L167" s="513"/>
      <c r="M167" s="505"/>
      <c r="N167" s="499"/>
      <c r="O167" s="506"/>
      <c r="P167" s="505">
        <v>50000</v>
      </c>
      <c r="Q167" s="505"/>
      <c r="R167" s="506"/>
      <c r="S167" s="506"/>
      <c r="T167" s="506"/>
      <c r="U167" s="506"/>
      <c r="V167" s="506"/>
      <c r="W167" s="506">
        <f t="shared" si="54"/>
        <v>50000</v>
      </c>
    </row>
    <row r="168" spans="1:23" x14ac:dyDescent="0.2">
      <c r="A168" s="79"/>
      <c r="B168" s="79"/>
      <c r="C168" s="107"/>
      <c r="D168" s="514">
        <v>4270</v>
      </c>
      <c r="E168" s="109" t="s">
        <v>256</v>
      </c>
      <c r="F168" s="110">
        <v>10000</v>
      </c>
      <c r="G168" s="83">
        <v>0</v>
      </c>
      <c r="H168" s="322">
        <f t="shared" si="58"/>
        <v>0</v>
      </c>
      <c r="I168" s="85">
        <v>9963</v>
      </c>
      <c r="J168" s="86">
        <v>0</v>
      </c>
      <c r="K168" s="43">
        <f t="shared" si="59"/>
        <v>0</v>
      </c>
      <c r="L168" s="513"/>
      <c r="M168" s="505"/>
      <c r="N168" s="499"/>
      <c r="O168" s="506"/>
      <c r="P168" s="505"/>
      <c r="Q168" s="505"/>
      <c r="R168" s="506"/>
      <c r="S168" s="506"/>
      <c r="T168" s="506"/>
      <c r="U168" s="506"/>
      <c r="V168" s="506"/>
      <c r="W168" s="506">
        <f t="shared" si="54"/>
        <v>0</v>
      </c>
    </row>
    <row r="169" spans="1:23" x14ac:dyDescent="0.2">
      <c r="A169" s="79"/>
      <c r="B169" s="79"/>
      <c r="C169" s="107"/>
      <c r="D169" s="514">
        <v>4280</v>
      </c>
      <c r="E169" s="109" t="s">
        <v>233</v>
      </c>
      <c r="F169" s="110">
        <v>10000</v>
      </c>
      <c r="G169" s="83">
        <v>9330</v>
      </c>
      <c r="H169" s="322">
        <f t="shared" si="58"/>
        <v>0.93300000000000005</v>
      </c>
      <c r="I169" s="85">
        <v>9330</v>
      </c>
      <c r="J169" s="86">
        <v>22000</v>
      </c>
      <c r="K169" s="43">
        <f t="shared" si="59"/>
        <v>2.2000000000000002</v>
      </c>
      <c r="L169" s="513"/>
      <c r="M169" s="505"/>
      <c r="N169" s="499"/>
      <c r="O169" s="506"/>
      <c r="P169" s="505">
        <v>22000</v>
      </c>
      <c r="Q169" s="505"/>
      <c r="R169" s="506"/>
      <c r="S169" s="506"/>
      <c r="T169" s="506"/>
      <c r="U169" s="506"/>
      <c r="V169" s="506"/>
      <c r="W169" s="506">
        <f t="shared" si="54"/>
        <v>22000</v>
      </c>
    </row>
    <row r="170" spans="1:23" ht="19.5" x14ac:dyDescent="0.2">
      <c r="A170" s="79"/>
      <c r="B170" s="79"/>
      <c r="C170" s="107"/>
      <c r="D170" s="514">
        <v>4300</v>
      </c>
      <c r="E170" s="109" t="s">
        <v>177</v>
      </c>
      <c r="F170" s="110">
        <v>57320</v>
      </c>
      <c r="G170" s="83">
        <v>37420.68</v>
      </c>
      <c r="H170" s="322">
        <f t="shared" si="58"/>
        <v>0.65283810188415914</v>
      </c>
      <c r="I170" s="85">
        <v>57320</v>
      </c>
      <c r="J170" s="86">
        <v>51500</v>
      </c>
      <c r="K170" s="43">
        <f t="shared" si="59"/>
        <v>0.8984647592463364</v>
      </c>
      <c r="L170" s="513" t="s">
        <v>257</v>
      </c>
      <c r="M170" s="505">
        <v>1500</v>
      </c>
      <c r="N170" s="499"/>
      <c r="O170" s="506"/>
      <c r="P170" s="505">
        <v>50000</v>
      </c>
      <c r="Q170" s="505"/>
      <c r="R170" s="506"/>
      <c r="S170" s="506"/>
      <c r="T170" s="506"/>
      <c r="U170" s="506"/>
      <c r="V170" s="506"/>
      <c r="W170" s="506">
        <f t="shared" si="54"/>
        <v>51500</v>
      </c>
    </row>
    <row r="171" spans="1:23" x14ac:dyDescent="0.2">
      <c r="A171" s="79"/>
      <c r="B171" s="79"/>
      <c r="C171" s="253"/>
      <c r="D171" s="516">
        <v>4350</v>
      </c>
      <c r="E171" s="160" t="s">
        <v>235</v>
      </c>
      <c r="F171" s="634">
        <v>0</v>
      </c>
      <c r="G171" s="83">
        <v>0</v>
      </c>
      <c r="H171" s="322">
        <v>0</v>
      </c>
      <c r="I171" s="85">
        <v>0</v>
      </c>
      <c r="J171" s="86">
        <v>1000</v>
      </c>
      <c r="K171" s="43">
        <v>0</v>
      </c>
      <c r="L171" s="513"/>
      <c r="M171" s="505"/>
      <c r="N171" s="499"/>
      <c r="O171" s="506"/>
      <c r="P171" s="505">
        <v>1000</v>
      </c>
      <c r="Q171" s="505"/>
      <c r="R171" s="506"/>
      <c r="S171" s="506"/>
      <c r="T171" s="506"/>
      <c r="U171" s="506"/>
      <c r="V171" s="506"/>
      <c r="W171" s="506">
        <f t="shared" si="54"/>
        <v>1000</v>
      </c>
    </row>
    <row r="172" spans="1:23" ht="33.75" x14ac:dyDescent="0.2">
      <c r="A172" s="79"/>
      <c r="B172" s="79"/>
      <c r="C172" s="206"/>
      <c r="D172" s="391">
        <v>4370</v>
      </c>
      <c r="E172" s="163" t="s">
        <v>258</v>
      </c>
      <c r="F172" s="208">
        <v>2000</v>
      </c>
      <c r="G172" s="141">
        <v>872.71</v>
      </c>
      <c r="H172" s="322">
        <f t="shared" si="58"/>
        <v>0.43635499999999999</v>
      </c>
      <c r="I172" s="143">
        <v>1363.61</v>
      </c>
      <c r="J172" s="144">
        <v>3000</v>
      </c>
      <c r="K172" s="43">
        <f t="shared" si="59"/>
        <v>1.5</v>
      </c>
      <c r="L172" s="604"/>
      <c r="M172" s="505"/>
      <c r="N172" s="499"/>
      <c r="O172" s="506"/>
      <c r="P172" s="505">
        <v>3000</v>
      </c>
      <c r="Q172" s="505"/>
      <c r="R172" s="506"/>
      <c r="S172" s="506"/>
      <c r="T172" s="506"/>
      <c r="U172" s="506"/>
      <c r="V172" s="506"/>
      <c r="W172" s="506">
        <f t="shared" si="54"/>
        <v>3000</v>
      </c>
    </row>
    <row r="173" spans="1:23" x14ac:dyDescent="0.2">
      <c r="A173" s="79"/>
      <c r="B173" s="79"/>
      <c r="C173" s="427"/>
      <c r="D173" s="609">
        <v>4430</v>
      </c>
      <c r="E173" s="166" t="s">
        <v>180</v>
      </c>
      <c r="F173" s="167">
        <v>18000</v>
      </c>
      <c r="G173" s="83">
        <v>8981</v>
      </c>
      <c r="H173" s="322">
        <f t="shared" si="58"/>
        <v>0.49894444444444447</v>
      </c>
      <c r="I173" s="85">
        <v>9031</v>
      </c>
      <c r="J173" s="86">
        <v>23000</v>
      </c>
      <c r="K173" s="43">
        <f t="shared" si="59"/>
        <v>1.2777777777777777</v>
      </c>
      <c r="L173" s="513"/>
      <c r="M173" s="505"/>
      <c r="N173" s="499"/>
      <c r="O173" s="506"/>
      <c r="P173" s="505">
        <v>23000</v>
      </c>
      <c r="Q173" s="505"/>
      <c r="R173" s="506"/>
      <c r="S173" s="506"/>
      <c r="T173" s="506"/>
      <c r="U173" s="506"/>
      <c r="V173" s="506"/>
      <c r="W173" s="506">
        <f t="shared" si="54"/>
        <v>23000</v>
      </c>
    </row>
    <row r="174" spans="1:23" x14ac:dyDescent="0.2">
      <c r="A174" s="79"/>
      <c r="B174" s="79"/>
      <c r="C174" s="427"/>
      <c r="D174" s="609">
        <v>6050</v>
      </c>
      <c r="E174" s="263" t="s">
        <v>182</v>
      </c>
      <c r="F174" s="666">
        <v>0</v>
      </c>
      <c r="G174" s="141">
        <v>0</v>
      </c>
      <c r="H174" s="322">
        <v>0</v>
      </c>
      <c r="I174" s="209">
        <v>0</v>
      </c>
      <c r="J174" s="144">
        <v>10000</v>
      </c>
      <c r="K174" s="43">
        <v>0</v>
      </c>
      <c r="L174" s="604"/>
      <c r="M174" s="505"/>
      <c r="N174" s="499"/>
      <c r="O174" s="506"/>
      <c r="P174" s="505">
        <v>10000</v>
      </c>
      <c r="Q174" s="505"/>
      <c r="R174" s="506"/>
      <c r="S174" s="506"/>
      <c r="T174" s="506"/>
      <c r="U174" s="506"/>
      <c r="V174" s="506"/>
      <c r="W174" s="506">
        <f t="shared" si="54"/>
        <v>10000</v>
      </c>
    </row>
    <row r="175" spans="1:23" ht="45" x14ac:dyDescent="0.2">
      <c r="A175" s="79"/>
      <c r="B175" s="79"/>
      <c r="C175" s="79"/>
      <c r="D175" s="616">
        <v>6230</v>
      </c>
      <c r="E175" s="169" t="s">
        <v>259</v>
      </c>
      <c r="F175" s="326">
        <v>760000</v>
      </c>
      <c r="G175" s="141">
        <v>400000</v>
      </c>
      <c r="H175" s="322">
        <f t="shared" si="58"/>
        <v>0.52631578947368418</v>
      </c>
      <c r="I175" s="209">
        <v>400000</v>
      </c>
      <c r="J175" s="144">
        <v>284280</v>
      </c>
      <c r="K175" s="43">
        <f t="shared" si="59"/>
        <v>0.37405263157894736</v>
      </c>
      <c r="L175" s="604" t="s">
        <v>260</v>
      </c>
      <c r="M175" s="505"/>
      <c r="N175" s="499"/>
      <c r="O175" s="506"/>
      <c r="P175" s="505">
        <v>284280</v>
      </c>
      <c r="Q175" s="505"/>
      <c r="R175" s="506"/>
      <c r="S175" s="506"/>
      <c r="T175" s="506"/>
      <c r="U175" s="506"/>
      <c r="V175" s="506"/>
      <c r="W175" s="506">
        <f t="shared" si="54"/>
        <v>284280</v>
      </c>
    </row>
    <row r="176" spans="1:23" x14ac:dyDescent="0.2">
      <c r="A176" s="79"/>
      <c r="B176" s="310">
        <v>75414</v>
      </c>
      <c r="C176" s="311"/>
      <c r="D176" s="312"/>
      <c r="E176" s="313" t="s">
        <v>261</v>
      </c>
      <c r="F176" s="314">
        <f>SUM(F177:F179)</f>
        <v>6900</v>
      </c>
      <c r="G176" s="203">
        <f>SUM(G177:G179)</f>
        <v>835.7</v>
      </c>
      <c r="H176" s="204">
        <f t="shared" si="35"/>
        <v>0.12111594202898551</v>
      </c>
      <c r="I176" s="388">
        <f>SUM(I177:I179)</f>
        <v>6900</v>
      </c>
      <c r="J176" s="389">
        <f>SUM(J177:J179)</f>
        <v>14000</v>
      </c>
      <c r="K176" s="1086">
        <f>J176/F176</f>
        <v>2.0289855072463769</v>
      </c>
      <c r="L176" s="1089"/>
      <c r="M176" s="617">
        <f t="shared" ref="M176:V176" si="60">SUM(M177:M179)</f>
        <v>0</v>
      </c>
      <c r="N176" s="685">
        <f t="shared" si="60"/>
        <v>0</v>
      </c>
      <c r="O176" s="617">
        <f t="shared" si="60"/>
        <v>0</v>
      </c>
      <c r="P176" s="617">
        <f t="shared" si="60"/>
        <v>0</v>
      </c>
      <c r="Q176" s="617">
        <f t="shared" si="60"/>
        <v>14000</v>
      </c>
      <c r="R176" s="617">
        <f t="shared" si="60"/>
        <v>0</v>
      </c>
      <c r="S176" s="617">
        <f t="shared" si="60"/>
        <v>0</v>
      </c>
      <c r="T176" s="617">
        <f t="shared" si="60"/>
        <v>0</v>
      </c>
      <c r="U176" s="617">
        <f t="shared" si="60"/>
        <v>0</v>
      </c>
      <c r="V176" s="617">
        <f t="shared" si="60"/>
        <v>0</v>
      </c>
      <c r="W176" s="617">
        <f t="shared" si="54"/>
        <v>14000</v>
      </c>
    </row>
    <row r="177" spans="1:23" x14ac:dyDescent="0.2">
      <c r="A177" s="79"/>
      <c r="B177" s="79"/>
      <c r="C177" s="303"/>
      <c r="D177" s="574">
        <v>4210</v>
      </c>
      <c r="E177" s="249" t="s">
        <v>176</v>
      </c>
      <c r="F177" s="530">
        <v>4600</v>
      </c>
      <c r="G177" s="141">
        <v>30</v>
      </c>
      <c r="H177" s="142">
        <f t="shared" si="35"/>
        <v>6.5217391304347823E-3</v>
      </c>
      <c r="I177" s="143">
        <v>4600</v>
      </c>
      <c r="J177" s="144">
        <v>11500</v>
      </c>
      <c r="K177" s="591">
        <f>J177/F177</f>
        <v>2.5</v>
      </c>
      <c r="L177" s="604"/>
      <c r="M177" s="505"/>
      <c r="N177" s="505"/>
      <c r="O177" s="506"/>
      <c r="P177" s="141"/>
      <c r="Q177" s="141">
        <v>10000</v>
      </c>
      <c r="R177" s="506"/>
      <c r="S177" s="506"/>
      <c r="T177" s="506"/>
      <c r="U177" s="506"/>
      <c r="V177" s="506"/>
      <c r="W177" s="506">
        <v>11500</v>
      </c>
    </row>
    <row r="178" spans="1:23" x14ac:dyDescent="0.2">
      <c r="A178" s="79"/>
      <c r="B178" s="79"/>
      <c r="C178" s="253"/>
      <c r="D178" s="516">
        <v>4260</v>
      </c>
      <c r="E178" s="160" t="s">
        <v>185</v>
      </c>
      <c r="F178" s="634">
        <v>1400</v>
      </c>
      <c r="G178" s="83">
        <v>805.7</v>
      </c>
      <c r="H178" s="142">
        <f t="shared" si="35"/>
        <v>0.57550000000000001</v>
      </c>
      <c r="I178" s="85">
        <v>1400</v>
      </c>
      <c r="J178" s="86">
        <v>1500</v>
      </c>
      <c r="K178" s="591">
        <f t="shared" ref="K178:K179" si="61">J178/F178</f>
        <v>1.0714285714285714</v>
      </c>
      <c r="L178" s="513"/>
      <c r="M178" s="505"/>
      <c r="N178" s="505"/>
      <c r="O178" s="506"/>
      <c r="P178" s="83"/>
      <c r="Q178" s="83">
        <v>3000</v>
      </c>
      <c r="R178" s="506"/>
      <c r="S178" s="506"/>
      <c r="T178" s="506"/>
      <c r="U178" s="506"/>
      <c r="V178" s="506"/>
      <c r="W178" s="506">
        <v>1500</v>
      </c>
    </row>
    <row r="179" spans="1:23" x14ac:dyDescent="0.2">
      <c r="A179" s="79"/>
      <c r="B179" s="79"/>
      <c r="C179" s="303"/>
      <c r="D179" s="574">
        <v>4300</v>
      </c>
      <c r="E179" s="249" t="s">
        <v>177</v>
      </c>
      <c r="F179" s="530">
        <v>900</v>
      </c>
      <c r="G179" s="141">
        <v>0</v>
      </c>
      <c r="H179" s="142">
        <f t="shared" ref="H179" si="62">G179/F179</f>
        <v>0</v>
      </c>
      <c r="I179" s="143">
        <v>900</v>
      </c>
      <c r="J179" s="144">
        <v>1000</v>
      </c>
      <c r="K179" s="591">
        <f t="shared" si="61"/>
        <v>1.1111111111111112</v>
      </c>
      <c r="L179" s="513"/>
      <c r="M179" s="505"/>
      <c r="N179" s="505"/>
      <c r="O179" s="506"/>
      <c r="P179" s="141"/>
      <c r="Q179" s="141">
        <v>1000</v>
      </c>
      <c r="R179" s="506"/>
      <c r="S179" s="506"/>
      <c r="T179" s="506"/>
      <c r="U179" s="506"/>
      <c r="V179" s="506"/>
      <c r="W179" s="506">
        <f t="shared" si="54"/>
        <v>1000</v>
      </c>
    </row>
    <row r="180" spans="1:23" x14ac:dyDescent="0.2">
      <c r="A180" s="79"/>
      <c r="B180" s="290">
        <v>75416</v>
      </c>
      <c r="C180" s="295"/>
      <c r="D180" s="296"/>
      <c r="E180" s="297" t="s">
        <v>262</v>
      </c>
      <c r="F180" s="347">
        <f>SUM(F181:F185)</f>
        <v>24900</v>
      </c>
      <c r="G180" s="347">
        <f>SUM(G181:G185)</f>
        <v>11603.519999999999</v>
      </c>
      <c r="H180" s="299">
        <f t="shared" ref="H180:H219" si="63">G180/F180</f>
        <v>0.46600481927710835</v>
      </c>
      <c r="I180" s="300">
        <f>SUM(I181:I185)</f>
        <v>21513.34</v>
      </c>
      <c r="J180" s="301">
        <f>SUM(J181:J185)</f>
        <v>94100</v>
      </c>
      <c r="K180" s="1098">
        <f>J180/F180</f>
        <v>3.7791164658634537</v>
      </c>
      <c r="L180" s="1088"/>
      <c r="M180" s="570">
        <f t="shared" ref="M180:V180" si="64">SUM(M181:M185)</f>
        <v>0</v>
      </c>
      <c r="N180" s="570">
        <f t="shared" si="64"/>
        <v>0</v>
      </c>
      <c r="O180" s="570">
        <f t="shared" si="64"/>
        <v>0</v>
      </c>
      <c r="P180" s="570">
        <f t="shared" si="64"/>
        <v>94100</v>
      </c>
      <c r="Q180" s="570">
        <f t="shared" si="64"/>
        <v>0</v>
      </c>
      <c r="R180" s="570">
        <f t="shared" si="64"/>
        <v>0</v>
      </c>
      <c r="S180" s="570">
        <f t="shared" si="64"/>
        <v>0</v>
      </c>
      <c r="T180" s="570">
        <f t="shared" si="64"/>
        <v>0</v>
      </c>
      <c r="U180" s="570">
        <f t="shared" si="64"/>
        <v>0</v>
      </c>
      <c r="V180" s="570">
        <f t="shared" si="64"/>
        <v>0</v>
      </c>
      <c r="W180" s="570">
        <f t="shared" si="54"/>
        <v>94100</v>
      </c>
    </row>
    <row r="181" spans="1:23" ht="22.5" x14ac:dyDescent="0.2">
      <c r="A181" s="79"/>
      <c r="B181" s="79"/>
      <c r="C181" s="303"/>
      <c r="D181" s="574">
        <v>3020</v>
      </c>
      <c r="E181" s="249" t="s">
        <v>219</v>
      </c>
      <c r="F181" s="530">
        <v>1550</v>
      </c>
      <c r="G181" s="141">
        <v>1526.4</v>
      </c>
      <c r="H181" s="142">
        <f t="shared" si="63"/>
        <v>0.98477419354838713</v>
      </c>
      <c r="I181" s="143">
        <v>1526.4</v>
      </c>
      <c r="J181" s="144">
        <v>1600</v>
      </c>
      <c r="K181" s="591">
        <f t="shared" ref="K181:K249" si="65">J181/F181</f>
        <v>1.032258064516129</v>
      </c>
      <c r="L181" s="604"/>
      <c r="M181" s="505"/>
      <c r="N181" s="505"/>
      <c r="O181" s="506"/>
      <c r="P181" s="505">
        <v>1600</v>
      </c>
      <c r="Q181" s="505"/>
      <c r="R181" s="506"/>
      <c r="S181" s="506"/>
      <c r="T181" s="506"/>
      <c r="U181" s="506"/>
      <c r="V181" s="506"/>
      <c r="W181" s="506">
        <f t="shared" si="54"/>
        <v>1600</v>
      </c>
    </row>
    <row r="182" spans="1:23" x14ac:dyDescent="0.2">
      <c r="A182" s="79"/>
      <c r="B182" s="79"/>
      <c r="C182" s="253"/>
      <c r="D182" s="516">
        <v>4210</v>
      </c>
      <c r="E182" s="160" t="s">
        <v>176</v>
      </c>
      <c r="F182" s="161">
        <v>18500</v>
      </c>
      <c r="G182" s="83">
        <v>8759.0499999999993</v>
      </c>
      <c r="H182" s="142">
        <f t="shared" si="63"/>
        <v>0.47346216216216214</v>
      </c>
      <c r="I182" s="85">
        <v>17678.73</v>
      </c>
      <c r="J182" s="86">
        <v>14500</v>
      </c>
      <c r="K182" s="591">
        <f t="shared" si="65"/>
        <v>0.78378378378378377</v>
      </c>
      <c r="L182" s="513"/>
      <c r="M182" s="505"/>
      <c r="N182" s="505"/>
      <c r="O182" s="506"/>
      <c r="P182" s="505">
        <f>22000-7500</f>
        <v>14500</v>
      </c>
      <c r="Q182" s="505"/>
      <c r="R182" s="506"/>
      <c r="S182" s="506"/>
      <c r="T182" s="506"/>
      <c r="U182" s="506"/>
      <c r="V182" s="506"/>
      <c r="W182" s="506">
        <f t="shared" ref="W182:W185" si="66">SUM(M182:V182)</f>
        <v>14500</v>
      </c>
    </row>
    <row r="183" spans="1:23" x14ac:dyDescent="0.2">
      <c r="A183" s="79"/>
      <c r="B183" s="79"/>
      <c r="C183" s="303"/>
      <c r="D183" s="574">
        <v>4300</v>
      </c>
      <c r="E183" s="249" t="s">
        <v>177</v>
      </c>
      <c r="F183" s="530">
        <v>3000</v>
      </c>
      <c r="G183" s="141">
        <v>260.07</v>
      </c>
      <c r="H183" s="142">
        <f t="shared" si="63"/>
        <v>8.6690000000000003E-2</v>
      </c>
      <c r="I183" s="143">
        <v>1250.21</v>
      </c>
      <c r="J183" s="144">
        <v>2000</v>
      </c>
      <c r="K183" s="591">
        <f t="shared" si="65"/>
        <v>0.66666666666666663</v>
      </c>
      <c r="L183" s="604"/>
      <c r="M183" s="505"/>
      <c r="N183" s="505"/>
      <c r="O183" s="506"/>
      <c r="P183" s="505">
        <f>4500-2500</f>
        <v>2000</v>
      </c>
      <c r="Q183" s="505"/>
      <c r="R183" s="506"/>
      <c r="S183" s="506"/>
      <c r="T183" s="506"/>
      <c r="U183" s="506"/>
      <c r="V183" s="506"/>
      <c r="W183" s="506">
        <f t="shared" si="66"/>
        <v>2000</v>
      </c>
    </row>
    <row r="184" spans="1:23" x14ac:dyDescent="0.2">
      <c r="A184" s="79"/>
      <c r="B184" s="79"/>
      <c r="C184" s="107"/>
      <c r="D184" s="514">
        <v>4430</v>
      </c>
      <c r="E184" s="109" t="s">
        <v>180</v>
      </c>
      <c r="F184" s="120">
        <v>1850</v>
      </c>
      <c r="G184" s="93">
        <v>1058</v>
      </c>
      <c r="H184" s="142">
        <f t="shared" si="63"/>
        <v>0.57189189189189193</v>
      </c>
      <c r="I184" s="85">
        <v>1058</v>
      </c>
      <c r="J184" s="86">
        <v>6000</v>
      </c>
      <c r="K184" s="591">
        <f t="shared" si="65"/>
        <v>3.2432432432432434</v>
      </c>
      <c r="L184" s="513"/>
      <c r="M184" s="505"/>
      <c r="N184" s="505"/>
      <c r="O184" s="506"/>
      <c r="P184" s="505">
        <v>6000</v>
      </c>
      <c r="Q184" s="505"/>
      <c r="R184" s="506"/>
      <c r="S184" s="506"/>
      <c r="T184" s="506"/>
      <c r="U184" s="506"/>
      <c r="V184" s="506"/>
      <c r="W184" s="506">
        <f t="shared" si="66"/>
        <v>6000</v>
      </c>
    </row>
    <row r="185" spans="1:23" ht="22.5" x14ac:dyDescent="0.2">
      <c r="A185" s="79"/>
      <c r="B185" s="79"/>
      <c r="C185" s="107"/>
      <c r="D185" s="514">
        <v>6060</v>
      </c>
      <c r="E185" s="400" t="s">
        <v>207</v>
      </c>
      <c r="F185" s="121">
        <v>0</v>
      </c>
      <c r="G185" s="83">
        <v>0</v>
      </c>
      <c r="H185" s="142">
        <v>0</v>
      </c>
      <c r="I185" s="182">
        <v>0</v>
      </c>
      <c r="J185" s="183">
        <v>70000</v>
      </c>
      <c r="K185" s="592">
        <v>0</v>
      </c>
      <c r="L185" s="517"/>
      <c r="M185" s="505"/>
      <c r="N185" s="505"/>
      <c r="O185" s="506"/>
      <c r="P185" s="505">
        <v>70000</v>
      </c>
      <c r="Q185" s="505"/>
      <c r="R185" s="506"/>
      <c r="S185" s="506"/>
      <c r="T185" s="506"/>
      <c r="U185" s="506"/>
      <c r="V185" s="506"/>
      <c r="W185" s="506">
        <f t="shared" si="66"/>
        <v>70000</v>
      </c>
    </row>
    <row r="186" spans="1:23" x14ac:dyDescent="0.2">
      <c r="A186" s="686">
        <v>757</v>
      </c>
      <c r="B186" s="687"/>
      <c r="C186" s="283"/>
      <c r="D186" s="284"/>
      <c r="E186" s="285" t="s">
        <v>263</v>
      </c>
      <c r="F186" s="688">
        <f>F187</f>
        <v>573583</v>
      </c>
      <c r="G186" s="689">
        <f t="shared" ref="G186:V187" si="67">G187</f>
        <v>352233.65</v>
      </c>
      <c r="H186" s="690">
        <f t="shared" si="63"/>
        <v>0.61409360110045108</v>
      </c>
      <c r="I186" s="288">
        <f t="shared" si="67"/>
        <v>506112.59</v>
      </c>
      <c r="J186" s="289">
        <f t="shared" si="67"/>
        <v>467200</v>
      </c>
      <c r="K186" s="1131">
        <f t="shared" ref="K186:K191" si="68">J186/F186</f>
        <v>0.81452902195497423</v>
      </c>
      <c r="L186" s="1125" t="str">
        <f t="shared" si="67"/>
        <v>WF</v>
      </c>
      <c r="M186" s="691">
        <f t="shared" si="67"/>
        <v>0</v>
      </c>
      <c r="N186" s="691">
        <f t="shared" si="67"/>
        <v>0</v>
      </c>
      <c r="O186" s="691">
        <f t="shared" si="67"/>
        <v>0</v>
      </c>
      <c r="P186" s="691">
        <f t="shared" si="67"/>
        <v>0</v>
      </c>
      <c r="Q186" s="691">
        <f t="shared" si="67"/>
        <v>0</v>
      </c>
      <c r="R186" s="691">
        <f t="shared" si="67"/>
        <v>467200</v>
      </c>
      <c r="S186" s="691">
        <f t="shared" si="67"/>
        <v>0</v>
      </c>
      <c r="T186" s="691">
        <f t="shared" si="67"/>
        <v>0</v>
      </c>
      <c r="U186" s="691">
        <f t="shared" si="67"/>
        <v>0</v>
      </c>
      <c r="V186" s="691">
        <f t="shared" si="67"/>
        <v>0</v>
      </c>
      <c r="W186" s="691">
        <f>SUM(M186:V186)</f>
        <v>467200</v>
      </c>
    </row>
    <row r="187" spans="1:23" ht="22.5" x14ac:dyDescent="0.2">
      <c r="A187" s="79"/>
      <c r="B187" s="237">
        <v>75702</v>
      </c>
      <c r="C187" s="311"/>
      <c r="D187" s="312"/>
      <c r="E187" s="313" t="s">
        <v>264</v>
      </c>
      <c r="F187" s="399">
        <f>F188</f>
        <v>573583</v>
      </c>
      <c r="G187" s="388">
        <f t="shared" si="67"/>
        <v>352233.65</v>
      </c>
      <c r="H187" s="315">
        <f t="shared" si="63"/>
        <v>0.61409360110045108</v>
      </c>
      <c r="I187" s="388">
        <f t="shared" si="67"/>
        <v>506112.59</v>
      </c>
      <c r="J187" s="389">
        <f t="shared" si="67"/>
        <v>467200</v>
      </c>
      <c r="K187" s="1086">
        <f t="shared" si="68"/>
        <v>0.81452902195497423</v>
      </c>
      <c r="L187" s="1089" t="str">
        <f t="shared" si="67"/>
        <v>WF</v>
      </c>
      <c r="M187" s="617">
        <f t="shared" si="67"/>
        <v>0</v>
      </c>
      <c r="N187" s="617">
        <f t="shared" si="67"/>
        <v>0</v>
      </c>
      <c r="O187" s="617">
        <f t="shared" si="67"/>
        <v>0</v>
      </c>
      <c r="P187" s="617">
        <f t="shared" si="67"/>
        <v>0</v>
      </c>
      <c r="Q187" s="617">
        <f t="shared" si="67"/>
        <v>0</v>
      </c>
      <c r="R187" s="617">
        <f t="shared" si="67"/>
        <v>467200</v>
      </c>
      <c r="S187" s="617">
        <f t="shared" si="67"/>
        <v>0</v>
      </c>
      <c r="T187" s="617">
        <f t="shared" si="67"/>
        <v>0</v>
      </c>
      <c r="U187" s="617">
        <f t="shared" si="67"/>
        <v>0</v>
      </c>
      <c r="V187" s="617">
        <f t="shared" si="67"/>
        <v>0</v>
      </c>
      <c r="W187" s="617">
        <f>SUM(M187:V187)</f>
        <v>467200</v>
      </c>
    </row>
    <row r="188" spans="1:23" ht="45" x14ac:dyDescent="0.2">
      <c r="A188" s="79"/>
      <c r="B188" s="79"/>
      <c r="C188" s="79"/>
      <c r="D188" s="616">
        <v>8110</v>
      </c>
      <c r="E188" s="169" t="s">
        <v>265</v>
      </c>
      <c r="F188" s="349">
        <v>573583</v>
      </c>
      <c r="G188" s="141">
        <v>352233.65</v>
      </c>
      <c r="H188" s="142">
        <f t="shared" si="63"/>
        <v>0.61409360110045108</v>
      </c>
      <c r="I188" s="143">
        <v>506112.59</v>
      </c>
      <c r="J188" s="144">
        <v>467200</v>
      </c>
      <c r="K188" s="591">
        <f t="shared" si="68"/>
        <v>0.81452902195497423</v>
      </c>
      <c r="L188" s="604" t="s">
        <v>162</v>
      </c>
      <c r="M188" s="505"/>
      <c r="N188" s="505"/>
      <c r="O188" s="506"/>
      <c r="P188" s="505"/>
      <c r="Q188" s="505"/>
      <c r="R188" s="506">
        <v>467200</v>
      </c>
      <c r="S188" s="506"/>
      <c r="T188" s="506"/>
      <c r="U188" s="506"/>
      <c r="V188" s="506"/>
      <c r="W188" s="506">
        <f>SUM(M188:V188)</f>
        <v>467200</v>
      </c>
    </row>
    <row r="189" spans="1:23" x14ac:dyDescent="0.2">
      <c r="A189" s="531">
        <v>758</v>
      </c>
      <c r="B189" s="100"/>
      <c r="C189" s="100"/>
      <c r="D189" s="112"/>
      <c r="E189" s="113" t="s">
        <v>81</v>
      </c>
      <c r="F189" s="309">
        <f>F190</f>
        <v>121166</v>
      </c>
      <c r="G189" s="115">
        <f t="shared" ref="G189:V190" si="69">G190</f>
        <v>0</v>
      </c>
      <c r="H189" s="116">
        <v>0</v>
      </c>
      <c r="I189" s="115">
        <f t="shared" si="69"/>
        <v>0</v>
      </c>
      <c r="J189" s="117">
        <f t="shared" si="69"/>
        <v>200000</v>
      </c>
      <c r="K189" s="1126">
        <f t="shared" si="68"/>
        <v>1.6506280639783437</v>
      </c>
      <c r="L189" s="1117"/>
      <c r="M189" s="519">
        <f t="shared" si="69"/>
        <v>0</v>
      </c>
      <c r="N189" s="519">
        <f t="shared" si="69"/>
        <v>0</v>
      </c>
      <c r="O189" s="519">
        <f t="shared" si="69"/>
        <v>0</v>
      </c>
      <c r="P189" s="519">
        <f t="shared" si="69"/>
        <v>0</v>
      </c>
      <c r="Q189" s="519">
        <f t="shared" si="69"/>
        <v>0</v>
      </c>
      <c r="R189" s="519">
        <f t="shared" si="69"/>
        <v>200000</v>
      </c>
      <c r="S189" s="519">
        <f t="shared" si="69"/>
        <v>0</v>
      </c>
      <c r="T189" s="519">
        <f t="shared" si="69"/>
        <v>0</v>
      </c>
      <c r="U189" s="519">
        <f t="shared" si="69"/>
        <v>0</v>
      </c>
      <c r="V189" s="519">
        <f t="shared" si="69"/>
        <v>0</v>
      </c>
      <c r="W189" s="519">
        <f>SUM(M189:V189)</f>
        <v>200000</v>
      </c>
    </row>
    <row r="190" spans="1:23" x14ac:dyDescent="0.2">
      <c r="A190" s="35"/>
      <c r="B190" s="118">
        <v>75818</v>
      </c>
      <c r="C190" s="70"/>
      <c r="D190" s="103"/>
      <c r="E190" s="72" t="s">
        <v>266</v>
      </c>
      <c r="F190" s="73">
        <f>F191</f>
        <v>121166</v>
      </c>
      <c r="G190" s="75">
        <f t="shared" si="69"/>
        <v>0</v>
      </c>
      <c r="H190" s="74">
        <v>0</v>
      </c>
      <c r="I190" s="75">
        <f t="shared" si="69"/>
        <v>0</v>
      </c>
      <c r="J190" s="76">
        <f t="shared" si="69"/>
        <v>200000</v>
      </c>
      <c r="K190" s="1084">
        <f t="shared" si="68"/>
        <v>1.6506280639783437</v>
      </c>
      <c r="L190" s="1080"/>
      <c r="M190" s="510">
        <f t="shared" si="69"/>
        <v>0</v>
      </c>
      <c r="N190" s="510">
        <f t="shared" si="69"/>
        <v>0</v>
      </c>
      <c r="O190" s="510">
        <f t="shared" si="69"/>
        <v>0</v>
      </c>
      <c r="P190" s="510">
        <f t="shared" si="69"/>
        <v>0</v>
      </c>
      <c r="Q190" s="510">
        <f t="shared" si="69"/>
        <v>0</v>
      </c>
      <c r="R190" s="510">
        <f t="shared" si="69"/>
        <v>200000</v>
      </c>
      <c r="S190" s="510">
        <f t="shared" si="69"/>
        <v>0</v>
      </c>
      <c r="T190" s="510">
        <f t="shared" si="69"/>
        <v>0</v>
      </c>
      <c r="U190" s="510">
        <f t="shared" si="69"/>
        <v>0</v>
      </c>
      <c r="V190" s="510">
        <f t="shared" si="69"/>
        <v>0</v>
      </c>
      <c r="W190" s="510">
        <f>SUM(M191:V191)</f>
        <v>200000</v>
      </c>
    </row>
    <row r="191" spans="1:23" x14ac:dyDescent="0.2">
      <c r="A191" s="79"/>
      <c r="B191" s="79"/>
      <c r="C191" s="80"/>
      <c r="D191" s="511">
        <v>4810</v>
      </c>
      <c r="E191" s="37" t="s">
        <v>267</v>
      </c>
      <c r="F191" s="692">
        <f>F193+F194</f>
        <v>121166</v>
      </c>
      <c r="G191" s="93">
        <v>0</v>
      </c>
      <c r="H191" s="94">
        <v>0</v>
      </c>
      <c r="I191" s="95">
        <v>0</v>
      </c>
      <c r="J191" s="96">
        <v>200000</v>
      </c>
      <c r="K191" s="635">
        <f t="shared" si="68"/>
        <v>1.6506280639783437</v>
      </c>
      <c r="L191" s="513"/>
      <c r="M191" s="505"/>
      <c r="N191" s="505"/>
      <c r="O191" s="506"/>
      <c r="P191" s="505"/>
      <c r="Q191" s="505"/>
      <c r="R191" s="506">
        <v>200000</v>
      </c>
      <c r="S191" s="506"/>
      <c r="T191" s="506"/>
      <c r="U191" s="506"/>
      <c r="V191" s="506"/>
      <c r="W191" s="506">
        <f>SUM(M191:V191)</f>
        <v>200000</v>
      </c>
    </row>
    <row r="192" spans="1:23" x14ac:dyDescent="0.2">
      <c r="A192" s="79"/>
      <c r="B192" s="79"/>
      <c r="C192" s="79"/>
      <c r="D192" s="616"/>
      <c r="E192" s="442" t="s">
        <v>151</v>
      </c>
      <c r="F192" s="693"/>
      <c r="G192" s="327"/>
      <c r="H192" s="328"/>
      <c r="I192" s="182"/>
      <c r="J192" s="183"/>
      <c r="K192" s="590"/>
      <c r="L192" s="604"/>
      <c r="M192" s="505"/>
      <c r="N192" s="505"/>
      <c r="O192" s="506"/>
      <c r="P192" s="505"/>
      <c r="Q192" s="505"/>
      <c r="R192" s="506"/>
      <c r="S192" s="506"/>
      <c r="T192" s="506"/>
      <c r="U192" s="506"/>
      <c r="V192" s="506"/>
      <c r="W192" s="506">
        <f t="shared" ref="W192:W194" si="70">SUM(M192:V192)</f>
        <v>0</v>
      </c>
    </row>
    <row r="193" spans="1:23" x14ac:dyDescent="0.2">
      <c r="A193" s="697"/>
      <c r="B193" s="79"/>
      <c r="C193" s="79"/>
      <c r="D193" s="616"/>
      <c r="E193" s="694" t="s">
        <v>268</v>
      </c>
      <c r="F193" s="695">
        <v>121166</v>
      </c>
      <c r="G193" s="640">
        <v>0</v>
      </c>
      <c r="H193" s="641">
        <v>0</v>
      </c>
      <c r="I193" s="329">
        <v>0</v>
      </c>
      <c r="J193" s="643">
        <v>130000</v>
      </c>
      <c r="K193" s="644">
        <f>J193/F193</f>
        <v>1.0729082415859235</v>
      </c>
      <c r="L193" s="517"/>
      <c r="M193" s="505"/>
      <c r="N193" s="505"/>
      <c r="O193" s="506"/>
      <c r="P193" s="505"/>
      <c r="Q193" s="505"/>
      <c r="R193" s="506"/>
      <c r="S193" s="506"/>
      <c r="T193" s="506"/>
      <c r="U193" s="506"/>
      <c r="V193" s="506"/>
      <c r="W193" s="506">
        <f t="shared" si="70"/>
        <v>0</v>
      </c>
    </row>
    <row r="194" spans="1:23" x14ac:dyDescent="0.2">
      <c r="A194" s="206"/>
      <c r="B194" s="206"/>
      <c r="C194" s="206"/>
      <c r="D194" s="391"/>
      <c r="E194" s="698" t="s">
        <v>269</v>
      </c>
      <c r="F194" s="696">
        <v>0</v>
      </c>
      <c r="G194" s="652">
        <v>0</v>
      </c>
      <c r="H194" s="653">
        <v>0</v>
      </c>
      <c r="I194" s="209">
        <v>0</v>
      </c>
      <c r="J194" s="654">
        <v>70000</v>
      </c>
      <c r="K194" s="1087">
        <v>0</v>
      </c>
      <c r="L194" s="517"/>
      <c r="M194" s="505"/>
      <c r="N194" s="505"/>
      <c r="O194" s="506"/>
      <c r="P194" s="505"/>
      <c r="Q194" s="505"/>
      <c r="R194" s="506"/>
      <c r="S194" s="506"/>
      <c r="T194" s="506"/>
      <c r="U194" s="506"/>
      <c r="V194" s="506"/>
      <c r="W194" s="506">
        <f t="shared" si="70"/>
        <v>0</v>
      </c>
    </row>
    <row r="195" spans="1:23" x14ac:dyDescent="0.2">
      <c r="A195" s="618">
        <v>801</v>
      </c>
      <c r="B195" s="15"/>
      <c r="C195" s="15"/>
      <c r="D195" s="16"/>
      <c r="E195" s="17" t="s">
        <v>91</v>
      </c>
      <c r="F195" s="699">
        <f>F196+F219+F235+F269+F291+F295+F311+F315+F328</f>
        <v>21898722.27</v>
      </c>
      <c r="G195" s="20">
        <f>G196+G219+G235+G269+G291+G295+G311+G315+G328</f>
        <v>16225122.449999999</v>
      </c>
      <c r="H195" s="19">
        <f t="shared" si="63"/>
        <v>0.74091639913747354</v>
      </c>
      <c r="I195" s="20">
        <f>I196+I219+I235+I269+I291+I295+I311+I315+I328</f>
        <v>21559302.900000002</v>
      </c>
      <c r="J195" s="21">
        <f>J196+J219+J235+J269+J291+J295+J311+J315+J328</f>
        <v>22837763</v>
      </c>
      <c r="K195" s="1083">
        <f>J195/F195</f>
        <v>1.0428810739924508</v>
      </c>
      <c r="L195" s="1079"/>
      <c r="M195" s="509">
        <f t="shared" ref="M195:V195" si="71">M196+M219+M235+M269+M291+M295+M311+M315+M328</f>
        <v>200</v>
      </c>
      <c r="N195" s="509">
        <f t="shared" si="71"/>
        <v>0</v>
      </c>
      <c r="O195" s="509">
        <f t="shared" si="71"/>
        <v>0</v>
      </c>
      <c r="P195" s="509">
        <f t="shared" si="71"/>
        <v>0</v>
      </c>
      <c r="Q195" s="509">
        <f t="shared" si="71"/>
        <v>0</v>
      </c>
      <c r="R195" s="509">
        <f t="shared" si="71"/>
        <v>3340060</v>
      </c>
      <c r="S195" s="509">
        <f t="shared" si="71"/>
        <v>0</v>
      </c>
      <c r="T195" s="509">
        <f t="shared" si="71"/>
        <v>0</v>
      </c>
      <c r="U195" s="509">
        <f t="shared" si="71"/>
        <v>0</v>
      </c>
      <c r="V195" s="509">
        <f t="shared" si="71"/>
        <v>19497503</v>
      </c>
      <c r="W195" s="509">
        <f>SUM(M195:V195)</f>
        <v>22837763</v>
      </c>
    </row>
    <row r="196" spans="1:23" x14ac:dyDescent="0.2">
      <c r="A196" s="35"/>
      <c r="B196" s="310">
        <v>80101</v>
      </c>
      <c r="C196" s="311"/>
      <c r="D196" s="312"/>
      <c r="E196" s="313" t="s">
        <v>92</v>
      </c>
      <c r="F196" s="426">
        <f>SUM(F198:F218)</f>
        <v>9084978.6500000004</v>
      </c>
      <c r="G196" s="426">
        <f>SUM(G198:G218)</f>
        <v>6897519.5499999989</v>
      </c>
      <c r="H196" s="315">
        <f t="shared" si="63"/>
        <v>0.75922242811214513</v>
      </c>
      <c r="I196" s="388">
        <f>SUM(I198:I218)</f>
        <v>9030031.8900000006</v>
      </c>
      <c r="J196" s="389">
        <f>SUM(J197:J218)</f>
        <v>9905641</v>
      </c>
      <c r="K196" s="1086">
        <f>J196/F196</f>
        <v>1.0903317863052986</v>
      </c>
      <c r="L196" s="1080"/>
      <c r="M196" s="510">
        <f>SUM(M198:M218)</f>
        <v>0</v>
      </c>
      <c r="N196" s="510">
        <f>SUM(N198:N218)</f>
        <v>0</v>
      </c>
      <c r="O196" s="510">
        <f>SUM(O198:O218)</f>
        <v>0</v>
      </c>
      <c r="P196" s="510">
        <f>SUM(P198:P218)</f>
        <v>0</v>
      </c>
      <c r="Q196" s="510">
        <f>SUM(Q198:Q218)</f>
        <v>0</v>
      </c>
      <c r="R196" s="510">
        <f>SUM(R197:R218)</f>
        <v>2800</v>
      </c>
      <c r="S196" s="510">
        <f>SUM(S198:S218)</f>
        <v>0</v>
      </c>
      <c r="T196" s="510">
        <f>SUM(T198:T218)</f>
        <v>0</v>
      </c>
      <c r="U196" s="510">
        <f>SUM(U198:U218)</f>
        <v>0</v>
      </c>
      <c r="V196" s="510">
        <f>SUM(V198:V218)</f>
        <v>9902841</v>
      </c>
      <c r="W196" s="510">
        <f>SUM(M196:V196)</f>
        <v>9905641</v>
      </c>
    </row>
    <row r="197" spans="1:23" ht="33.75" x14ac:dyDescent="0.2">
      <c r="A197" s="35"/>
      <c r="B197" s="352"/>
      <c r="C197" s="35"/>
      <c r="D197" s="734">
        <v>2310</v>
      </c>
      <c r="E197" s="537" t="s">
        <v>187</v>
      </c>
      <c r="F197" s="771">
        <v>0</v>
      </c>
      <c r="G197" s="1149">
        <v>0</v>
      </c>
      <c r="H197" s="766">
        <v>0</v>
      </c>
      <c r="I197" s="524">
        <v>0</v>
      </c>
      <c r="J197" s="1150">
        <v>2800</v>
      </c>
      <c r="K197" s="766">
        <v>0</v>
      </c>
      <c r="L197" s="701"/>
      <c r="M197" s="528"/>
      <c r="N197" s="528"/>
      <c r="O197" s="528"/>
      <c r="P197" s="528"/>
      <c r="Q197" s="528"/>
      <c r="R197" s="528">
        <v>2800</v>
      </c>
      <c r="S197" s="528"/>
      <c r="T197" s="528"/>
      <c r="U197" s="528"/>
      <c r="V197" s="702"/>
      <c r="W197" s="528">
        <f>SUM(M197:V197)</f>
        <v>2800</v>
      </c>
    </row>
    <row r="198" spans="1:23" ht="22.5" x14ac:dyDescent="0.2">
      <c r="A198" s="79"/>
      <c r="B198" s="79"/>
      <c r="C198" s="253"/>
      <c r="D198" s="516">
        <v>3020</v>
      </c>
      <c r="E198" s="160" t="s">
        <v>219</v>
      </c>
      <c r="F198" s="185">
        <v>281239</v>
      </c>
      <c r="G198" s="141">
        <v>205529.56</v>
      </c>
      <c r="H198" s="142">
        <f t="shared" si="63"/>
        <v>0.73080035130262877</v>
      </c>
      <c r="I198" s="703">
        <v>281239</v>
      </c>
      <c r="J198" s="279">
        <v>304931</v>
      </c>
      <c r="K198" s="611">
        <f t="shared" si="65"/>
        <v>1.0842415170015538</v>
      </c>
      <c r="L198" s="513"/>
      <c r="M198" s="505"/>
      <c r="N198" s="505"/>
      <c r="O198" s="506"/>
      <c r="P198" s="505"/>
      <c r="Q198" s="505"/>
      <c r="R198" s="506"/>
      <c r="S198" s="506"/>
      <c r="T198" s="506"/>
      <c r="U198" s="506"/>
      <c r="V198" s="622">
        <v>304931</v>
      </c>
      <c r="W198" s="506">
        <f>SUM(M198:V198)</f>
        <v>304931</v>
      </c>
    </row>
    <row r="199" spans="1:23" x14ac:dyDescent="0.2">
      <c r="A199" s="79"/>
      <c r="B199" s="79"/>
      <c r="C199" s="427"/>
      <c r="D199" s="609">
        <v>3240</v>
      </c>
      <c r="E199" s="166" t="s">
        <v>270</v>
      </c>
      <c r="F199" s="348">
        <v>3700</v>
      </c>
      <c r="G199" s="83">
        <v>3700</v>
      </c>
      <c r="H199" s="84">
        <f t="shared" si="63"/>
        <v>1</v>
      </c>
      <c r="I199" s="85">
        <v>3700</v>
      </c>
      <c r="J199" s="86">
        <v>5900</v>
      </c>
      <c r="K199" s="581">
        <f t="shared" si="65"/>
        <v>1.5945945945945945</v>
      </c>
      <c r="L199" s="513"/>
      <c r="M199" s="505"/>
      <c r="N199" s="505"/>
      <c r="O199" s="506"/>
      <c r="P199" s="505"/>
      <c r="Q199" s="505"/>
      <c r="R199" s="506"/>
      <c r="S199" s="506"/>
      <c r="T199" s="506"/>
      <c r="U199" s="506"/>
      <c r="V199" s="141">
        <v>5900</v>
      </c>
      <c r="W199" s="506">
        <f t="shared" ref="W199:W218" si="72">SUM(M199:V199)</f>
        <v>5900</v>
      </c>
    </row>
    <row r="200" spans="1:23" x14ac:dyDescent="0.2">
      <c r="A200" s="79"/>
      <c r="B200" s="79"/>
      <c r="C200" s="303"/>
      <c r="D200" s="574">
        <v>4010</v>
      </c>
      <c r="E200" s="249" t="s">
        <v>173</v>
      </c>
      <c r="F200" s="747">
        <v>5590987</v>
      </c>
      <c r="G200" s="141">
        <v>4277618.04</v>
      </c>
      <c r="H200" s="142">
        <f t="shared" si="63"/>
        <v>0.76509175213607183</v>
      </c>
      <c r="I200" s="143">
        <v>5590987</v>
      </c>
      <c r="J200" s="144">
        <v>6338753</v>
      </c>
      <c r="K200" s="611">
        <f t="shared" si="65"/>
        <v>1.1337449004978906</v>
      </c>
      <c r="L200" s="513"/>
      <c r="M200" s="505"/>
      <c r="N200" s="505"/>
      <c r="O200" s="506"/>
      <c r="P200" s="505"/>
      <c r="Q200" s="505"/>
      <c r="R200" s="506"/>
      <c r="S200" s="506"/>
      <c r="T200" s="506"/>
      <c r="U200" s="506"/>
      <c r="V200" s="83">
        <v>6338753</v>
      </c>
      <c r="W200" s="506">
        <f t="shared" si="72"/>
        <v>6338753</v>
      </c>
    </row>
    <row r="201" spans="1:23" x14ac:dyDescent="0.2">
      <c r="A201" s="79"/>
      <c r="B201" s="79"/>
      <c r="C201" s="107"/>
      <c r="D201" s="514">
        <v>4040</v>
      </c>
      <c r="E201" s="109" t="s">
        <v>213</v>
      </c>
      <c r="F201" s="251">
        <v>460828</v>
      </c>
      <c r="G201" s="83">
        <v>460821.78</v>
      </c>
      <c r="H201" s="142">
        <f t="shared" si="63"/>
        <v>0.99998650255626831</v>
      </c>
      <c r="I201" s="85">
        <v>460821.78</v>
      </c>
      <c r="J201" s="86">
        <v>499600</v>
      </c>
      <c r="K201" s="611">
        <f t="shared" si="65"/>
        <v>1.0841355125990608</v>
      </c>
      <c r="L201" s="513"/>
      <c r="M201" s="505"/>
      <c r="N201" s="505"/>
      <c r="O201" s="506"/>
      <c r="P201" s="505"/>
      <c r="Q201" s="505"/>
      <c r="R201" s="506"/>
      <c r="S201" s="506"/>
      <c r="T201" s="506"/>
      <c r="U201" s="506"/>
      <c r="V201" s="83">
        <v>499600</v>
      </c>
      <c r="W201" s="506">
        <f t="shared" si="72"/>
        <v>499600</v>
      </c>
    </row>
    <row r="202" spans="1:23" x14ac:dyDescent="0.2">
      <c r="A202" s="79"/>
      <c r="B202" s="79"/>
      <c r="C202" s="253"/>
      <c r="D202" s="516">
        <v>4110</v>
      </c>
      <c r="E202" s="160" t="s">
        <v>174</v>
      </c>
      <c r="F202" s="185">
        <v>1088178</v>
      </c>
      <c r="G202" s="83">
        <v>833872.85</v>
      </c>
      <c r="H202" s="142">
        <f t="shared" si="63"/>
        <v>0.76630188259641341</v>
      </c>
      <c r="I202" s="85">
        <v>1088178</v>
      </c>
      <c r="J202" s="86">
        <v>1216152</v>
      </c>
      <c r="K202" s="611">
        <f t="shared" si="65"/>
        <v>1.1176039214172682</v>
      </c>
      <c r="L202" s="513"/>
      <c r="M202" s="505"/>
      <c r="N202" s="505"/>
      <c r="O202" s="506"/>
      <c r="P202" s="505"/>
      <c r="Q202" s="505"/>
      <c r="R202" s="506"/>
      <c r="S202" s="506"/>
      <c r="T202" s="506"/>
      <c r="U202" s="506"/>
      <c r="V202" s="83">
        <v>1216152</v>
      </c>
      <c r="W202" s="506">
        <f t="shared" si="72"/>
        <v>1216152</v>
      </c>
    </row>
    <row r="203" spans="1:23" x14ac:dyDescent="0.2">
      <c r="A203" s="79"/>
      <c r="B203" s="79"/>
      <c r="C203" s="303"/>
      <c r="D203" s="574">
        <v>4120</v>
      </c>
      <c r="E203" s="249" t="s">
        <v>175</v>
      </c>
      <c r="F203" s="250">
        <v>146157</v>
      </c>
      <c r="G203" s="141">
        <v>100968.62</v>
      </c>
      <c r="H203" s="142">
        <f t="shared" si="63"/>
        <v>0.69082301908221977</v>
      </c>
      <c r="I203" s="143">
        <v>144557</v>
      </c>
      <c r="J203" s="144">
        <v>165185</v>
      </c>
      <c r="K203" s="611">
        <f t="shared" si="65"/>
        <v>1.1301887696107611</v>
      </c>
      <c r="L203" s="604"/>
      <c r="M203" s="505"/>
      <c r="N203" s="505"/>
      <c r="O203" s="506"/>
      <c r="P203" s="505"/>
      <c r="Q203" s="505"/>
      <c r="R203" s="506"/>
      <c r="S203" s="506"/>
      <c r="T203" s="506"/>
      <c r="U203" s="506"/>
      <c r="V203" s="141">
        <v>165185</v>
      </c>
      <c r="W203" s="506">
        <f t="shared" si="72"/>
        <v>165185</v>
      </c>
    </row>
    <row r="204" spans="1:23" x14ac:dyDescent="0.2">
      <c r="A204" s="79"/>
      <c r="B204" s="79"/>
      <c r="C204" s="107"/>
      <c r="D204" s="514">
        <v>4170</v>
      </c>
      <c r="E204" s="109" t="s">
        <v>184</v>
      </c>
      <c r="F204" s="110">
        <v>52028</v>
      </c>
      <c r="G204" s="83">
        <v>29144.68</v>
      </c>
      <c r="H204" s="142">
        <f t="shared" si="63"/>
        <v>0.56017298377796576</v>
      </c>
      <c r="I204" s="85">
        <v>50706</v>
      </c>
      <c r="J204" s="86">
        <v>46282</v>
      </c>
      <c r="K204" s="611">
        <f t="shared" si="65"/>
        <v>0.8895594679787806</v>
      </c>
      <c r="L204" s="513"/>
      <c r="M204" s="505"/>
      <c r="N204" s="505"/>
      <c r="O204" s="506"/>
      <c r="P204" s="505"/>
      <c r="Q204" s="505"/>
      <c r="R204" s="506"/>
      <c r="S204" s="506"/>
      <c r="T204" s="506"/>
      <c r="U204" s="506"/>
      <c r="V204" s="83">
        <v>46282</v>
      </c>
      <c r="W204" s="506">
        <f t="shared" si="72"/>
        <v>46282</v>
      </c>
    </row>
    <row r="205" spans="1:23" x14ac:dyDescent="0.2">
      <c r="A205" s="79"/>
      <c r="B205" s="79"/>
      <c r="C205" s="107"/>
      <c r="D205" s="514">
        <v>4210</v>
      </c>
      <c r="E205" s="109" t="s">
        <v>176</v>
      </c>
      <c r="F205" s="251">
        <v>330465.40000000002</v>
      </c>
      <c r="G205" s="83">
        <v>239210.72</v>
      </c>
      <c r="H205" s="142">
        <f t="shared" si="63"/>
        <v>0.72386010759371477</v>
      </c>
      <c r="I205" s="85">
        <v>330465</v>
      </c>
      <c r="J205" s="86">
        <v>282988</v>
      </c>
      <c r="K205" s="611">
        <f t="shared" si="65"/>
        <v>0.85633170673843606</v>
      </c>
      <c r="L205" s="513"/>
      <c r="M205" s="505"/>
      <c r="N205" s="505"/>
      <c r="O205" s="506"/>
      <c r="P205" s="505"/>
      <c r="Q205" s="505"/>
      <c r="R205" s="506"/>
      <c r="S205" s="506"/>
      <c r="T205" s="506"/>
      <c r="U205" s="506"/>
      <c r="V205" s="83">
        <v>282988</v>
      </c>
      <c r="W205" s="506">
        <f t="shared" si="72"/>
        <v>282988</v>
      </c>
    </row>
    <row r="206" spans="1:23" ht="22.5" x14ac:dyDescent="0.2">
      <c r="A206" s="79"/>
      <c r="B206" s="79"/>
      <c r="C206" s="253"/>
      <c r="D206" s="516">
        <v>4230</v>
      </c>
      <c r="E206" s="160" t="s">
        <v>231</v>
      </c>
      <c r="F206" s="704">
        <v>1300</v>
      </c>
      <c r="G206" s="83">
        <v>541.01</v>
      </c>
      <c r="H206" s="142">
        <f t="shared" si="63"/>
        <v>0.41616153846153847</v>
      </c>
      <c r="I206" s="85">
        <v>1296.77</v>
      </c>
      <c r="J206" s="86">
        <v>1400</v>
      </c>
      <c r="K206" s="611">
        <f t="shared" si="65"/>
        <v>1.0769230769230769</v>
      </c>
      <c r="L206" s="513"/>
      <c r="M206" s="505"/>
      <c r="N206" s="505"/>
      <c r="O206" s="506"/>
      <c r="P206" s="505"/>
      <c r="Q206" s="505"/>
      <c r="R206" s="506"/>
      <c r="S206" s="506"/>
      <c r="T206" s="506"/>
      <c r="U206" s="506"/>
      <c r="V206" s="83">
        <v>1400</v>
      </c>
      <c r="W206" s="506">
        <f t="shared" si="72"/>
        <v>1400</v>
      </c>
    </row>
    <row r="207" spans="1:23" ht="22.5" x14ac:dyDescent="0.2">
      <c r="A207" s="79"/>
      <c r="B207" s="79"/>
      <c r="C207" s="303"/>
      <c r="D207" s="574">
        <v>4240</v>
      </c>
      <c r="E207" s="249" t="s">
        <v>232</v>
      </c>
      <c r="F207" s="573">
        <v>48630.25</v>
      </c>
      <c r="G207" s="141">
        <v>17758.28</v>
      </c>
      <c r="H207" s="142">
        <f t="shared" si="63"/>
        <v>0.36516941615558213</v>
      </c>
      <c r="I207" s="143">
        <v>48630.25</v>
      </c>
      <c r="J207" s="144">
        <v>22990</v>
      </c>
      <c r="K207" s="611">
        <f t="shared" si="65"/>
        <v>0.47275101402933362</v>
      </c>
      <c r="L207" s="604"/>
      <c r="M207" s="505"/>
      <c r="N207" s="505"/>
      <c r="O207" s="506"/>
      <c r="P207" s="505"/>
      <c r="Q207" s="505"/>
      <c r="R207" s="506"/>
      <c r="S207" s="506"/>
      <c r="T207" s="506"/>
      <c r="U207" s="506"/>
      <c r="V207" s="141">
        <v>22990</v>
      </c>
      <c r="W207" s="506">
        <f t="shared" si="72"/>
        <v>22990</v>
      </c>
    </row>
    <row r="208" spans="1:23" x14ac:dyDescent="0.2">
      <c r="A208" s="79"/>
      <c r="B208" s="79"/>
      <c r="C208" s="107"/>
      <c r="D208" s="514">
        <v>4260</v>
      </c>
      <c r="E208" s="109" t="s">
        <v>185</v>
      </c>
      <c r="F208" s="251">
        <v>409290</v>
      </c>
      <c r="G208" s="83">
        <v>219987.01</v>
      </c>
      <c r="H208" s="142">
        <f t="shared" si="63"/>
        <v>0.53748444867942047</v>
      </c>
      <c r="I208" s="85">
        <v>357790</v>
      </c>
      <c r="J208" s="86">
        <v>409490</v>
      </c>
      <c r="K208" s="611">
        <f t="shared" si="65"/>
        <v>1.0004886510786972</v>
      </c>
      <c r="L208" s="513"/>
      <c r="M208" s="505"/>
      <c r="N208" s="505"/>
      <c r="O208" s="506"/>
      <c r="P208" s="505"/>
      <c r="Q208" s="505"/>
      <c r="R208" s="506"/>
      <c r="S208" s="506"/>
      <c r="T208" s="506"/>
      <c r="U208" s="506"/>
      <c r="V208" s="83">
        <v>409490</v>
      </c>
      <c r="W208" s="506">
        <f t="shared" si="72"/>
        <v>409490</v>
      </c>
    </row>
    <row r="209" spans="1:23" x14ac:dyDescent="0.2">
      <c r="A209" s="79"/>
      <c r="B209" s="79"/>
      <c r="C209" s="107"/>
      <c r="D209" s="514">
        <v>4270</v>
      </c>
      <c r="E209" s="109" t="s">
        <v>192</v>
      </c>
      <c r="F209" s="251">
        <v>114876</v>
      </c>
      <c r="G209" s="83">
        <v>8631.2000000000007</v>
      </c>
      <c r="H209" s="142">
        <f t="shared" si="63"/>
        <v>7.5134928096382197E-2</v>
      </c>
      <c r="I209" s="85">
        <v>114876</v>
      </c>
      <c r="J209" s="86">
        <v>20000</v>
      </c>
      <c r="K209" s="611">
        <f t="shared" si="65"/>
        <v>0.17410076952540129</v>
      </c>
      <c r="L209" s="513"/>
      <c r="M209" s="505"/>
      <c r="N209" s="505"/>
      <c r="O209" s="506"/>
      <c r="P209" s="505"/>
      <c r="Q209" s="505"/>
      <c r="R209" s="506"/>
      <c r="S209" s="506"/>
      <c r="T209" s="506"/>
      <c r="U209" s="506"/>
      <c r="V209" s="83">
        <v>20000</v>
      </c>
      <c r="W209" s="506">
        <f t="shared" si="72"/>
        <v>20000</v>
      </c>
    </row>
    <row r="210" spans="1:23" x14ac:dyDescent="0.2">
      <c r="A210" s="79"/>
      <c r="B210" s="79"/>
      <c r="C210" s="253"/>
      <c r="D210" s="516">
        <v>4280</v>
      </c>
      <c r="E210" s="160" t="s">
        <v>233</v>
      </c>
      <c r="F210" s="161">
        <v>17130</v>
      </c>
      <c r="G210" s="83">
        <v>11270.5</v>
      </c>
      <c r="H210" s="142">
        <f t="shared" si="63"/>
        <v>0.65793928779918276</v>
      </c>
      <c r="I210" s="85">
        <v>16830</v>
      </c>
      <c r="J210" s="86">
        <v>14640</v>
      </c>
      <c r="K210" s="611">
        <f t="shared" si="65"/>
        <v>0.85464098073555161</v>
      </c>
      <c r="L210" s="513"/>
      <c r="M210" s="505"/>
      <c r="N210" s="505"/>
      <c r="O210" s="506"/>
      <c r="P210" s="505"/>
      <c r="Q210" s="505"/>
      <c r="R210" s="506"/>
      <c r="S210" s="506"/>
      <c r="T210" s="506"/>
      <c r="U210" s="506"/>
      <c r="V210" s="83">
        <v>14640</v>
      </c>
      <c r="W210" s="506">
        <f t="shared" si="72"/>
        <v>14640</v>
      </c>
    </row>
    <row r="211" spans="1:23" x14ac:dyDescent="0.2">
      <c r="A211" s="79"/>
      <c r="B211" s="79"/>
      <c r="C211" s="303"/>
      <c r="D211" s="574">
        <v>4300</v>
      </c>
      <c r="E211" s="249" t="s">
        <v>177</v>
      </c>
      <c r="F211" s="250">
        <v>163618</v>
      </c>
      <c r="G211" s="141">
        <v>122243.8</v>
      </c>
      <c r="H211" s="142">
        <f t="shared" si="63"/>
        <v>0.74712928895353814</v>
      </c>
      <c r="I211" s="143">
        <v>163617.17000000001</v>
      </c>
      <c r="J211" s="144">
        <v>174798</v>
      </c>
      <c r="K211" s="611">
        <f t="shared" si="65"/>
        <v>1.0683298903543621</v>
      </c>
      <c r="L211" s="604"/>
      <c r="M211" s="505"/>
      <c r="N211" s="505"/>
      <c r="O211" s="506"/>
      <c r="P211" s="505"/>
      <c r="Q211" s="505"/>
      <c r="R211" s="506"/>
      <c r="S211" s="506"/>
      <c r="T211" s="506"/>
      <c r="U211" s="506"/>
      <c r="V211" s="141">
        <v>174798</v>
      </c>
      <c r="W211" s="506">
        <f t="shared" si="72"/>
        <v>174798</v>
      </c>
    </row>
    <row r="212" spans="1:23" x14ac:dyDescent="0.2">
      <c r="A212" s="79"/>
      <c r="B212" s="79"/>
      <c r="C212" s="253"/>
      <c r="D212" s="516">
        <v>4350</v>
      </c>
      <c r="E212" s="160" t="s">
        <v>235</v>
      </c>
      <c r="F212" s="634">
        <v>6010</v>
      </c>
      <c r="G212" s="83">
        <v>4485.2299999999996</v>
      </c>
      <c r="H212" s="142">
        <f t="shared" si="63"/>
        <v>0.74629450915141426</v>
      </c>
      <c r="I212" s="85">
        <v>5964.18</v>
      </c>
      <c r="J212" s="86">
        <v>7500</v>
      </c>
      <c r="K212" s="611">
        <f t="shared" si="65"/>
        <v>1.2479201331114809</v>
      </c>
      <c r="L212" s="513"/>
      <c r="M212" s="505"/>
      <c r="N212" s="505"/>
      <c r="O212" s="506"/>
      <c r="P212" s="505"/>
      <c r="Q212" s="505"/>
      <c r="R212" s="506"/>
      <c r="S212" s="506"/>
      <c r="T212" s="506"/>
      <c r="U212" s="506"/>
      <c r="V212" s="83">
        <v>7500</v>
      </c>
      <c r="W212" s="506">
        <f t="shared" si="72"/>
        <v>7500</v>
      </c>
    </row>
    <row r="213" spans="1:23" ht="33.75" x14ac:dyDescent="0.2">
      <c r="A213" s="79"/>
      <c r="B213" s="79"/>
      <c r="C213" s="206"/>
      <c r="D213" s="391">
        <v>4360</v>
      </c>
      <c r="E213" s="163" t="s">
        <v>236</v>
      </c>
      <c r="F213" s="208">
        <v>1700</v>
      </c>
      <c r="G213" s="141">
        <v>1305.53</v>
      </c>
      <c r="H213" s="142">
        <f t="shared" si="63"/>
        <v>0.76795882352941169</v>
      </c>
      <c r="I213" s="143">
        <v>1700</v>
      </c>
      <c r="J213" s="144">
        <v>2000</v>
      </c>
      <c r="K213" s="611">
        <f t="shared" si="65"/>
        <v>1.1764705882352942</v>
      </c>
      <c r="L213" s="604"/>
      <c r="M213" s="505"/>
      <c r="N213" s="505"/>
      <c r="O213" s="506"/>
      <c r="P213" s="505"/>
      <c r="Q213" s="505"/>
      <c r="R213" s="506"/>
      <c r="S213" s="506"/>
      <c r="T213" s="506"/>
      <c r="U213" s="506"/>
      <c r="V213" s="141">
        <v>2000</v>
      </c>
      <c r="W213" s="506">
        <f t="shared" si="72"/>
        <v>2000</v>
      </c>
    </row>
    <row r="214" spans="1:23" ht="33.75" x14ac:dyDescent="0.2">
      <c r="A214" s="79"/>
      <c r="B214" s="79"/>
      <c r="C214" s="79"/>
      <c r="D214" s="616">
        <v>4370</v>
      </c>
      <c r="E214" s="169" t="s">
        <v>271</v>
      </c>
      <c r="F214" s="326">
        <v>13150</v>
      </c>
      <c r="G214" s="141">
        <v>9166.7199999999993</v>
      </c>
      <c r="H214" s="142">
        <f t="shared" si="63"/>
        <v>0.69708897338403042</v>
      </c>
      <c r="I214" s="143">
        <v>13149.42</v>
      </c>
      <c r="J214" s="144">
        <v>14500</v>
      </c>
      <c r="K214" s="611">
        <f t="shared" si="65"/>
        <v>1.102661596958175</v>
      </c>
      <c r="L214" s="604"/>
      <c r="M214" s="505"/>
      <c r="N214" s="505"/>
      <c r="O214" s="506"/>
      <c r="P214" s="505"/>
      <c r="Q214" s="505"/>
      <c r="R214" s="506"/>
      <c r="S214" s="506"/>
      <c r="T214" s="506"/>
      <c r="U214" s="506"/>
      <c r="V214" s="141">
        <v>14500</v>
      </c>
      <c r="W214" s="506">
        <f t="shared" si="72"/>
        <v>14500</v>
      </c>
    </row>
    <row r="215" spans="1:23" x14ac:dyDescent="0.2">
      <c r="A215" s="79"/>
      <c r="B215" s="79"/>
      <c r="C215" s="107"/>
      <c r="D215" s="514">
        <v>4410</v>
      </c>
      <c r="E215" s="109" t="s">
        <v>179</v>
      </c>
      <c r="F215" s="110">
        <v>8800</v>
      </c>
      <c r="G215" s="83">
        <v>4452.55</v>
      </c>
      <c r="H215" s="142">
        <f t="shared" si="63"/>
        <v>0.50597159090909094</v>
      </c>
      <c r="I215" s="85">
        <v>8712.85</v>
      </c>
      <c r="J215" s="86">
        <v>9400</v>
      </c>
      <c r="K215" s="611">
        <f t="shared" si="65"/>
        <v>1.0681818181818181</v>
      </c>
      <c r="L215" s="513"/>
      <c r="M215" s="505"/>
      <c r="N215" s="505"/>
      <c r="O215" s="506"/>
      <c r="P215" s="505"/>
      <c r="Q215" s="505"/>
      <c r="R215" s="506"/>
      <c r="S215" s="506"/>
      <c r="T215" s="506"/>
      <c r="U215" s="506"/>
      <c r="V215" s="83">
        <v>9400</v>
      </c>
      <c r="W215" s="506">
        <f t="shared" si="72"/>
        <v>9400</v>
      </c>
    </row>
    <row r="216" spans="1:23" x14ac:dyDescent="0.2">
      <c r="A216" s="79"/>
      <c r="B216" s="79"/>
      <c r="C216" s="107"/>
      <c r="D216" s="514">
        <v>4430</v>
      </c>
      <c r="E216" s="109" t="s">
        <v>180</v>
      </c>
      <c r="F216" s="179">
        <v>4840</v>
      </c>
      <c r="G216" s="83">
        <v>4787.47</v>
      </c>
      <c r="H216" s="142">
        <f t="shared" si="63"/>
        <v>0.98914669421487611</v>
      </c>
      <c r="I216" s="85">
        <v>4787.47</v>
      </c>
      <c r="J216" s="86">
        <v>5110</v>
      </c>
      <c r="K216" s="611">
        <f t="shared" si="65"/>
        <v>1.0557851239669422</v>
      </c>
      <c r="L216" s="513"/>
      <c r="M216" s="505"/>
      <c r="N216" s="505"/>
      <c r="O216" s="506"/>
      <c r="P216" s="505"/>
      <c r="Q216" s="505"/>
      <c r="R216" s="506"/>
      <c r="S216" s="506"/>
      <c r="T216" s="506"/>
      <c r="U216" s="506"/>
      <c r="V216" s="83">
        <v>5110</v>
      </c>
      <c r="W216" s="506">
        <f t="shared" si="72"/>
        <v>5110</v>
      </c>
    </row>
    <row r="217" spans="1:23" ht="22.5" x14ac:dyDescent="0.2">
      <c r="A217" s="79"/>
      <c r="B217" s="79"/>
      <c r="C217" s="107"/>
      <c r="D217" s="514">
        <v>4440</v>
      </c>
      <c r="E217" s="109" t="s">
        <v>242</v>
      </c>
      <c r="F217" s="251">
        <v>341127</v>
      </c>
      <c r="G217" s="83">
        <v>341127</v>
      </c>
      <c r="H217" s="142">
        <f t="shared" si="63"/>
        <v>1</v>
      </c>
      <c r="I217" s="85">
        <v>341127</v>
      </c>
      <c r="J217" s="86">
        <v>360297</v>
      </c>
      <c r="K217" s="611">
        <f t="shared" si="65"/>
        <v>1.0561960794660052</v>
      </c>
      <c r="L217" s="513"/>
      <c r="M217" s="505"/>
      <c r="N217" s="505"/>
      <c r="O217" s="506"/>
      <c r="P217" s="505"/>
      <c r="Q217" s="505"/>
      <c r="R217" s="506"/>
      <c r="S217" s="506"/>
      <c r="T217" s="506"/>
      <c r="U217" s="506"/>
      <c r="V217" s="83">
        <v>360297</v>
      </c>
      <c r="W217" s="506">
        <f t="shared" si="72"/>
        <v>360297</v>
      </c>
    </row>
    <row r="218" spans="1:23" x14ac:dyDescent="0.2">
      <c r="A218" s="79"/>
      <c r="B218" s="79"/>
      <c r="C218" s="107"/>
      <c r="D218" s="514">
        <v>4480</v>
      </c>
      <c r="E218" s="109" t="s">
        <v>65</v>
      </c>
      <c r="F218" s="191">
        <v>925</v>
      </c>
      <c r="G218" s="83">
        <v>897</v>
      </c>
      <c r="H218" s="142">
        <f t="shared" si="63"/>
        <v>0.96972972972972971</v>
      </c>
      <c r="I218" s="85">
        <v>897</v>
      </c>
      <c r="J218" s="86">
        <v>925</v>
      </c>
      <c r="K218" s="611">
        <f t="shared" si="65"/>
        <v>1</v>
      </c>
      <c r="L218" s="513"/>
      <c r="M218" s="505"/>
      <c r="N218" s="505"/>
      <c r="O218" s="506"/>
      <c r="P218" s="505"/>
      <c r="Q218" s="505"/>
      <c r="R218" s="506"/>
      <c r="S218" s="506"/>
      <c r="T218" s="506"/>
      <c r="U218" s="506"/>
      <c r="V218" s="83">
        <v>925</v>
      </c>
      <c r="W218" s="506">
        <f t="shared" si="72"/>
        <v>925</v>
      </c>
    </row>
    <row r="219" spans="1:23" ht="22.5" x14ac:dyDescent="0.2">
      <c r="A219" s="79"/>
      <c r="B219" s="290">
        <v>80103</v>
      </c>
      <c r="C219" s="295"/>
      <c r="D219" s="296"/>
      <c r="E219" s="297" t="s">
        <v>94</v>
      </c>
      <c r="F219" s="347">
        <f>SUM(F220:F234)</f>
        <v>1069913</v>
      </c>
      <c r="G219" s="300">
        <f>SUM(G220:G234)</f>
        <v>754577.34</v>
      </c>
      <c r="H219" s="223">
        <f t="shared" si="63"/>
        <v>0.70526981165758329</v>
      </c>
      <c r="I219" s="300">
        <f>SUM(I220:I234)</f>
        <v>1060529.5</v>
      </c>
      <c r="J219" s="301">
        <f>SUM(J220:J234)</f>
        <v>888829</v>
      </c>
      <c r="K219" s="1098">
        <f>J219/F219</f>
        <v>0.83074885528075648</v>
      </c>
      <c r="L219" s="1088"/>
      <c r="M219" s="570">
        <f t="shared" ref="M219:V219" si="73">SUM(M220:M234)</f>
        <v>0</v>
      </c>
      <c r="N219" s="570">
        <f t="shared" si="73"/>
        <v>0</v>
      </c>
      <c r="O219" s="570">
        <f t="shared" si="73"/>
        <v>0</v>
      </c>
      <c r="P219" s="570">
        <f t="shared" si="73"/>
        <v>0</v>
      </c>
      <c r="Q219" s="570">
        <f t="shared" si="73"/>
        <v>0</v>
      </c>
      <c r="R219" s="570">
        <f t="shared" si="73"/>
        <v>3600</v>
      </c>
      <c r="S219" s="570">
        <f t="shared" si="73"/>
        <v>0</v>
      </c>
      <c r="T219" s="570">
        <f t="shared" si="73"/>
        <v>0</v>
      </c>
      <c r="U219" s="570">
        <f t="shared" si="73"/>
        <v>0</v>
      </c>
      <c r="V219" s="570">
        <f t="shared" si="73"/>
        <v>885229</v>
      </c>
      <c r="W219" s="570">
        <f>SUM(M219:V219)</f>
        <v>888829</v>
      </c>
    </row>
    <row r="220" spans="1:23" ht="33.75" x14ac:dyDescent="0.2">
      <c r="A220" s="79"/>
      <c r="B220" s="705"/>
      <c r="C220" s="394"/>
      <c r="D220" s="700">
        <v>2310</v>
      </c>
      <c r="E220" s="1148" t="s">
        <v>187</v>
      </c>
      <c r="F220" s="454">
        <v>3600</v>
      </c>
      <c r="G220" s="323">
        <v>1174.1400000000001</v>
      </c>
      <c r="H220" s="470">
        <f>G220/F220</f>
        <v>0.32615000000000005</v>
      </c>
      <c r="I220" s="323">
        <v>3522.42</v>
      </c>
      <c r="J220" s="324">
        <v>3600</v>
      </c>
      <c r="K220" s="43">
        <f>J220/F220</f>
        <v>1</v>
      </c>
      <c r="L220" s="679"/>
      <c r="M220" s="505"/>
      <c r="N220" s="505"/>
      <c r="O220" s="506"/>
      <c r="P220" s="505"/>
      <c r="Q220" s="505"/>
      <c r="R220" s="506">
        <v>3600</v>
      </c>
      <c r="S220" s="506"/>
      <c r="T220" s="506"/>
      <c r="U220" s="506"/>
      <c r="V220" s="506"/>
      <c r="W220" s="506">
        <f>SUM(M220:V220)</f>
        <v>3600</v>
      </c>
    </row>
    <row r="221" spans="1:23" ht="22.5" x14ac:dyDescent="0.2">
      <c r="A221" s="79"/>
      <c r="B221" s="35"/>
      <c r="C221" s="706"/>
      <c r="D221" s="707">
        <v>3020</v>
      </c>
      <c r="E221" s="708" t="s">
        <v>219</v>
      </c>
      <c r="F221" s="709">
        <v>30576</v>
      </c>
      <c r="G221" s="710">
        <v>15737.28</v>
      </c>
      <c r="H221" s="470">
        <f t="shared" ref="H221:H234" si="74">G221/F221</f>
        <v>0.51469387755102047</v>
      </c>
      <c r="I221" s="712">
        <v>29921.61</v>
      </c>
      <c r="J221" s="713">
        <v>22164</v>
      </c>
      <c r="K221" s="43">
        <f t="shared" ref="K221:K234" si="75">J221/F221</f>
        <v>0.72488226059654626</v>
      </c>
      <c r="L221" s="604"/>
      <c r="M221" s="505"/>
      <c r="N221" s="505"/>
      <c r="O221" s="506"/>
      <c r="P221" s="505"/>
      <c r="Q221" s="505"/>
      <c r="R221" s="506"/>
      <c r="S221" s="506"/>
      <c r="T221" s="506"/>
      <c r="U221" s="506"/>
      <c r="V221" s="710">
        <v>22164</v>
      </c>
      <c r="W221" s="506">
        <f>SUM(M221:V221)</f>
        <v>22164</v>
      </c>
    </row>
    <row r="222" spans="1:23" x14ac:dyDescent="0.2">
      <c r="A222" s="79"/>
      <c r="B222" s="79"/>
      <c r="C222" s="253"/>
      <c r="D222" s="516">
        <v>4010</v>
      </c>
      <c r="E222" s="160" t="s">
        <v>173</v>
      </c>
      <c r="F222" s="185">
        <v>694880</v>
      </c>
      <c r="G222" s="83">
        <v>496061.48</v>
      </c>
      <c r="H222" s="470">
        <f t="shared" si="74"/>
        <v>0.71388078517154041</v>
      </c>
      <c r="I222" s="85">
        <v>694880</v>
      </c>
      <c r="J222" s="86">
        <v>574334</v>
      </c>
      <c r="K222" s="43">
        <f t="shared" si="75"/>
        <v>0.82652256504720234</v>
      </c>
      <c r="L222" s="513"/>
      <c r="M222" s="505"/>
      <c r="N222" s="505"/>
      <c r="O222" s="506"/>
      <c r="P222" s="505"/>
      <c r="Q222" s="505"/>
      <c r="R222" s="506"/>
      <c r="S222" s="506"/>
      <c r="T222" s="506"/>
      <c r="U222" s="506"/>
      <c r="V222" s="83">
        <v>574334</v>
      </c>
      <c r="W222" s="506">
        <f t="shared" ref="W222:W234" si="76">SUM(M222:V222)</f>
        <v>574334</v>
      </c>
    </row>
    <row r="223" spans="1:23" x14ac:dyDescent="0.2">
      <c r="A223" s="79"/>
      <c r="B223" s="79"/>
      <c r="C223" s="303"/>
      <c r="D223" s="574">
        <v>4040</v>
      </c>
      <c r="E223" s="249" t="s">
        <v>213</v>
      </c>
      <c r="F223" s="573">
        <v>55042</v>
      </c>
      <c r="G223" s="141">
        <v>55039.99</v>
      </c>
      <c r="H223" s="470">
        <f t="shared" si="74"/>
        <v>0.99996348243159761</v>
      </c>
      <c r="I223" s="143">
        <v>55039.99</v>
      </c>
      <c r="J223" s="144">
        <v>49900</v>
      </c>
      <c r="K223" s="43">
        <f t="shared" si="75"/>
        <v>0.90658042949020745</v>
      </c>
      <c r="L223" s="513"/>
      <c r="M223" s="505"/>
      <c r="N223" s="505"/>
      <c r="O223" s="506"/>
      <c r="P223" s="505"/>
      <c r="Q223" s="505"/>
      <c r="R223" s="506"/>
      <c r="S223" s="506"/>
      <c r="T223" s="506"/>
      <c r="U223" s="506"/>
      <c r="V223" s="141">
        <v>49900</v>
      </c>
      <c r="W223" s="506">
        <f t="shared" si="76"/>
        <v>49900</v>
      </c>
    </row>
    <row r="224" spans="1:23" x14ac:dyDescent="0.2">
      <c r="A224" s="79"/>
      <c r="B224" s="79"/>
      <c r="C224" s="107"/>
      <c r="D224" s="514">
        <v>4110</v>
      </c>
      <c r="E224" s="109" t="s">
        <v>174</v>
      </c>
      <c r="F224" s="251">
        <v>134674</v>
      </c>
      <c r="G224" s="83">
        <v>96778.86</v>
      </c>
      <c r="H224" s="470">
        <f t="shared" si="74"/>
        <v>0.71861576844825281</v>
      </c>
      <c r="I224" s="85">
        <v>128455</v>
      </c>
      <c r="J224" s="86">
        <v>111083</v>
      </c>
      <c r="K224" s="43">
        <f t="shared" si="75"/>
        <v>0.82482884595393324</v>
      </c>
      <c r="L224" s="513"/>
      <c r="M224" s="505"/>
      <c r="N224" s="505"/>
      <c r="O224" s="506"/>
      <c r="P224" s="505"/>
      <c r="Q224" s="505"/>
      <c r="R224" s="506"/>
      <c r="S224" s="506"/>
      <c r="T224" s="506"/>
      <c r="U224" s="506"/>
      <c r="V224" s="83">
        <v>111083</v>
      </c>
      <c r="W224" s="506">
        <f t="shared" si="76"/>
        <v>111083</v>
      </c>
    </row>
    <row r="225" spans="1:23" x14ac:dyDescent="0.2">
      <c r="A225" s="79"/>
      <c r="B225" s="79"/>
      <c r="C225" s="253"/>
      <c r="D225" s="516">
        <v>4120</v>
      </c>
      <c r="E225" s="160" t="s">
        <v>175</v>
      </c>
      <c r="F225" s="161">
        <v>19384</v>
      </c>
      <c r="G225" s="83">
        <v>13622.25</v>
      </c>
      <c r="H225" s="470">
        <f t="shared" si="74"/>
        <v>0.70275742880726377</v>
      </c>
      <c r="I225" s="85">
        <v>18370</v>
      </c>
      <c r="J225" s="86">
        <v>15436</v>
      </c>
      <c r="K225" s="43">
        <f t="shared" si="75"/>
        <v>0.7963268675196038</v>
      </c>
      <c r="L225" s="513"/>
      <c r="M225" s="505"/>
      <c r="N225" s="505"/>
      <c r="O225" s="506"/>
      <c r="P225" s="505"/>
      <c r="Q225" s="505"/>
      <c r="R225" s="506"/>
      <c r="S225" s="506"/>
      <c r="T225" s="506"/>
      <c r="U225" s="506"/>
      <c r="V225" s="83">
        <v>15436</v>
      </c>
      <c r="W225" s="506">
        <f t="shared" si="76"/>
        <v>15436</v>
      </c>
    </row>
    <row r="226" spans="1:23" x14ac:dyDescent="0.2">
      <c r="A226" s="79"/>
      <c r="B226" s="79"/>
      <c r="C226" s="303"/>
      <c r="D226" s="574">
        <v>4210</v>
      </c>
      <c r="E226" s="249" t="s">
        <v>176</v>
      </c>
      <c r="F226" s="573">
        <v>28500</v>
      </c>
      <c r="G226" s="141">
        <v>15718.69</v>
      </c>
      <c r="H226" s="470">
        <f t="shared" si="74"/>
        <v>0.55153298245614035</v>
      </c>
      <c r="I226" s="143">
        <v>28332.92</v>
      </c>
      <c r="J226" s="144">
        <v>31200</v>
      </c>
      <c r="K226" s="43">
        <f t="shared" si="75"/>
        <v>1.0947368421052632</v>
      </c>
      <c r="L226" s="513"/>
      <c r="M226" s="505"/>
      <c r="N226" s="505"/>
      <c r="O226" s="506"/>
      <c r="P226" s="505"/>
      <c r="Q226" s="505"/>
      <c r="R226" s="506"/>
      <c r="S226" s="506"/>
      <c r="T226" s="506"/>
      <c r="U226" s="506"/>
      <c r="V226" s="141">
        <v>31200</v>
      </c>
      <c r="W226" s="506">
        <f t="shared" si="76"/>
        <v>31200</v>
      </c>
    </row>
    <row r="227" spans="1:23" ht="22.5" x14ac:dyDescent="0.2">
      <c r="A227" s="79"/>
      <c r="B227" s="79"/>
      <c r="C227" s="253"/>
      <c r="D227" s="516">
        <v>4240</v>
      </c>
      <c r="E227" s="160" t="s">
        <v>232</v>
      </c>
      <c r="F227" s="634">
        <v>6860</v>
      </c>
      <c r="G227" s="83">
        <v>5391.26</v>
      </c>
      <c r="H227" s="470">
        <f t="shared" si="74"/>
        <v>0.78589795918367356</v>
      </c>
      <c r="I227" s="85">
        <v>6812.98</v>
      </c>
      <c r="J227" s="86">
        <v>6610</v>
      </c>
      <c r="K227" s="43">
        <f t="shared" si="75"/>
        <v>0.96355685131195334</v>
      </c>
      <c r="L227" s="513"/>
      <c r="M227" s="505"/>
      <c r="N227" s="505"/>
      <c r="O227" s="506"/>
      <c r="P227" s="505"/>
      <c r="Q227" s="505"/>
      <c r="R227" s="506"/>
      <c r="S227" s="506"/>
      <c r="T227" s="506"/>
      <c r="U227" s="506"/>
      <c r="V227" s="83">
        <v>6610</v>
      </c>
      <c r="W227" s="506">
        <f t="shared" si="76"/>
        <v>6610</v>
      </c>
    </row>
    <row r="228" spans="1:23" x14ac:dyDescent="0.2">
      <c r="A228" s="79"/>
      <c r="B228" s="79"/>
      <c r="C228" s="303"/>
      <c r="D228" s="574">
        <v>4260</v>
      </c>
      <c r="E228" s="249" t="s">
        <v>185</v>
      </c>
      <c r="F228" s="573">
        <v>20530</v>
      </c>
      <c r="G228" s="141">
        <v>11766.81</v>
      </c>
      <c r="H228" s="470">
        <f t="shared" si="74"/>
        <v>0.57315197272284457</v>
      </c>
      <c r="I228" s="143">
        <v>19545.900000000001</v>
      </c>
      <c r="J228" s="144">
        <v>20530</v>
      </c>
      <c r="K228" s="43">
        <f t="shared" si="75"/>
        <v>1</v>
      </c>
      <c r="L228" s="604"/>
      <c r="M228" s="505"/>
      <c r="N228" s="505"/>
      <c r="O228" s="506"/>
      <c r="P228" s="505"/>
      <c r="Q228" s="505"/>
      <c r="R228" s="506"/>
      <c r="S228" s="506"/>
      <c r="T228" s="506"/>
      <c r="U228" s="506"/>
      <c r="V228" s="141">
        <v>20530</v>
      </c>
      <c r="W228" s="506">
        <f t="shared" si="76"/>
        <v>20530</v>
      </c>
    </row>
    <row r="229" spans="1:23" x14ac:dyDescent="0.2">
      <c r="A229" s="79"/>
      <c r="B229" s="79"/>
      <c r="C229" s="107"/>
      <c r="D229" s="514">
        <v>4270</v>
      </c>
      <c r="E229" s="109" t="s">
        <v>192</v>
      </c>
      <c r="F229" s="191">
        <v>900</v>
      </c>
      <c r="G229" s="83">
        <v>880</v>
      </c>
      <c r="H229" s="470">
        <f t="shared" si="74"/>
        <v>0.97777777777777775</v>
      </c>
      <c r="I229" s="85">
        <v>900</v>
      </c>
      <c r="J229" s="86">
        <v>900</v>
      </c>
      <c r="K229" s="43">
        <f t="shared" si="75"/>
        <v>1</v>
      </c>
      <c r="L229" s="513"/>
      <c r="M229" s="505"/>
      <c r="N229" s="505"/>
      <c r="O229" s="506"/>
      <c r="P229" s="505"/>
      <c r="Q229" s="505"/>
      <c r="R229" s="506"/>
      <c r="S229" s="506"/>
      <c r="T229" s="506"/>
      <c r="U229" s="506"/>
      <c r="V229" s="83">
        <v>900</v>
      </c>
      <c r="W229" s="506">
        <f t="shared" si="76"/>
        <v>900</v>
      </c>
    </row>
    <row r="230" spans="1:23" x14ac:dyDescent="0.2">
      <c r="A230" s="79"/>
      <c r="B230" s="79"/>
      <c r="C230" s="107"/>
      <c r="D230" s="514">
        <v>4280</v>
      </c>
      <c r="E230" s="109" t="s">
        <v>233</v>
      </c>
      <c r="F230" s="715">
        <v>550</v>
      </c>
      <c r="G230" s="83">
        <v>25</v>
      </c>
      <c r="H230" s="470">
        <f t="shared" si="74"/>
        <v>4.5454545454545456E-2</v>
      </c>
      <c r="I230" s="85">
        <v>550</v>
      </c>
      <c r="J230" s="86">
        <v>650</v>
      </c>
      <c r="K230" s="43">
        <f t="shared" si="75"/>
        <v>1.1818181818181819</v>
      </c>
      <c r="L230" s="513"/>
      <c r="M230" s="505"/>
      <c r="N230" s="505"/>
      <c r="O230" s="506"/>
      <c r="P230" s="505"/>
      <c r="Q230" s="505"/>
      <c r="R230" s="506"/>
      <c r="S230" s="506"/>
      <c r="T230" s="506"/>
      <c r="U230" s="506"/>
      <c r="V230" s="83">
        <v>650</v>
      </c>
      <c r="W230" s="506">
        <f t="shared" si="76"/>
        <v>650</v>
      </c>
    </row>
    <row r="231" spans="1:23" x14ac:dyDescent="0.2">
      <c r="A231" s="79"/>
      <c r="B231" s="79"/>
      <c r="C231" s="253"/>
      <c r="D231" s="516">
        <v>4300</v>
      </c>
      <c r="E231" s="160" t="s">
        <v>177</v>
      </c>
      <c r="F231" s="634">
        <v>10312</v>
      </c>
      <c r="G231" s="83">
        <v>1929.61</v>
      </c>
      <c r="H231" s="470">
        <f t="shared" si="74"/>
        <v>0.18712276958882854</v>
      </c>
      <c r="I231" s="85">
        <v>10246.709999999999</v>
      </c>
      <c r="J231" s="86">
        <v>10550</v>
      </c>
      <c r="K231" s="43">
        <f t="shared" si="75"/>
        <v>1.0230799069045773</v>
      </c>
      <c r="L231" s="513"/>
      <c r="M231" s="505"/>
      <c r="N231" s="505"/>
      <c r="O231" s="506"/>
      <c r="P231" s="505"/>
      <c r="Q231" s="505"/>
      <c r="R231" s="506"/>
      <c r="S231" s="506"/>
      <c r="T231" s="506"/>
      <c r="U231" s="506"/>
      <c r="V231" s="83">
        <v>10550</v>
      </c>
      <c r="W231" s="506">
        <f t="shared" si="76"/>
        <v>10550</v>
      </c>
    </row>
    <row r="232" spans="1:23" ht="33.75" x14ac:dyDescent="0.2">
      <c r="A232" s="79"/>
      <c r="B232" s="79"/>
      <c r="C232" s="79"/>
      <c r="D232" s="616">
        <v>4370</v>
      </c>
      <c r="E232" s="169" t="s">
        <v>271</v>
      </c>
      <c r="F232" s="716">
        <v>700</v>
      </c>
      <c r="G232" s="141">
        <v>46.97</v>
      </c>
      <c r="H232" s="470">
        <f t="shared" si="74"/>
        <v>6.7099999999999993E-2</v>
      </c>
      <c r="I232" s="143">
        <v>546.97</v>
      </c>
      <c r="J232" s="144">
        <v>700</v>
      </c>
      <c r="K232" s="43">
        <f t="shared" si="75"/>
        <v>1</v>
      </c>
      <c r="L232" s="604"/>
      <c r="M232" s="505"/>
      <c r="N232" s="505"/>
      <c r="O232" s="506"/>
      <c r="P232" s="505"/>
      <c r="Q232" s="505"/>
      <c r="R232" s="506"/>
      <c r="S232" s="506"/>
      <c r="T232" s="506"/>
      <c r="U232" s="506"/>
      <c r="V232" s="141">
        <v>700</v>
      </c>
      <c r="W232" s="506">
        <f t="shared" si="76"/>
        <v>700</v>
      </c>
    </row>
    <row r="233" spans="1:23" ht="22.5" x14ac:dyDescent="0.2">
      <c r="A233" s="79"/>
      <c r="B233" s="79"/>
      <c r="C233" s="253"/>
      <c r="D233" s="516">
        <v>4440</v>
      </c>
      <c r="E233" s="160" t="s">
        <v>242</v>
      </c>
      <c r="F233" s="161">
        <v>40405</v>
      </c>
      <c r="G233" s="83">
        <v>40405</v>
      </c>
      <c r="H233" s="470">
        <f t="shared" si="74"/>
        <v>1</v>
      </c>
      <c r="I233" s="85">
        <v>40405</v>
      </c>
      <c r="J233" s="86">
        <v>41172</v>
      </c>
      <c r="K233" s="43">
        <f t="shared" si="75"/>
        <v>1.0189827991585201</v>
      </c>
      <c r="L233" s="513"/>
      <c r="M233" s="505"/>
      <c r="N233" s="505"/>
      <c r="O233" s="506"/>
      <c r="P233" s="505"/>
      <c r="Q233" s="505"/>
      <c r="R233" s="506"/>
      <c r="S233" s="506"/>
      <c r="T233" s="506"/>
      <c r="U233" s="506"/>
      <c r="V233" s="83">
        <v>41172</v>
      </c>
      <c r="W233" s="506">
        <f t="shared" si="76"/>
        <v>41172</v>
      </c>
    </row>
    <row r="234" spans="1:23" ht="22.5" x14ac:dyDescent="0.2">
      <c r="A234" s="79"/>
      <c r="B234" s="79"/>
      <c r="C234" s="79"/>
      <c r="D234" s="616">
        <v>6060</v>
      </c>
      <c r="E234" s="163" t="s">
        <v>272</v>
      </c>
      <c r="F234" s="386">
        <v>23000</v>
      </c>
      <c r="G234" s="141">
        <v>0</v>
      </c>
      <c r="H234" s="470">
        <f t="shared" si="74"/>
        <v>0</v>
      </c>
      <c r="I234" s="209">
        <v>23000</v>
      </c>
      <c r="J234" s="144">
        <v>0</v>
      </c>
      <c r="K234" s="43">
        <f t="shared" si="75"/>
        <v>0</v>
      </c>
      <c r="L234" s="604"/>
      <c r="M234" s="505"/>
      <c r="N234" s="505"/>
      <c r="O234" s="506"/>
      <c r="P234" s="505"/>
      <c r="Q234" s="505"/>
      <c r="R234" s="506"/>
      <c r="S234" s="506"/>
      <c r="T234" s="506"/>
      <c r="U234" s="506"/>
      <c r="V234" s="141">
        <v>0</v>
      </c>
      <c r="W234" s="506">
        <f t="shared" si="76"/>
        <v>0</v>
      </c>
    </row>
    <row r="235" spans="1:23" x14ac:dyDescent="0.2">
      <c r="A235" s="79"/>
      <c r="B235" s="310">
        <v>80104</v>
      </c>
      <c r="C235" s="311"/>
      <c r="D235" s="312"/>
      <c r="E235" s="313" t="s">
        <v>95</v>
      </c>
      <c r="F235" s="717">
        <f>F236+F243+F248+F249+F250+F251+F252+F253+F254+F255+F256+F257+F258+F259+F260+F261+F262+F263+F264+F265+F266+F267+F268</f>
        <v>4478222.62</v>
      </c>
      <c r="G235" s="717">
        <f>G236+G243+G248+G249+G250+G251+G252+G253+G254+G255+G256+G257+G258+G259+G260+G261+G262+G263+G264+G265+G266+G267+G268</f>
        <v>3136354.1300000008</v>
      </c>
      <c r="H235" s="204">
        <f>G235/F235</f>
        <v>0.70035690409692064</v>
      </c>
      <c r="I235" s="388">
        <f>I236+I243+I248+I249+I250+I251+I252+I253+I254+I255+I256+I257+I258+I259+I260+I262+I261+I263+I264+I265+I266+I267+I268</f>
        <v>4258111.97</v>
      </c>
      <c r="J235" s="301">
        <f>J236+J243+J248+J249+J250+J251+J252+J253+J254+J255+J256+J257+J258+J259+J260+J262+J261+J263+J264+J265+J266+J267+J268</f>
        <v>4767428</v>
      </c>
      <c r="K235" s="1098">
        <f>J235/F235</f>
        <v>1.0645803937277241</v>
      </c>
      <c r="L235" s="1088"/>
      <c r="M235" s="570">
        <f t="shared" ref="M235:V235" si="77">M236+M243+M248+M249+M250+M251+M252+M253+M254+M255+M256+M257+M258+M259+M260+M262+M261+M263+M264+M265+M266+M267+M268</f>
        <v>0</v>
      </c>
      <c r="N235" s="570">
        <f t="shared" si="77"/>
        <v>0</v>
      </c>
      <c r="O235" s="570">
        <f t="shared" si="77"/>
        <v>0</v>
      </c>
      <c r="P235" s="570">
        <f t="shared" si="77"/>
        <v>0</v>
      </c>
      <c r="Q235" s="570">
        <f t="shared" si="77"/>
        <v>0</v>
      </c>
      <c r="R235" s="570">
        <f t="shared" si="77"/>
        <v>1437096</v>
      </c>
      <c r="S235" s="570">
        <f t="shared" si="77"/>
        <v>0</v>
      </c>
      <c r="T235" s="570">
        <f t="shared" si="77"/>
        <v>0</v>
      </c>
      <c r="U235" s="570">
        <f t="shared" si="77"/>
        <v>0</v>
      </c>
      <c r="V235" s="570">
        <f t="shared" si="77"/>
        <v>3330332</v>
      </c>
      <c r="W235" s="570">
        <f>SUM(M235:V235)</f>
        <v>4767428</v>
      </c>
    </row>
    <row r="236" spans="1:23" ht="33.75" x14ac:dyDescent="0.2">
      <c r="A236" s="79"/>
      <c r="B236" s="352"/>
      <c r="C236" s="35"/>
      <c r="D236" s="375">
        <v>2310</v>
      </c>
      <c r="E236" s="718" t="s">
        <v>187</v>
      </c>
      <c r="F236" s="719">
        <f>F238+F239+F240+F241+F242</f>
        <v>74800</v>
      </c>
      <c r="G236" s="719">
        <v>37825.74</v>
      </c>
      <c r="H236" s="720">
        <f>G236/F236</f>
        <v>0.50569171122994649</v>
      </c>
      <c r="I236" s="524">
        <v>68565.33</v>
      </c>
      <c r="J236" s="525">
        <f>J238+J239+J240+J241+J242</f>
        <v>82000</v>
      </c>
      <c r="K236" s="721">
        <f>J236/F236</f>
        <v>1.0962566844919786</v>
      </c>
      <c r="L236" s="722"/>
      <c r="M236" s="505"/>
      <c r="N236" s="505"/>
      <c r="O236" s="506"/>
      <c r="P236" s="505"/>
      <c r="Q236" s="505"/>
      <c r="R236" s="506">
        <v>82000</v>
      </c>
      <c r="S236" s="506"/>
      <c r="T236" s="506"/>
      <c r="U236" s="506"/>
      <c r="V236" s="506"/>
      <c r="W236" s="506">
        <f>SUM(M236:V236)</f>
        <v>82000</v>
      </c>
    </row>
    <row r="237" spans="1:23" x14ac:dyDescent="0.2">
      <c r="A237" s="79"/>
      <c r="B237" s="352"/>
      <c r="C237" s="35"/>
      <c r="D237" s="723"/>
      <c r="E237" s="724" t="s">
        <v>151</v>
      </c>
      <c r="F237" s="725"/>
      <c r="G237" s="524"/>
      <c r="H237" s="726"/>
      <c r="I237" s="524"/>
      <c r="J237" s="525"/>
      <c r="K237" s="721"/>
      <c r="L237" s="722"/>
      <c r="M237" s="505"/>
      <c r="N237" s="505"/>
      <c r="O237" s="506"/>
      <c r="P237" s="505"/>
      <c r="Q237" s="505"/>
      <c r="R237" s="506"/>
      <c r="S237" s="506"/>
      <c r="T237" s="506"/>
      <c r="U237" s="506"/>
      <c r="V237" s="506"/>
      <c r="W237" s="506">
        <f t="shared" ref="W237:W268" si="78">SUM(M237:V237)</f>
        <v>0</v>
      </c>
    </row>
    <row r="238" spans="1:23" x14ac:dyDescent="0.2">
      <c r="A238" s="79"/>
      <c r="B238" s="352"/>
      <c r="C238" s="35"/>
      <c r="D238" s="723"/>
      <c r="E238" s="727" t="s">
        <v>273</v>
      </c>
      <c r="F238" s="728">
        <v>37000</v>
      </c>
      <c r="G238" s="729">
        <v>23980.34</v>
      </c>
      <c r="H238" s="730">
        <f>G238/F238</f>
        <v>0.64811729729729728</v>
      </c>
      <c r="I238" s="729">
        <v>36735.839999999997</v>
      </c>
      <c r="J238" s="731">
        <v>41000</v>
      </c>
      <c r="K238" s="732">
        <f>J238/F238</f>
        <v>1.1081081081081081</v>
      </c>
      <c r="L238" s="733"/>
      <c r="M238" s="505"/>
      <c r="N238" s="505"/>
      <c r="O238" s="506"/>
      <c r="P238" s="505"/>
      <c r="Q238" s="505"/>
      <c r="R238" s="506"/>
      <c r="S238" s="506"/>
      <c r="T238" s="506"/>
      <c r="U238" s="506"/>
      <c r="V238" s="506"/>
      <c r="W238" s="506">
        <f t="shared" si="78"/>
        <v>0</v>
      </c>
    </row>
    <row r="239" spans="1:23" x14ac:dyDescent="0.2">
      <c r="A239" s="79"/>
      <c r="B239" s="352"/>
      <c r="C239" s="35"/>
      <c r="D239" s="723"/>
      <c r="E239" s="727" t="s">
        <v>274</v>
      </c>
      <c r="F239" s="728">
        <v>4800</v>
      </c>
      <c r="G239" s="729">
        <v>0</v>
      </c>
      <c r="H239" s="730">
        <f>G239/F239</f>
        <v>0</v>
      </c>
      <c r="I239" s="729">
        <v>0</v>
      </c>
      <c r="J239" s="731">
        <v>0</v>
      </c>
      <c r="K239" s="732">
        <f t="shared" ref="K239:K242" si="79">J239/F239</f>
        <v>0</v>
      </c>
      <c r="L239" s="733"/>
      <c r="M239" s="505"/>
      <c r="N239" s="505"/>
      <c r="O239" s="506"/>
      <c r="P239" s="505"/>
      <c r="Q239" s="505"/>
      <c r="R239" s="506"/>
      <c r="S239" s="506"/>
      <c r="T239" s="506"/>
      <c r="U239" s="506"/>
      <c r="V239" s="506"/>
      <c r="W239" s="506">
        <f t="shared" si="78"/>
        <v>0</v>
      </c>
    </row>
    <row r="240" spans="1:23" x14ac:dyDescent="0.2">
      <c r="A240" s="79"/>
      <c r="B240" s="352"/>
      <c r="C240" s="35"/>
      <c r="D240" s="723"/>
      <c r="E240" s="727" t="s">
        <v>275</v>
      </c>
      <c r="F240" s="728">
        <v>10000</v>
      </c>
      <c r="G240" s="729">
        <v>4559.32</v>
      </c>
      <c r="H240" s="730">
        <f t="shared" ref="H240:H242" si="80">G240/F240</f>
        <v>0.45593199999999995</v>
      </c>
      <c r="I240" s="729">
        <v>9312.24</v>
      </c>
      <c r="J240" s="731">
        <v>12600</v>
      </c>
      <c r="K240" s="732">
        <f t="shared" si="79"/>
        <v>1.26</v>
      </c>
      <c r="L240" s="733"/>
      <c r="M240" s="505"/>
      <c r="N240" s="505"/>
      <c r="O240" s="506"/>
      <c r="P240" s="505"/>
      <c r="Q240" s="505"/>
      <c r="R240" s="506"/>
      <c r="S240" s="506"/>
      <c r="T240" s="506"/>
      <c r="U240" s="506"/>
      <c r="V240" s="506"/>
      <c r="W240" s="506">
        <f t="shared" si="78"/>
        <v>0</v>
      </c>
    </row>
    <row r="241" spans="1:23" x14ac:dyDescent="0.2">
      <c r="A241" s="79"/>
      <c r="B241" s="352"/>
      <c r="C241" s="35"/>
      <c r="D241" s="723"/>
      <c r="E241" s="727" t="s">
        <v>276</v>
      </c>
      <c r="F241" s="728">
        <v>11000</v>
      </c>
      <c r="G241" s="729">
        <v>7007.04</v>
      </c>
      <c r="H241" s="730">
        <f t="shared" si="80"/>
        <v>0.63700363636363633</v>
      </c>
      <c r="I241" s="729">
        <v>10572.69</v>
      </c>
      <c r="J241" s="731">
        <v>13800</v>
      </c>
      <c r="K241" s="732">
        <f t="shared" si="79"/>
        <v>1.2545454545454546</v>
      </c>
      <c r="L241" s="733"/>
      <c r="M241" s="505"/>
      <c r="N241" s="505"/>
      <c r="O241" s="506"/>
      <c r="P241" s="505"/>
      <c r="Q241" s="505"/>
      <c r="R241" s="506"/>
      <c r="S241" s="506"/>
      <c r="T241" s="506"/>
      <c r="U241" s="506"/>
      <c r="V241" s="506"/>
      <c r="W241" s="506">
        <f t="shared" si="78"/>
        <v>0</v>
      </c>
    </row>
    <row r="242" spans="1:23" x14ac:dyDescent="0.2">
      <c r="A242" s="79"/>
      <c r="B242" s="352"/>
      <c r="C242" s="555"/>
      <c r="D242" s="734"/>
      <c r="E242" s="735" t="s">
        <v>277</v>
      </c>
      <c r="F242" s="736">
        <v>12000</v>
      </c>
      <c r="G242" s="737">
        <v>2279.04</v>
      </c>
      <c r="H242" s="730">
        <f t="shared" si="80"/>
        <v>0.18992000000000001</v>
      </c>
      <c r="I242" s="737">
        <v>11944.56</v>
      </c>
      <c r="J242" s="738">
        <v>14600</v>
      </c>
      <c r="K242" s="732">
        <f t="shared" si="79"/>
        <v>1.2166666666666666</v>
      </c>
      <c r="L242" s="739"/>
      <c r="M242" s="505"/>
      <c r="N242" s="505"/>
      <c r="O242" s="506"/>
      <c r="P242" s="505"/>
      <c r="Q242" s="505"/>
      <c r="R242" s="506"/>
      <c r="S242" s="506"/>
      <c r="T242" s="506"/>
      <c r="U242" s="506"/>
      <c r="V242" s="506"/>
      <c r="W242" s="506">
        <f t="shared" si="78"/>
        <v>0</v>
      </c>
    </row>
    <row r="243" spans="1:23" ht="22.5" x14ac:dyDescent="0.2">
      <c r="A243" s="79"/>
      <c r="B243" s="79"/>
      <c r="C243" s="79"/>
      <c r="D243" s="740">
        <v>2540</v>
      </c>
      <c r="E243" s="139" t="s">
        <v>278</v>
      </c>
      <c r="F243" s="741">
        <f>F245+F246</f>
        <v>1179246.6200000001</v>
      </c>
      <c r="G243" s="93">
        <v>762689.81</v>
      </c>
      <c r="H243" s="94">
        <f t="shared" ref="H243:H311" si="81">G243/F243</f>
        <v>0.6467602256091266</v>
      </c>
      <c r="I243" s="95">
        <v>988253.89</v>
      </c>
      <c r="J243" s="96">
        <f>J245+J246+J247</f>
        <v>1355096</v>
      </c>
      <c r="K243" s="742">
        <f t="shared" si="65"/>
        <v>1.1491201051735895</v>
      </c>
      <c r="L243" s="636"/>
      <c r="M243" s="505"/>
      <c r="N243" s="505"/>
      <c r="O243" s="506"/>
      <c r="P243" s="505"/>
      <c r="Q243" s="505"/>
      <c r="R243" s="506">
        <v>1355096</v>
      </c>
      <c r="S243" s="506"/>
      <c r="T243" s="506"/>
      <c r="U243" s="506"/>
      <c r="V243" s="506"/>
      <c r="W243" s="506">
        <f t="shared" si="78"/>
        <v>1355096</v>
      </c>
    </row>
    <row r="244" spans="1:23" x14ac:dyDescent="0.2">
      <c r="A244" s="79"/>
      <c r="B244" s="79"/>
      <c r="C244" s="79"/>
      <c r="D244" s="616"/>
      <c r="E244" s="169" t="s">
        <v>151</v>
      </c>
      <c r="F244" s="349"/>
      <c r="G244" s="327"/>
      <c r="H244" s="328"/>
      <c r="I244" s="329"/>
      <c r="J244" s="183"/>
      <c r="K244" s="590"/>
      <c r="L244" s="517"/>
      <c r="M244" s="505"/>
      <c r="N244" s="505"/>
      <c r="O244" s="506"/>
      <c r="P244" s="505"/>
      <c r="Q244" s="505"/>
      <c r="R244" s="506"/>
      <c r="S244" s="506"/>
      <c r="T244" s="506"/>
      <c r="U244" s="506"/>
      <c r="V244" s="506"/>
      <c r="W244" s="506">
        <f t="shared" si="78"/>
        <v>0</v>
      </c>
    </row>
    <row r="245" spans="1:23" x14ac:dyDescent="0.2">
      <c r="A245" s="79"/>
      <c r="B245" s="79"/>
      <c r="C245" s="79"/>
      <c r="D245" s="657"/>
      <c r="E245" s="743" t="s">
        <v>404</v>
      </c>
      <c r="F245" s="646">
        <v>252204.62</v>
      </c>
      <c r="G245" s="640">
        <v>151187.22</v>
      </c>
      <c r="H245" s="641">
        <f>G245/F245</f>
        <v>0.5994625316538611</v>
      </c>
      <c r="I245" s="642">
        <v>185259.44</v>
      </c>
      <c r="J245" s="643">
        <v>198300</v>
      </c>
      <c r="K245" s="647">
        <f>J245/F245</f>
        <v>0.78626632612836356</v>
      </c>
      <c r="L245" s="648" t="s">
        <v>279</v>
      </c>
      <c r="M245" s="505"/>
      <c r="N245" s="505"/>
      <c r="O245" s="506"/>
      <c r="P245" s="505"/>
      <c r="Q245" s="505"/>
      <c r="R245" s="506"/>
      <c r="S245" s="506"/>
      <c r="T245" s="506"/>
      <c r="U245" s="506"/>
      <c r="V245" s="506"/>
      <c r="W245" s="506">
        <f t="shared" si="78"/>
        <v>0</v>
      </c>
    </row>
    <row r="246" spans="1:23" x14ac:dyDescent="0.2">
      <c r="A246" s="79"/>
      <c r="B246" s="79"/>
      <c r="C246" s="79"/>
      <c r="D246" s="616"/>
      <c r="E246" s="743" t="s">
        <v>405</v>
      </c>
      <c r="F246" s="646">
        <v>927042</v>
      </c>
      <c r="G246" s="640">
        <v>611502.59</v>
      </c>
      <c r="H246" s="641">
        <f>G246/F246</f>
        <v>0.65962770834546869</v>
      </c>
      <c r="I246" s="642">
        <v>802994.25</v>
      </c>
      <c r="J246" s="643">
        <v>826176</v>
      </c>
      <c r="K246" s="647">
        <f t="shared" ref="K246" si="82">J246/F246</f>
        <v>0.89119586814836871</v>
      </c>
      <c r="L246" s="648" t="s">
        <v>280</v>
      </c>
      <c r="M246" s="505"/>
      <c r="N246" s="505"/>
      <c r="O246" s="506"/>
      <c r="P246" s="505"/>
      <c r="Q246" s="505"/>
      <c r="R246" s="506"/>
      <c r="S246" s="506"/>
      <c r="T246" s="506"/>
      <c r="U246" s="506"/>
      <c r="V246" s="506"/>
      <c r="W246" s="506">
        <f t="shared" si="78"/>
        <v>0</v>
      </c>
    </row>
    <row r="247" spans="1:23" ht="22.5" x14ac:dyDescent="0.2">
      <c r="A247" s="79"/>
      <c r="B247" s="79"/>
      <c r="C247" s="206"/>
      <c r="D247" s="391"/>
      <c r="E247" s="1145" t="s">
        <v>406</v>
      </c>
      <c r="F247" s="1146">
        <v>0</v>
      </c>
      <c r="G247" s="652">
        <v>0</v>
      </c>
      <c r="H247" s="653"/>
      <c r="I247" s="662">
        <v>0</v>
      </c>
      <c r="J247" s="654">
        <f>429620-99000</f>
        <v>330620</v>
      </c>
      <c r="K247" s="1147">
        <v>0</v>
      </c>
      <c r="L247" s="648" t="s">
        <v>281</v>
      </c>
      <c r="M247" s="505"/>
      <c r="N247" s="505"/>
      <c r="O247" s="506"/>
      <c r="P247" s="505"/>
      <c r="Q247" s="505"/>
      <c r="R247" s="506"/>
      <c r="S247" s="506"/>
      <c r="T247" s="506"/>
      <c r="U247" s="506"/>
      <c r="V247" s="506"/>
      <c r="W247" s="506">
        <f t="shared" si="78"/>
        <v>0</v>
      </c>
    </row>
    <row r="248" spans="1:23" ht="22.5" x14ac:dyDescent="0.2">
      <c r="A248" s="79"/>
      <c r="B248" s="79"/>
      <c r="C248" s="303"/>
      <c r="D248" s="574">
        <v>3020</v>
      </c>
      <c r="E248" s="249" t="s">
        <v>219</v>
      </c>
      <c r="F248" s="573">
        <v>61682</v>
      </c>
      <c r="G248" s="141">
        <v>44526.79</v>
      </c>
      <c r="H248" s="142">
        <f t="shared" si="81"/>
        <v>0.72187656042281378</v>
      </c>
      <c r="I248" s="143">
        <v>59299.37</v>
      </c>
      <c r="J248" s="144">
        <v>64861</v>
      </c>
      <c r="K248" s="591">
        <f t="shared" si="65"/>
        <v>1.0515385363639311</v>
      </c>
      <c r="L248" s="513"/>
      <c r="M248" s="505"/>
      <c r="N248" s="505"/>
      <c r="O248" s="506"/>
      <c r="P248" s="505"/>
      <c r="Q248" s="505"/>
      <c r="R248" s="506"/>
      <c r="S248" s="506"/>
      <c r="T248" s="506"/>
      <c r="U248" s="506"/>
      <c r="V248" s="506">
        <v>64861</v>
      </c>
      <c r="W248" s="506">
        <f t="shared" si="78"/>
        <v>64861</v>
      </c>
    </row>
    <row r="249" spans="1:23" x14ac:dyDescent="0.2">
      <c r="A249" s="79"/>
      <c r="B249" s="79"/>
      <c r="C249" s="107"/>
      <c r="D249" s="514">
        <v>4010</v>
      </c>
      <c r="E249" s="109" t="s">
        <v>173</v>
      </c>
      <c r="F249" s="280">
        <v>1823497</v>
      </c>
      <c r="G249" s="83">
        <v>1328560.08</v>
      </c>
      <c r="H249" s="84">
        <f t="shared" si="81"/>
        <v>0.72857815505043333</v>
      </c>
      <c r="I249" s="85">
        <v>1822147.55</v>
      </c>
      <c r="J249" s="86">
        <v>1878712</v>
      </c>
      <c r="K249" s="744">
        <f t="shared" si="65"/>
        <v>1.0302797317461998</v>
      </c>
      <c r="L249" s="513"/>
      <c r="M249" s="505"/>
      <c r="N249" s="505"/>
      <c r="O249" s="506"/>
      <c r="P249" s="505"/>
      <c r="Q249" s="505"/>
      <c r="R249" s="506"/>
      <c r="S249" s="506"/>
      <c r="T249" s="506"/>
      <c r="U249" s="506"/>
      <c r="V249" s="83">
        <v>1878712</v>
      </c>
      <c r="W249" s="506">
        <f t="shared" si="78"/>
        <v>1878712</v>
      </c>
    </row>
    <row r="250" spans="1:23" x14ac:dyDescent="0.2">
      <c r="A250" s="79"/>
      <c r="B250" s="79"/>
      <c r="C250" s="107"/>
      <c r="D250" s="514">
        <v>4040</v>
      </c>
      <c r="E250" s="109" t="s">
        <v>213</v>
      </c>
      <c r="F250" s="251">
        <v>138760</v>
      </c>
      <c r="G250" s="83">
        <v>138758.29999999999</v>
      </c>
      <c r="H250" s="84">
        <f t="shared" si="81"/>
        <v>0.99998774863072926</v>
      </c>
      <c r="I250" s="85">
        <v>138758.29999999999</v>
      </c>
      <c r="J250" s="86">
        <v>152000</v>
      </c>
      <c r="K250" s="744">
        <f t="shared" ref="K250:K268" si="83">J250/F250</f>
        <v>1.0954165465552033</v>
      </c>
      <c r="L250" s="513"/>
      <c r="M250" s="505"/>
      <c r="N250" s="505"/>
      <c r="O250" s="506"/>
      <c r="P250" s="505"/>
      <c r="Q250" s="505"/>
      <c r="R250" s="506"/>
      <c r="S250" s="506"/>
      <c r="T250" s="506"/>
      <c r="U250" s="506"/>
      <c r="V250" s="83">
        <v>152000</v>
      </c>
      <c r="W250" s="506">
        <f t="shared" si="78"/>
        <v>152000</v>
      </c>
    </row>
    <row r="251" spans="1:23" x14ac:dyDescent="0.2">
      <c r="A251" s="79"/>
      <c r="B251" s="79"/>
      <c r="C251" s="107"/>
      <c r="D251" s="514">
        <v>4110</v>
      </c>
      <c r="E251" s="109" t="s">
        <v>174</v>
      </c>
      <c r="F251" s="251">
        <v>342586</v>
      </c>
      <c r="G251" s="83">
        <v>248288.72</v>
      </c>
      <c r="H251" s="84">
        <f t="shared" si="81"/>
        <v>0.72474858867554426</v>
      </c>
      <c r="I251" s="85">
        <v>341825.05</v>
      </c>
      <c r="J251" s="86">
        <v>351466</v>
      </c>
      <c r="K251" s="744">
        <f t="shared" si="83"/>
        <v>1.0259204987944632</v>
      </c>
      <c r="L251" s="513"/>
      <c r="M251" s="505"/>
      <c r="N251" s="505"/>
      <c r="O251" s="506"/>
      <c r="P251" s="505"/>
      <c r="Q251" s="505"/>
      <c r="R251" s="506"/>
      <c r="S251" s="506"/>
      <c r="T251" s="506"/>
      <c r="U251" s="506"/>
      <c r="V251" s="83">
        <v>351466</v>
      </c>
      <c r="W251" s="506">
        <f t="shared" si="78"/>
        <v>351466</v>
      </c>
    </row>
    <row r="252" spans="1:23" x14ac:dyDescent="0.2">
      <c r="A252" s="79"/>
      <c r="B252" s="79"/>
      <c r="C252" s="253"/>
      <c r="D252" s="516">
        <v>4120</v>
      </c>
      <c r="E252" s="160" t="s">
        <v>175</v>
      </c>
      <c r="F252" s="161">
        <v>45107</v>
      </c>
      <c r="G252" s="83">
        <v>30884.39</v>
      </c>
      <c r="H252" s="84">
        <f t="shared" si="81"/>
        <v>0.68469173299044495</v>
      </c>
      <c r="I252" s="85">
        <v>44708.14</v>
      </c>
      <c r="J252" s="86">
        <v>46521</v>
      </c>
      <c r="K252" s="581">
        <f t="shared" si="83"/>
        <v>1.0313476843948832</v>
      </c>
      <c r="L252" s="513"/>
      <c r="M252" s="505"/>
      <c r="N252" s="505"/>
      <c r="O252" s="506"/>
      <c r="P252" s="505"/>
      <c r="Q252" s="505"/>
      <c r="R252" s="506"/>
      <c r="S252" s="506"/>
      <c r="T252" s="506"/>
      <c r="U252" s="506"/>
      <c r="V252" s="83">
        <v>46521</v>
      </c>
      <c r="W252" s="506">
        <f t="shared" si="78"/>
        <v>46521</v>
      </c>
    </row>
    <row r="253" spans="1:23" x14ac:dyDescent="0.2">
      <c r="A253" s="79"/>
      <c r="B253" s="79"/>
      <c r="C253" s="303"/>
      <c r="D253" s="574">
        <v>4170</v>
      </c>
      <c r="E253" s="249" t="s">
        <v>184</v>
      </c>
      <c r="F253" s="530">
        <v>5500</v>
      </c>
      <c r="G253" s="141">
        <v>3500</v>
      </c>
      <c r="H253" s="142">
        <f t="shared" si="81"/>
        <v>0.63636363636363635</v>
      </c>
      <c r="I253" s="143">
        <v>5500</v>
      </c>
      <c r="J253" s="144">
        <v>5500</v>
      </c>
      <c r="K253" s="591">
        <f t="shared" si="83"/>
        <v>1</v>
      </c>
      <c r="L253" s="513"/>
      <c r="M253" s="505"/>
      <c r="N253" s="505"/>
      <c r="O253" s="506"/>
      <c r="P253" s="505"/>
      <c r="Q253" s="505"/>
      <c r="R253" s="506"/>
      <c r="S253" s="506"/>
      <c r="T253" s="506"/>
      <c r="U253" s="506"/>
      <c r="V253" s="83">
        <v>5500</v>
      </c>
      <c r="W253" s="506">
        <f t="shared" si="78"/>
        <v>5500</v>
      </c>
    </row>
    <row r="254" spans="1:23" x14ac:dyDescent="0.2">
      <c r="A254" s="79"/>
      <c r="B254" s="79"/>
      <c r="C254" s="107"/>
      <c r="D254" s="514">
        <v>4210</v>
      </c>
      <c r="E254" s="109" t="s">
        <v>176</v>
      </c>
      <c r="F254" s="110">
        <v>84422</v>
      </c>
      <c r="G254" s="83">
        <v>62462.97</v>
      </c>
      <c r="H254" s="84">
        <f t="shared" si="81"/>
        <v>0.73988972068892001</v>
      </c>
      <c r="I254" s="85">
        <v>84198.59</v>
      </c>
      <c r="J254" s="86">
        <v>89922</v>
      </c>
      <c r="K254" s="744">
        <f t="shared" si="83"/>
        <v>1.0651488948378385</v>
      </c>
      <c r="L254" s="513"/>
      <c r="M254" s="505"/>
      <c r="N254" s="505"/>
      <c r="O254" s="506"/>
      <c r="P254" s="505"/>
      <c r="Q254" s="505"/>
      <c r="R254" s="506"/>
      <c r="S254" s="506"/>
      <c r="T254" s="506"/>
      <c r="U254" s="506"/>
      <c r="V254" s="83">
        <v>89922</v>
      </c>
      <c r="W254" s="506">
        <f t="shared" si="78"/>
        <v>89922</v>
      </c>
    </row>
    <row r="255" spans="1:23" x14ac:dyDescent="0.2">
      <c r="A255" s="79"/>
      <c r="B255" s="79"/>
      <c r="C255" s="107"/>
      <c r="D255" s="514">
        <v>4220</v>
      </c>
      <c r="E255" s="109" t="s">
        <v>282</v>
      </c>
      <c r="F255" s="251">
        <v>253000</v>
      </c>
      <c r="G255" s="83">
        <v>170045.01</v>
      </c>
      <c r="H255" s="84">
        <f t="shared" si="81"/>
        <v>0.67211466403162057</v>
      </c>
      <c r="I255" s="85">
        <v>251545.3</v>
      </c>
      <c r="J255" s="86">
        <v>268000</v>
      </c>
      <c r="K255" s="744">
        <f t="shared" si="83"/>
        <v>1.0592885375494072</v>
      </c>
      <c r="L255" s="513"/>
      <c r="M255" s="505"/>
      <c r="N255" s="505"/>
      <c r="O255" s="506"/>
      <c r="P255" s="505"/>
      <c r="Q255" s="505"/>
      <c r="R255" s="506"/>
      <c r="S255" s="506"/>
      <c r="T255" s="506"/>
      <c r="U255" s="506"/>
      <c r="V255" s="83">
        <v>268000</v>
      </c>
      <c r="W255" s="506">
        <f t="shared" si="78"/>
        <v>268000</v>
      </c>
    </row>
    <row r="256" spans="1:23" ht="22.5" x14ac:dyDescent="0.2">
      <c r="A256" s="79"/>
      <c r="B256" s="79"/>
      <c r="C256" s="80"/>
      <c r="D256" s="511">
        <v>4230</v>
      </c>
      <c r="E256" s="37" t="s">
        <v>231</v>
      </c>
      <c r="F256" s="745">
        <v>450</v>
      </c>
      <c r="G256" s="83">
        <v>264.32</v>
      </c>
      <c r="H256" s="84">
        <f t="shared" si="81"/>
        <v>0.58737777777777778</v>
      </c>
      <c r="I256" s="85">
        <v>449.19</v>
      </c>
      <c r="J256" s="86">
        <v>600</v>
      </c>
      <c r="K256" s="744">
        <f t="shared" si="83"/>
        <v>1.3333333333333333</v>
      </c>
      <c r="L256" s="513"/>
      <c r="M256" s="505"/>
      <c r="N256" s="505"/>
      <c r="O256" s="506"/>
      <c r="P256" s="505"/>
      <c r="Q256" s="505"/>
      <c r="R256" s="506"/>
      <c r="S256" s="506"/>
      <c r="T256" s="506"/>
      <c r="U256" s="506"/>
      <c r="V256" s="83">
        <v>600</v>
      </c>
      <c r="W256" s="506">
        <f t="shared" si="78"/>
        <v>600</v>
      </c>
    </row>
    <row r="257" spans="1:23" ht="22.5" x14ac:dyDescent="0.2">
      <c r="A257" s="79"/>
      <c r="B257" s="79"/>
      <c r="C257" s="107"/>
      <c r="D257" s="514">
        <v>4240</v>
      </c>
      <c r="E257" s="109" t="s">
        <v>232</v>
      </c>
      <c r="F257" s="179">
        <v>3350</v>
      </c>
      <c r="G257" s="83">
        <v>1525.1</v>
      </c>
      <c r="H257" s="84">
        <f t="shared" si="81"/>
        <v>0.45525373134328356</v>
      </c>
      <c r="I257" s="85">
        <v>3315.32</v>
      </c>
      <c r="J257" s="86">
        <v>3150</v>
      </c>
      <c r="K257" s="744">
        <f t="shared" si="83"/>
        <v>0.94029850746268662</v>
      </c>
      <c r="L257" s="513"/>
      <c r="M257" s="505"/>
      <c r="N257" s="505"/>
      <c r="O257" s="506"/>
      <c r="P257" s="505"/>
      <c r="Q257" s="505"/>
      <c r="R257" s="506"/>
      <c r="S257" s="506"/>
      <c r="T257" s="506"/>
      <c r="U257" s="506"/>
      <c r="V257" s="83">
        <v>3150</v>
      </c>
      <c r="W257" s="506">
        <f t="shared" si="78"/>
        <v>3150</v>
      </c>
    </row>
    <row r="258" spans="1:23" x14ac:dyDescent="0.2">
      <c r="A258" s="79"/>
      <c r="B258" s="79"/>
      <c r="C258" s="253"/>
      <c r="D258" s="516">
        <v>4260</v>
      </c>
      <c r="E258" s="160" t="s">
        <v>185</v>
      </c>
      <c r="F258" s="185">
        <v>269200</v>
      </c>
      <c r="G258" s="83">
        <v>138743.65</v>
      </c>
      <c r="H258" s="84">
        <f t="shared" si="81"/>
        <v>0.51539245913818721</v>
      </c>
      <c r="I258" s="85">
        <v>257386.84</v>
      </c>
      <c r="J258" s="86">
        <v>268200</v>
      </c>
      <c r="K258" s="744">
        <f t="shared" si="83"/>
        <v>0.99628528974739972</v>
      </c>
      <c r="L258" s="513"/>
      <c r="M258" s="505"/>
      <c r="N258" s="505"/>
      <c r="O258" s="506"/>
      <c r="P258" s="505"/>
      <c r="Q258" s="505"/>
      <c r="R258" s="506"/>
      <c r="S258" s="506"/>
      <c r="T258" s="506"/>
      <c r="U258" s="506"/>
      <c r="V258" s="83">
        <v>268200</v>
      </c>
      <c r="W258" s="506">
        <f t="shared" si="78"/>
        <v>268200</v>
      </c>
    </row>
    <row r="259" spans="1:23" x14ac:dyDescent="0.2">
      <c r="A259" s="79"/>
      <c r="B259" s="79"/>
      <c r="C259" s="303"/>
      <c r="D259" s="574">
        <v>4270</v>
      </c>
      <c r="E259" s="249" t="s">
        <v>192</v>
      </c>
      <c r="F259" s="573">
        <v>6000</v>
      </c>
      <c r="G259" s="141">
        <v>1999.98</v>
      </c>
      <c r="H259" s="84">
        <f t="shared" si="81"/>
        <v>0.33333000000000002</v>
      </c>
      <c r="I259" s="143">
        <v>5999.98</v>
      </c>
      <c r="J259" s="144">
        <v>6000</v>
      </c>
      <c r="K259" s="744">
        <f t="shared" si="83"/>
        <v>1</v>
      </c>
      <c r="L259" s="604"/>
      <c r="M259" s="505"/>
      <c r="N259" s="505"/>
      <c r="O259" s="506"/>
      <c r="P259" s="505"/>
      <c r="Q259" s="505"/>
      <c r="R259" s="506"/>
      <c r="S259" s="506"/>
      <c r="T259" s="506"/>
      <c r="U259" s="506"/>
      <c r="V259" s="141">
        <v>6000</v>
      </c>
      <c r="W259" s="506">
        <f t="shared" si="78"/>
        <v>6000</v>
      </c>
    </row>
    <row r="260" spans="1:23" x14ac:dyDescent="0.2">
      <c r="A260" s="79"/>
      <c r="B260" s="79"/>
      <c r="C260" s="253"/>
      <c r="D260" s="516">
        <v>4280</v>
      </c>
      <c r="E260" s="160" t="s">
        <v>233</v>
      </c>
      <c r="F260" s="634">
        <v>3900</v>
      </c>
      <c r="G260" s="83">
        <v>3156</v>
      </c>
      <c r="H260" s="84">
        <f t="shared" si="81"/>
        <v>0.8092307692307692</v>
      </c>
      <c r="I260" s="85">
        <v>3810</v>
      </c>
      <c r="J260" s="86">
        <v>4700</v>
      </c>
      <c r="K260" s="744">
        <f t="shared" si="83"/>
        <v>1.2051282051282051</v>
      </c>
      <c r="L260" s="513"/>
      <c r="M260" s="505"/>
      <c r="N260" s="505"/>
      <c r="O260" s="506"/>
      <c r="P260" s="505"/>
      <c r="Q260" s="505"/>
      <c r="R260" s="506"/>
      <c r="S260" s="506"/>
      <c r="T260" s="506"/>
      <c r="U260" s="506"/>
      <c r="V260" s="83">
        <v>4700</v>
      </c>
      <c r="W260" s="506">
        <f t="shared" si="78"/>
        <v>4700</v>
      </c>
    </row>
    <row r="261" spans="1:23" x14ac:dyDescent="0.2">
      <c r="A261" s="79"/>
      <c r="B261" s="79"/>
      <c r="C261" s="303"/>
      <c r="D261" s="574">
        <v>4300</v>
      </c>
      <c r="E261" s="249" t="s">
        <v>177</v>
      </c>
      <c r="F261" s="573">
        <v>67300</v>
      </c>
      <c r="G261" s="141">
        <v>48367.56</v>
      </c>
      <c r="H261" s="84">
        <f t="shared" si="81"/>
        <v>0.71868588410104006</v>
      </c>
      <c r="I261" s="143">
        <v>65056.78</v>
      </c>
      <c r="J261" s="144">
        <v>66164</v>
      </c>
      <c r="K261" s="744">
        <f t="shared" si="83"/>
        <v>0.98312035661218422</v>
      </c>
      <c r="L261" s="513"/>
      <c r="M261" s="505"/>
      <c r="N261" s="505"/>
      <c r="O261" s="506"/>
      <c r="P261" s="505"/>
      <c r="Q261" s="505"/>
      <c r="R261" s="506"/>
      <c r="S261" s="506"/>
      <c r="T261" s="506"/>
      <c r="U261" s="506"/>
      <c r="V261" s="141">
        <v>66164</v>
      </c>
      <c r="W261" s="506">
        <f t="shared" si="78"/>
        <v>66164</v>
      </c>
    </row>
    <row r="262" spans="1:23" x14ac:dyDescent="0.2">
      <c r="A262" s="79"/>
      <c r="B262" s="79"/>
      <c r="C262" s="253"/>
      <c r="D262" s="516">
        <v>4350</v>
      </c>
      <c r="E262" s="160" t="s">
        <v>235</v>
      </c>
      <c r="F262" s="634">
        <v>2350</v>
      </c>
      <c r="G262" s="83">
        <v>1523.24</v>
      </c>
      <c r="H262" s="84">
        <f t="shared" si="81"/>
        <v>0.64818723404255318</v>
      </c>
      <c r="I262" s="85">
        <v>2047.89</v>
      </c>
      <c r="J262" s="86">
        <v>2600</v>
      </c>
      <c r="K262" s="744">
        <f t="shared" si="83"/>
        <v>1.1063829787234043</v>
      </c>
      <c r="L262" s="513"/>
      <c r="M262" s="505"/>
      <c r="N262" s="505"/>
      <c r="O262" s="506"/>
      <c r="P262" s="505"/>
      <c r="Q262" s="505"/>
      <c r="R262" s="506"/>
      <c r="S262" s="506"/>
      <c r="T262" s="506"/>
      <c r="U262" s="506"/>
      <c r="V262" s="83">
        <v>2600</v>
      </c>
      <c r="W262" s="506">
        <f t="shared" si="78"/>
        <v>2600</v>
      </c>
    </row>
    <row r="263" spans="1:23" ht="33.75" x14ac:dyDescent="0.2">
      <c r="A263" s="79"/>
      <c r="B263" s="79"/>
      <c r="C263" s="206"/>
      <c r="D263" s="391">
        <v>4360</v>
      </c>
      <c r="E263" s="163" t="s">
        <v>236</v>
      </c>
      <c r="F263" s="680">
        <v>700</v>
      </c>
      <c r="G263" s="141">
        <v>448.09</v>
      </c>
      <c r="H263" s="84">
        <f t="shared" si="81"/>
        <v>0.64012857142857138</v>
      </c>
      <c r="I263" s="143">
        <v>589.99</v>
      </c>
      <c r="J263" s="144">
        <v>1200</v>
      </c>
      <c r="K263" s="744">
        <f t="shared" si="83"/>
        <v>1.7142857142857142</v>
      </c>
      <c r="L263" s="513"/>
      <c r="M263" s="505"/>
      <c r="N263" s="505"/>
      <c r="O263" s="506"/>
      <c r="P263" s="505"/>
      <c r="Q263" s="505"/>
      <c r="R263" s="506"/>
      <c r="S263" s="506"/>
      <c r="T263" s="506"/>
      <c r="U263" s="506"/>
      <c r="V263" s="141">
        <v>1200</v>
      </c>
      <c r="W263" s="506">
        <f t="shared" si="78"/>
        <v>1200</v>
      </c>
    </row>
    <row r="264" spans="1:23" ht="33.75" x14ac:dyDescent="0.2">
      <c r="A264" s="79"/>
      <c r="B264" s="79"/>
      <c r="C264" s="79"/>
      <c r="D264" s="616">
        <v>4370</v>
      </c>
      <c r="E264" s="169" t="s">
        <v>271</v>
      </c>
      <c r="F264" s="170">
        <v>5150</v>
      </c>
      <c r="G264" s="141">
        <v>3220.35</v>
      </c>
      <c r="H264" s="84">
        <f t="shared" si="81"/>
        <v>0.62531067961165043</v>
      </c>
      <c r="I264" s="143">
        <v>4549</v>
      </c>
      <c r="J264" s="144">
        <v>5400</v>
      </c>
      <c r="K264" s="744">
        <f t="shared" si="83"/>
        <v>1.0485436893203883</v>
      </c>
      <c r="L264" s="604"/>
      <c r="M264" s="505"/>
      <c r="N264" s="505"/>
      <c r="O264" s="506"/>
      <c r="P264" s="505"/>
      <c r="Q264" s="505"/>
      <c r="R264" s="506"/>
      <c r="S264" s="506"/>
      <c r="T264" s="506"/>
      <c r="U264" s="506"/>
      <c r="V264" s="141">
        <v>5400</v>
      </c>
      <c r="W264" s="506">
        <f t="shared" si="78"/>
        <v>5400</v>
      </c>
    </row>
    <row r="265" spans="1:23" x14ac:dyDescent="0.2">
      <c r="A265" s="79"/>
      <c r="B265" s="79"/>
      <c r="C265" s="107"/>
      <c r="D265" s="514">
        <v>4410</v>
      </c>
      <c r="E265" s="109" t="s">
        <v>179</v>
      </c>
      <c r="F265" s="179">
        <v>3250</v>
      </c>
      <c r="G265" s="83">
        <v>1624.29</v>
      </c>
      <c r="H265" s="84">
        <f t="shared" si="81"/>
        <v>0.49978153846153844</v>
      </c>
      <c r="I265" s="85">
        <v>2165.7199999999998</v>
      </c>
      <c r="J265" s="86">
        <v>3500</v>
      </c>
      <c r="K265" s="744">
        <f t="shared" si="83"/>
        <v>1.0769230769230769</v>
      </c>
      <c r="L265" s="513"/>
      <c r="M265" s="505"/>
      <c r="N265" s="505"/>
      <c r="O265" s="506"/>
      <c r="P265" s="505"/>
      <c r="Q265" s="505"/>
      <c r="R265" s="506"/>
      <c r="S265" s="506"/>
      <c r="T265" s="506"/>
      <c r="U265" s="506"/>
      <c r="V265" s="83">
        <v>3500</v>
      </c>
      <c r="W265" s="506">
        <f t="shared" si="78"/>
        <v>3500</v>
      </c>
    </row>
    <row r="266" spans="1:23" x14ac:dyDescent="0.2">
      <c r="A266" s="79"/>
      <c r="B266" s="79"/>
      <c r="C266" s="107"/>
      <c r="D266" s="514">
        <v>4430</v>
      </c>
      <c r="E266" s="109" t="s">
        <v>180</v>
      </c>
      <c r="F266" s="179">
        <v>1000</v>
      </c>
      <c r="G266" s="83">
        <v>986.74</v>
      </c>
      <c r="H266" s="84">
        <f t="shared" si="81"/>
        <v>0.98674000000000006</v>
      </c>
      <c r="I266" s="85">
        <v>986.74</v>
      </c>
      <c r="J266" s="86">
        <v>1150</v>
      </c>
      <c r="K266" s="744">
        <f t="shared" si="83"/>
        <v>1.1499999999999999</v>
      </c>
      <c r="L266" s="513"/>
      <c r="M266" s="505"/>
      <c r="N266" s="505"/>
      <c r="O266" s="506"/>
      <c r="P266" s="505"/>
      <c r="Q266" s="505"/>
      <c r="R266" s="506"/>
      <c r="S266" s="506"/>
      <c r="T266" s="506"/>
      <c r="U266" s="506"/>
      <c r="V266" s="83">
        <v>1150</v>
      </c>
      <c r="W266" s="506">
        <f t="shared" si="78"/>
        <v>1150</v>
      </c>
    </row>
    <row r="267" spans="1:23" ht="22.5" x14ac:dyDescent="0.2">
      <c r="A267" s="79"/>
      <c r="B267" s="79"/>
      <c r="C267" s="107"/>
      <c r="D267" s="514">
        <v>4440</v>
      </c>
      <c r="E267" s="109" t="s">
        <v>242</v>
      </c>
      <c r="F267" s="251">
        <v>106617</v>
      </c>
      <c r="G267" s="83">
        <v>106617</v>
      </c>
      <c r="H267" s="84">
        <f t="shared" si="81"/>
        <v>1</v>
      </c>
      <c r="I267" s="85">
        <v>106617</v>
      </c>
      <c r="J267" s="86">
        <v>110331</v>
      </c>
      <c r="K267" s="744">
        <f t="shared" si="83"/>
        <v>1.0348349700329216</v>
      </c>
      <c r="L267" s="513"/>
      <c r="M267" s="505"/>
      <c r="N267" s="505"/>
      <c r="O267" s="506"/>
      <c r="P267" s="505"/>
      <c r="Q267" s="505"/>
      <c r="R267" s="506"/>
      <c r="S267" s="506"/>
      <c r="T267" s="506"/>
      <c r="U267" s="506"/>
      <c r="V267" s="83">
        <v>110331</v>
      </c>
      <c r="W267" s="506">
        <f t="shared" si="78"/>
        <v>110331</v>
      </c>
    </row>
    <row r="268" spans="1:23" x14ac:dyDescent="0.2">
      <c r="A268" s="79"/>
      <c r="B268" s="79"/>
      <c r="C268" s="107"/>
      <c r="D268" s="514">
        <v>4480</v>
      </c>
      <c r="E268" s="109" t="s">
        <v>65</v>
      </c>
      <c r="F268" s="191">
        <v>355</v>
      </c>
      <c r="G268" s="83">
        <v>336</v>
      </c>
      <c r="H268" s="84">
        <f t="shared" si="81"/>
        <v>0.94647887323943658</v>
      </c>
      <c r="I268" s="85">
        <v>336</v>
      </c>
      <c r="J268" s="86">
        <v>355</v>
      </c>
      <c r="K268" s="744">
        <f t="shared" si="83"/>
        <v>1</v>
      </c>
      <c r="L268" s="513"/>
      <c r="M268" s="505"/>
      <c r="N268" s="505"/>
      <c r="O268" s="506"/>
      <c r="P268" s="505"/>
      <c r="Q268" s="505"/>
      <c r="R268" s="506"/>
      <c r="S268" s="506"/>
      <c r="T268" s="506"/>
      <c r="U268" s="506"/>
      <c r="V268" s="83">
        <v>355</v>
      </c>
      <c r="W268" s="506">
        <f t="shared" si="78"/>
        <v>355</v>
      </c>
    </row>
    <row r="269" spans="1:23" x14ac:dyDescent="0.2">
      <c r="A269" s="79"/>
      <c r="B269" s="237">
        <v>80110</v>
      </c>
      <c r="C269" s="548"/>
      <c r="D269" s="199"/>
      <c r="E269" s="350" t="s">
        <v>100</v>
      </c>
      <c r="F269" s="717">
        <f>SUM(F270:F290)</f>
        <v>4958629</v>
      </c>
      <c r="G269" s="717">
        <f>SUM(G270:G290)</f>
        <v>3859354.02</v>
      </c>
      <c r="H269" s="746">
        <f t="shared" si="81"/>
        <v>0.7783107024139132</v>
      </c>
      <c r="I269" s="203">
        <f>SUM(I270:I290)</f>
        <v>4928337.370000001</v>
      </c>
      <c r="J269" s="205">
        <f>SUM(J270:J290)</f>
        <v>4868908</v>
      </c>
      <c r="K269" s="1112">
        <f>J269/F269</f>
        <v>0.98190608734793428</v>
      </c>
      <c r="L269" s="1106"/>
      <c r="M269" s="685">
        <f t="shared" ref="M269:V269" si="84">SUM(M270:M290)</f>
        <v>0</v>
      </c>
      <c r="N269" s="685">
        <f t="shared" si="84"/>
        <v>0</v>
      </c>
      <c r="O269" s="685">
        <f t="shared" si="84"/>
        <v>0</v>
      </c>
      <c r="P269" s="685">
        <f t="shared" si="84"/>
        <v>0</v>
      </c>
      <c r="Q269" s="685">
        <f t="shared" si="84"/>
        <v>0</v>
      </c>
      <c r="R269" s="685">
        <f t="shared" si="84"/>
        <v>1896564</v>
      </c>
      <c r="S269" s="685">
        <f t="shared" si="84"/>
        <v>0</v>
      </c>
      <c r="T269" s="685">
        <f t="shared" si="84"/>
        <v>0</v>
      </c>
      <c r="U269" s="685">
        <f t="shared" si="84"/>
        <v>0</v>
      </c>
      <c r="V269" s="685">
        <f t="shared" si="84"/>
        <v>2972344</v>
      </c>
      <c r="W269" s="685">
        <f>SUM(M269:V269)</f>
        <v>4868908</v>
      </c>
    </row>
    <row r="270" spans="1:23" ht="45" x14ac:dyDescent="0.2">
      <c r="A270" s="79"/>
      <c r="B270" s="79"/>
      <c r="C270" s="427"/>
      <c r="D270" s="609">
        <v>2320</v>
      </c>
      <c r="E270" s="166" t="s">
        <v>283</v>
      </c>
      <c r="F270" s="428">
        <v>1253564</v>
      </c>
      <c r="G270" s="83">
        <v>1061258</v>
      </c>
      <c r="H270" s="84">
        <f t="shared" si="81"/>
        <v>0.84659259519258689</v>
      </c>
      <c r="I270" s="85">
        <v>1253564</v>
      </c>
      <c r="J270" s="86">
        <v>1253564</v>
      </c>
      <c r="K270" s="581">
        <f t="shared" ref="K270:K310" si="85">J270/F270</f>
        <v>1</v>
      </c>
      <c r="L270" s="513" t="s">
        <v>284</v>
      </c>
      <c r="M270" s="505"/>
      <c r="N270" s="505"/>
      <c r="O270" s="506"/>
      <c r="P270" s="505"/>
      <c r="Q270" s="505"/>
      <c r="R270" s="506">
        <v>1253564</v>
      </c>
      <c r="S270" s="506"/>
      <c r="T270" s="506"/>
      <c r="U270" s="506"/>
      <c r="V270" s="506"/>
      <c r="W270" s="506">
        <f>SUM(M270:V270)</f>
        <v>1253564</v>
      </c>
    </row>
    <row r="271" spans="1:23" ht="29.25" x14ac:dyDescent="0.2">
      <c r="A271" s="79"/>
      <c r="B271" s="79"/>
      <c r="C271" s="427"/>
      <c r="D271" s="609">
        <v>2540</v>
      </c>
      <c r="E271" s="166" t="s">
        <v>278</v>
      </c>
      <c r="F271" s="246">
        <v>582000</v>
      </c>
      <c r="G271" s="83">
        <v>399926.87</v>
      </c>
      <c r="H271" s="84">
        <f t="shared" si="81"/>
        <v>0.68715957044673537</v>
      </c>
      <c r="I271" s="85">
        <v>555025.88</v>
      </c>
      <c r="J271" s="86">
        <v>643000</v>
      </c>
      <c r="K271" s="581">
        <f t="shared" si="85"/>
        <v>1.104810996563574</v>
      </c>
      <c r="L271" s="513" t="s">
        <v>285</v>
      </c>
      <c r="M271" s="505"/>
      <c r="N271" s="505"/>
      <c r="O271" s="506"/>
      <c r="P271" s="505"/>
      <c r="Q271" s="505"/>
      <c r="R271" s="506">
        <v>643000</v>
      </c>
      <c r="S271" s="506"/>
      <c r="T271" s="506"/>
      <c r="U271" s="506"/>
      <c r="V271" s="506"/>
      <c r="W271" s="506">
        <f t="shared" ref="W271:W290" si="86">SUM(M271:V271)</f>
        <v>643000</v>
      </c>
    </row>
    <row r="272" spans="1:23" ht="22.5" x14ac:dyDescent="0.2">
      <c r="A272" s="79"/>
      <c r="B272" s="79"/>
      <c r="C272" s="303"/>
      <c r="D272" s="574">
        <v>3020</v>
      </c>
      <c r="E272" s="249" t="s">
        <v>219</v>
      </c>
      <c r="F272" s="573">
        <v>104008</v>
      </c>
      <c r="G272" s="141">
        <v>76917.41</v>
      </c>
      <c r="H272" s="84">
        <f t="shared" si="81"/>
        <v>0.73953359356972548</v>
      </c>
      <c r="I272" s="143">
        <v>103104.04</v>
      </c>
      <c r="J272" s="144">
        <v>110900</v>
      </c>
      <c r="K272" s="581">
        <f t="shared" si="85"/>
        <v>1.0662641335281902</v>
      </c>
      <c r="L272" s="513"/>
      <c r="M272" s="505"/>
      <c r="N272" s="505"/>
      <c r="O272" s="506"/>
      <c r="P272" s="505"/>
      <c r="Q272" s="505"/>
      <c r="R272" s="506"/>
      <c r="S272" s="506"/>
      <c r="T272" s="506"/>
      <c r="U272" s="506"/>
      <c r="V272" s="141">
        <v>110900</v>
      </c>
      <c r="W272" s="506">
        <f t="shared" si="86"/>
        <v>110900</v>
      </c>
    </row>
    <row r="273" spans="1:23" x14ac:dyDescent="0.2">
      <c r="A273" s="79"/>
      <c r="B273" s="79"/>
      <c r="C273" s="253"/>
      <c r="D273" s="516">
        <v>3240</v>
      </c>
      <c r="E273" s="160" t="s">
        <v>270</v>
      </c>
      <c r="F273" s="634">
        <v>1500</v>
      </c>
      <c r="G273" s="83">
        <v>1400</v>
      </c>
      <c r="H273" s="84">
        <f t="shared" si="81"/>
        <v>0.93333333333333335</v>
      </c>
      <c r="I273" s="85">
        <v>1400</v>
      </c>
      <c r="J273" s="86">
        <v>1500</v>
      </c>
      <c r="K273" s="581">
        <f t="shared" si="85"/>
        <v>1</v>
      </c>
      <c r="L273" s="513"/>
      <c r="M273" s="505"/>
      <c r="N273" s="505"/>
      <c r="O273" s="506"/>
      <c r="P273" s="505"/>
      <c r="Q273" s="505"/>
      <c r="R273" s="506"/>
      <c r="S273" s="506"/>
      <c r="T273" s="506"/>
      <c r="U273" s="506"/>
      <c r="V273" s="83">
        <v>1500</v>
      </c>
      <c r="W273" s="506">
        <f t="shared" si="86"/>
        <v>1500</v>
      </c>
    </row>
    <row r="274" spans="1:23" x14ac:dyDescent="0.2">
      <c r="A274" s="79"/>
      <c r="B274" s="79"/>
      <c r="C274" s="303"/>
      <c r="D274" s="574">
        <v>4010</v>
      </c>
      <c r="E274" s="249" t="s">
        <v>173</v>
      </c>
      <c r="F274" s="747">
        <v>1954801</v>
      </c>
      <c r="G274" s="141">
        <v>1503306.65</v>
      </c>
      <c r="H274" s="84">
        <f t="shared" si="81"/>
        <v>0.7690330882785511</v>
      </c>
      <c r="I274" s="143">
        <v>1954801</v>
      </c>
      <c r="J274" s="144">
        <v>1841815</v>
      </c>
      <c r="K274" s="581">
        <f t="shared" si="85"/>
        <v>0.94220076621610072</v>
      </c>
      <c r="L274" s="604"/>
      <c r="M274" s="505"/>
      <c r="N274" s="505"/>
      <c r="O274" s="506"/>
      <c r="P274" s="505"/>
      <c r="Q274" s="505"/>
      <c r="R274" s="506"/>
      <c r="S274" s="506"/>
      <c r="T274" s="506"/>
      <c r="U274" s="506"/>
      <c r="V274" s="83">
        <v>1841815</v>
      </c>
      <c r="W274" s="506">
        <f t="shared" si="86"/>
        <v>1841815</v>
      </c>
    </row>
    <row r="275" spans="1:23" x14ac:dyDescent="0.2">
      <c r="A275" s="79"/>
      <c r="B275" s="79"/>
      <c r="C275" s="107"/>
      <c r="D275" s="514">
        <v>4040</v>
      </c>
      <c r="E275" s="109" t="s">
        <v>213</v>
      </c>
      <c r="F275" s="251">
        <v>174949</v>
      </c>
      <c r="G275" s="83">
        <v>174947.77</v>
      </c>
      <c r="H275" s="84">
        <f t="shared" si="81"/>
        <v>0.99999296937964777</v>
      </c>
      <c r="I275" s="85">
        <v>174947.77</v>
      </c>
      <c r="J275" s="86">
        <v>166100</v>
      </c>
      <c r="K275" s="581">
        <f t="shared" si="85"/>
        <v>0.94941954512457916</v>
      </c>
      <c r="L275" s="513"/>
      <c r="M275" s="505"/>
      <c r="N275" s="505"/>
      <c r="O275" s="506"/>
      <c r="P275" s="505"/>
      <c r="Q275" s="505"/>
      <c r="R275" s="506"/>
      <c r="S275" s="506"/>
      <c r="T275" s="506"/>
      <c r="U275" s="506"/>
      <c r="V275" s="83">
        <v>166100</v>
      </c>
      <c r="W275" s="506">
        <f t="shared" si="86"/>
        <v>166100</v>
      </c>
    </row>
    <row r="276" spans="1:23" x14ac:dyDescent="0.2">
      <c r="A276" s="79"/>
      <c r="B276" s="79"/>
      <c r="C276" s="107"/>
      <c r="D276" s="514">
        <v>4110</v>
      </c>
      <c r="E276" s="109" t="s">
        <v>174</v>
      </c>
      <c r="F276" s="251">
        <v>384522</v>
      </c>
      <c r="G276" s="83">
        <v>296733.21000000002</v>
      </c>
      <c r="H276" s="84">
        <f t="shared" si="81"/>
        <v>0.77169371323357316</v>
      </c>
      <c r="I276" s="85">
        <v>384101.19</v>
      </c>
      <c r="J276" s="86">
        <v>357438</v>
      </c>
      <c r="K276" s="581">
        <f t="shared" si="85"/>
        <v>0.92956449826017762</v>
      </c>
      <c r="L276" s="513"/>
      <c r="M276" s="505"/>
      <c r="N276" s="505"/>
      <c r="O276" s="506"/>
      <c r="P276" s="505"/>
      <c r="Q276" s="505"/>
      <c r="R276" s="506"/>
      <c r="S276" s="506"/>
      <c r="T276" s="506"/>
      <c r="U276" s="506"/>
      <c r="V276" s="83">
        <v>357438</v>
      </c>
      <c r="W276" s="506">
        <f t="shared" si="86"/>
        <v>357438</v>
      </c>
    </row>
    <row r="277" spans="1:23" x14ac:dyDescent="0.2">
      <c r="A277" s="79"/>
      <c r="B277" s="79"/>
      <c r="C277" s="253"/>
      <c r="D277" s="516">
        <v>4120</v>
      </c>
      <c r="E277" s="160" t="s">
        <v>175</v>
      </c>
      <c r="F277" s="161">
        <v>50381</v>
      </c>
      <c r="G277" s="83">
        <v>38250.97</v>
      </c>
      <c r="H277" s="84">
        <f t="shared" si="81"/>
        <v>0.75923403664079714</v>
      </c>
      <c r="I277" s="85">
        <v>50381</v>
      </c>
      <c r="J277" s="86">
        <v>47490</v>
      </c>
      <c r="K277" s="581">
        <f t="shared" si="85"/>
        <v>0.9426172565054286</v>
      </c>
      <c r="L277" s="513"/>
      <c r="M277" s="505"/>
      <c r="N277" s="505"/>
      <c r="O277" s="506"/>
      <c r="P277" s="505"/>
      <c r="Q277" s="505"/>
      <c r="R277" s="506"/>
      <c r="S277" s="506"/>
      <c r="T277" s="506"/>
      <c r="U277" s="506"/>
      <c r="V277" s="83">
        <v>47490</v>
      </c>
      <c r="W277" s="506">
        <f t="shared" si="86"/>
        <v>47490</v>
      </c>
    </row>
    <row r="278" spans="1:23" x14ac:dyDescent="0.2">
      <c r="A278" s="79"/>
      <c r="B278" s="79"/>
      <c r="C278" s="303"/>
      <c r="D278" s="574">
        <v>4170</v>
      </c>
      <c r="E278" s="249" t="s">
        <v>184</v>
      </c>
      <c r="F278" s="530">
        <v>5616</v>
      </c>
      <c r="G278" s="141">
        <v>2808</v>
      </c>
      <c r="H278" s="142">
        <f t="shared" si="81"/>
        <v>0.5</v>
      </c>
      <c r="I278" s="143">
        <v>5616</v>
      </c>
      <c r="J278" s="144">
        <v>7116</v>
      </c>
      <c r="K278" s="611">
        <f t="shared" si="85"/>
        <v>1.267094017094017</v>
      </c>
      <c r="L278" s="513"/>
      <c r="M278" s="505"/>
      <c r="N278" s="505"/>
      <c r="O278" s="506"/>
      <c r="P278" s="505"/>
      <c r="Q278" s="505"/>
      <c r="R278" s="506"/>
      <c r="S278" s="506"/>
      <c r="T278" s="506"/>
      <c r="U278" s="506"/>
      <c r="V278" s="83">
        <v>7116</v>
      </c>
      <c r="W278" s="506">
        <f t="shared" si="86"/>
        <v>7116</v>
      </c>
    </row>
    <row r="279" spans="1:23" x14ac:dyDescent="0.2">
      <c r="A279" s="79"/>
      <c r="B279" s="79"/>
      <c r="C279" s="107"/>
      <c r="D279" s="514">
        <v>4210</v>
      </c>
      <c r="E279" s="109" t="s">
        <v>176</v>
      </c>
      <c r="F279" s="110">
        <v>67561</v>
      </c>
      <c r="G279" s="83">
        <v>43929.3</v>
      </c>
      <c r="H279" s="84">
        <f t="shared" si="81"/>
        <v>0.65021684107695277</v>
      </c>
      <c r="I279" s="85">
        <v>67547.16</v>
      </c>
      <c r="J279" s="86">
        <v>65721</v>
      </c>
      <c r="K279" s="581">
        <f t="shared" si="85"/>
        <v>0.97276535279229137</v>
      </c>
      <c r="L279" s="513"/>
      <c r="M279" s="505"/>
      <c r="N279" s="505"/>
      <c r="O279" s="506"/>
      <c r="P279" s="505"/>
      <c r="Q279" s="505"/>
      <c r="R279" s="506"/>
      <c r="S279" s="506"/>
      <c r="T279" s="506"/>
      <c r="U279" s="506"/>
      <c r="V279" s="83">
        <v>65721</v>
      </c>
      <c r="W279" s="506">
        <f t="shared" si="86"/>
        <v>65721</v>
      </c>
    </row>
    <row r="280" spans="1:23" ht="22.5" x14ac:dyDescent="0.2">
      <c r="A280" s="79"/>
      <c r="B280" s="79"/>
      <c r="C280" s="253"/>
      <c r="D280" s="516">
        <v>4230</v>
      </c>
      <c r="E280" s="160" t="s">
        <v>231</v>
      </c>
      <c r="F280" s="673">
        <v>300</v>
      </c>
      <c r="G280" s="83">
        <v>0</v>
      </c>
      <c r="H280" s="84">
        <f t="shared" si="81"/>
        <v>0</v>
      </c>
      <c r="I280" s="85">
        <v>300</v>
      </c>
      <c r="J280" s="86">
        <v>300</v>
      </c>
      <c r="K280" s="581">
        <f t="shared" si="85"/>
        <v>1</v>
      </c>
      <c r="L280" s="513"/>
      <c r="M280" s="505"/>
      <c r="N280" s="505"/>
      <c r="O280" s="506"/>
      <c r="P280" s="505"/>
      <c r="Q280" s="505"/>
      <c r="R280" s="506"/>
      <c r="S280" s="506"/>
      <c r="T280" s="506"/>
      <c r="U280" s="506"/>
      <c r="V280" s="83">
        <v>300</v>
      </c>
      <c r="W280" s="506">
        <f t="shared" si="86"/>
        <v>300</v>
      </c>
    </row>
    <row r="281" spans="1:23" ht="22.5" x14ac:dyDescent="0.2">
      <c r="A281" s="79"/>
      <c r="B281" s="79"/>
      <c r="C281" s="303"/>
      <c r="D281" s="574">
        <v>4240</v>
      </c>
      <c r="E281" s="249" t="s">
        <v>232</v>
      </c>
      <c r="F281" s="530">
        <v>3710</v>
      </c>
      <c r="G281" s="141">
        <v>2178.67</v>
      </c>
      <c r="H281" s="84">
        <f t="shared" si="81"/>
        <v>0.58724258760107817</v>
      </c>
      <c r="I281" s="143">
        <v>3656.74</v>
      </c>
      <c r="J281" s="144">
        <v>3710</v>
      </c>
      <c r="K281" s="581">
        <f t="shared" si="85"/>
        <v>1</v>
      </c>
      <c r="L281" s="604"/>
      <c r="M281" s="505"/>
      <c r="N281" s="505"/>
      <c r="O281" s="506"/>
      <c r="P281" s="505"/>
      <c r="Q281" s="505"/>
      <c r="R281" s="506"/>
      <c r="S281" s="506"/>
      <c r="T281" s="506"/>
      <c r="U281" s="506"/>
      <c r="V281" s="141">
        <v>3710</v>
      </c>
      <c r="W281" s="506">
        <f t="shared" si="86"/>
        <v>3710</v>
      </c>
    </row>
    <row r="282" spans="1:23" x14ac:dyDescent="0.2">
      <c r="A282" s="79"/>
      <c r="B282" s="79"/>
      <c r="C282" s="107"/>
      <c r="D282" s="514">
        <v>4260</v>
      </c>
      <c r="E282" s="109" t="s">
        <v>185</v>
      </c>
      <c r="F282" s="251">
        <v>180800</v>
      </c>
      <c r="G282" s="83">
        <v>91142.38</v>
      </c>
      <c r="H282" s="84">
        <f t="shared" si="81"/>
        <v>0.50410608407079649</v>
      </c>
      <c r="I282" s="85">
        <v>179674.03</v>
      </c>
      <c r="J282" s="86">
        <v>180800</v>
      </c>
      <c r="K282" s="581">
        <f t="shared" si="85"/>
        <v>1</v>
      </c>
      <c r="L282" s="513"/>
      <c r="M282" s="505"/>
      <c r="N282" s="505"/>
      <c r="O282" s="506"/>
      <c r="P282" s="505"/>
      <c r="Q282" s="505"/>
      <c r="R282" s="506"/>
      <c r="S282" s="506"/>
      <c r="T282" s="506"/>
      <c r="U282" s="506"/>
      <c r="V282" s="83">
        <v>180800</v>
      </c>
      <c r="W282" s="506">
        <f t="shared" si="86"/>
        <v>180800</v>
      </c>
    </row>
    <row r="283" spans="1:23" x14ac:dyDescent="0.2">
      <c r="A283" s="79"/>
      <c r="B283" s="79"/>
      <c r="C283" s="107"/>
      <c r="D283" s="514">
        <v>4270</v>
      </c>
      <c r="E283" s="109" t="s">
        <v>192</v>
      </c>
      <c r="F283" s="110">
        <v>5000</v>
      </c>
      <c r="G283" s="83">
        <v>1998.75</v>
      </c>
      <c r="H283" s="84">
        <f t="shared" si="81"/>
        <v>0.39974999999999999</v>
      </c>
      <c r="I283" s="85">
        <v>4998.75</v>
      </c>
      <c r="J283" s="86">
        <v>13000</v>
      </c>
      <c r="K283" s="581">
        <f t="shared" si="85"/>
        <v>2.6</v>
      </c>
      <c r="L283" s="513"/>
      <c r="M283" s="505"/>
      <c r="N283" s="505"/>
      <c r="O283" s="506"/>
      <c r="P283" s="505"/>
      <c r="Q283" s="505"/>
      <c r="R283" s="506"/>
      <c r="S283" s="506"/>
      <c r="T283" s="506"/>
      <c r="U283" s="506"/>
      <c r="V283" s="83">
        <v>13000</v>
      </c>
      <c r="W283" s="506">
        <f t="shared" si="86"/>
        <v>13000</v>
      </c>
    </row>
    <row r="284" spans="1:23" x14ac:dyDescent="0.2">
      <c r="A284" s="79"/>
      <c r="B284" s="79"/>
      <c r="C284" s="253"/>
      <c r="D284" s="516">
        <v>4280</v>
      </c>
      <c r="E284" s="160" t="s">
        <v>233</v>
      </c>
      <c r="F284" s="634">
        <v>8810</v>
      </c>
      <c r="G284" s="83">
        <v>5056</v>
      </c>
      <c r="H284" s="84">
        <f t="shared" si="81"/>
        <v>0.57389330306469921</v>
      </c>
      <c r="I284" s="85">
        <v>8800</v>
      </c>
      <c r="J284" s="86">
        <v>6140</v>
      </c>
      <c r="K284" s="581">
        <f t="shared" si="85"/>
        <v>0.69693530079455168</v>
      </c>
      <c r="L284" s="513"/>
      <c r="M284" s="505"/>
      <c r="N284" s="505"/>
      <c r="O284" s="506"/>
      <c r="P284" s="505"/>
      <c r="Q284" s="505"/>
      <c r="R284" s="506"/>
      <c r="S284" s="506"/>
      <c r="T284" s="506"/>
      <c r="U284" s="506"/>
      <c r="V284" s="83">
        <v>6140</v>
      </c>
      <c r="W284" s="506">
        <f t="shared" si="86"/>
        <v>6140</v>
      </c>
    </row>
    <row r="285" spans="1:23" x14ac:dyDescent="0.2">
      <c r="A285" s="79"/>
      <c r="B285" s="79"/>
      <c r="C285" s="303"/>
      <c r="D285" s="574">
        <v>4300</v>
      </c>
      <c r="E285" s="249" t="s">
        <v>177</v>
      </c>
      <c r="F285" s="573">
        <v>45160</v>
      </c>
      <c r="G285" s="141">
        <v>27788.02</v>
      </c>
      <c r="H285" s="84">
        <f t="shared" si="81"/>
        <v>0.61532373782108063</v>
      </c>
      <c r="I285" s="143">
        <v>44874.84</v>
      </c>
      <c r="J285" s="144">
        <v>45160</v>
      </c>
      <c r="K285" s="581">
        <f t="shared" si="85"/>
        <v>1</v>
      </c>
      <c r="L285" s="604"/>
      <c r="M285" s="505"/>
      <c r="N285" s="505"/>
      <c r="O285" s="506"/>
      <c r="P285" s="505"/>
      <c r="Q285" s="505"/>
      <c r="R285" s="506"/>
      <c r="S285" s="506"/>
      <c r="T285" s="506"/>
      <c r="U285" s="506"/>
      <c r="V285" s="141">
        <v>45160</v>
      </c>
      <c r="W285" s="506">
        <f t="shared" si="86"/>
        <v>45160</v>
      </c>
    </row>
    <row r="286" spans="1:23" x14ac:dyDescent="0.2">
      <c r="A286" s="79"/>
      <c r="B286" s="79"/>
      <c r="C286" s="253"/>
      <c r="D286" s="516">
        <v>4350</v>
      </c>
      <c r="E286" s="160" t="s">
        <v>235</v>
      </c>
      <c r="F286" s="704">
        <v>2690</v>
      </c>
      <c r="G286" s="83">
        <v>1856.98</v>
      </c>
      <c r="H286" s="84">
        <f t="shared" si="81"/>
        <v>0.69032713754646846</v>
      </c>
      <c r="I286" s="85">
        <v>2474.2399999999998</v>
      </c>
      <c r="J286" s="86">
        <v>2930</v>
      </c>
      <c r="K286" s="581">
        <f t="shared" si="85"/>
        <v>1.0892193308550187</v>
      </c>
      <c r="L286" s="513"/>
      <c r="M286" s="505"/>
      <c r="N286" s="505"/>
      <c r="O286" s="506"/>
      <c r="P286" s="505"/>
      <c r="Q286" s="505"/>
      <c r="R286" s="506"/>
      <c r="S286" s="506"/>
      <c r="T286" s="506"/>
      <c r="U286" s="506"/>
      <c r="V286" s="83">
        <v>2930</v>
      </c>
      <c r="W286" s="506">
        <f t="shared" si="86"/>
        <v>2930</v>
      </c>
    </row>
    <row r="287" spans="1:23" ht="33.75" x14ac:dyDescent="0.2">
      <c r="A287" s="79"/>
      <c r="B287" s="79"/>
      <c r="C287" s="427"/>
      <c r="D287" s="609">
        <v>4370</v>
      </c>
      <c r="E287" s="166" t="s">
        <v>271</v>
      </c>
      <c r="F287" s="348">
        <v>4720</v>
      </c>
      <c r="G287" s="83">
        <v>3096.39</v>
      </c>
      <c r="H287" s="84">
        <f t="shared" si="81"/>
        <v>0.65601483050847453</v>
      </c>
      <c r="I287" s="85">
        <v>4568.1899999999996</v>
      </c>
      <c r="J287" s="86">
        <v>4720</v>
      </c>
      <c r="K287" s="581">
        <f t="shared" si="85"/>
        <v>1</v>
      </c>
      <c r="L287" s="604"/>
      <c r="M287" s="505"/>
      <c r="N287" s="505"/>
      <c r="O287" s="506"/>
      <c r="P287" s="505"/>
      <c r="Q287" s="505"/>
      <c r="R287" s="506"/>
      <c r="S287" s="506"/>
      <c r="T287" s="506"/>
      <c r="U287" s="506"/>
      <c r="V287" s="83">
        <v>4720</v>
      </c>
      <c r="W287" s="506">
        <f t="shared" si="86"/>
        <v>4720</v>
      </c>
    </row>
    <row r="288" spans="1:23" x14ac:dyDescent="0.2">
      <c r="A288" s="79"/>
      <c r="B288" s="79"/>
      <c r="C288" s="303"/>
      <c r="D288" s="574">
        <v>4410</v>
      </c>
      <c r="E288" s="249" t="s">
        <v>179</v>
      </c>
      <c r="F288" s="530">
        <v>4000</v>
      </c>
      <c r="G288" s="141">
        <v>2223.66</v>
      </c>
      <c r="H288" s="84">
        <f t="shared" si="81"/>
        <v>0.55591499999999994</v>
      </c>
      <c r="I288" s="143">
        <v>3967.55</v>
      </c>
      <c r="J288" s="144">
        <v>4000</v>
      </c>
      <c r="K288" s="581">
        <f t="shared" si="85"/>
        <v>1</v>
      </c>
      <c r="L288" s="513"/>
      <c r="M288" s="505"/>
      <c r="N288" s="505"/>
      <c r="O288" s="506"/>
      <c r="P288" s="505"/>
      <c r="Q288" s="505"/>
      <c r="R288" s="506"/>
      <c r="S288" s="506"/>
      <c r="T288" s="506"/>
      <c r="U288" s="506"/>
      <c r="V288" s="141">
        <v>4000</v>
      </c>
      <c r="W288" s="506">
        <f t="shared" si="86"/>
        <v>4000</v>
      </c>
    </row>
    <row r="289" spans="1:23" x14ac:dyDescent="0.2">
      <c r="A289" s="79"/>
      <c r="B289" s="79"/>
      <c r="C289" s="107"/>
      <c r="D289" s="514">
        <v>4430</v>
      </c>
      <c r="E289" s="109" t="s">
        <v>180</v>
      </c>
      <c r="F289" s="179">
        <v>1840</v>
      </c>
      <c r="G289" s="83">
        <v>1837.99</v>
      </c>
      <c r="H289" s="84">
        <f t="shared" si="81"/>
        <v>0.9989076086956522</v>
      </c>
      <c r="I289" s="85">
        <v>1837.99</v>
      </c>
      <c r="J289" s="86">
        <v>1900</v>
      </c>
      <c r="K289" s="581">
        <f t="shared" si="85"/>
        <v>1.0326086956521738</v>
      </c>
      <c r="L289" s="513"/>
      <c r="M289" s="505"/>
      <c r="N289" s="505"/>
      <c r="O289" s="506"/>
      <c r="P289" s="505"/>
      <c r="Q289" s="505"/>
      <c r="R289" s="506"/>
      <c r="S289" s="506"/>
      <c r="T289" s="506"/>
      <c r="U289" s="506"/>
      <c r="V289" s="83">
        <v>1900</v>
      </c>
      <c r="W289" s="506">
        <f t="shared" si="86"/>
        <v>1900</v>
      </c>
    </row>
    <row r="290" spans="1:23" ht="22.5" x14ac:dyDescent="0.2">
      <c r="A290" s="79"/>
      <c r="B290" s="79"/>
      <c r="C290" s="107"/>
      <c r="D290" s="514">
        <v>4440</v>
      </c>
      <c r="E290" s="160" t="s">
        <v>242</v>
      </c>
      <c r="F290" s="185">
        <v>122697</v>
      </c>
      <c r="G290" s="83">
        <v>122697</v>
      </c>
      <c r="H290" s="84">
        <f t="shared" si="81"/>
        <v>1</v>
      </c>
      <c r="I290" s="85">
        <v>122697</v>
      </c>
      <c r="J290" s="86">
        <v>111604</v>
      </c>
      <c r="K290" s="1090">
        <f t="shared" si="85"/>
        <v>0.90959029153117033</v>
      </c>
      <c r="L290" s="636"/>
      <c r="M290" s="505"/>
      <c r="N290" s="505"/>
      <c r="O290" s="506"/>
      <c r="P290" s="505"/>
      <c r="Q290" s="505"/>
      <c r="R290" s="506"/>
      <c r="S290" s="506"/>
      <c r="T290" s="506"/>
      <c r="U290" s="506"/>
      <c r="V290" s="83">
        <v>111604</v>
      </c>
      <c r="W290" s="506">
        <f t="shared" si="86"/>
        <v>111604</v>
      </c>
    </row>
    <row r="291" spans="1:23" x14ac:dyDescent="0.2">
      <c r="A291" s="79"/>
      <c r="B291" s="748">
        <v>80113</v>
      </c>
      <c r="C291" s="71"/>
      <c r="D291" s="71"/>
      <c r="E291" s="104" t="s">
        <v>286</v>
      </c>
      <c r="F291" s="308">
        <f>SUM(F292:F294)</f>
        <v>795000</v>
      </c>
      <c r="G291" s="308">
        <f>SUM(G292:G294)</f>
        <v>483779.44</v>
      </c>
      <c r="H291" s="746">
        <f t="shared" si="81"/>
        <v>0.60852759748427676</v>
      </c>
      <c r="I291" s="156">
        <f>SUM(I292:I294)</f>
        <v>795000</v>
      </c>
      <c r="J291" s="157">
        <f>SUM(J292:J294)</f>
        <v>854000</v>
      </c>
      <c r="K291" s="1076">
        <f>J291/F291</f>
        <v>1.0742138364779874</v>
      </c>
      <c r="L291" s="1088"/>
      <c r="M291" s="572">
        <f t="shared" ref="M291:V291" si="87">SUM(M292:M294)</f>
        <v>0</v>
      </c>
      <c r="N291" s="572">
        <f t="shared" si="87"/>
        <v>0</v>
      </c>
      <c r="O291" s="572">
        <f t="shared" si="87"/>
        <v>0</v>
      </c>
      <c r="P291" s="572">
        <f t="shared" si="87"/>
        <v>0</v>
      </c>
      <c r="Q291" s="572">
        <f t="shared" si="87"/>
        <v>0</v>
      </c>
      <c r="R291" s="572">
        <f t="shared" si="87"/>
        <v>0</v>
      </c>
      <c r="S291" s="572">
        <f t="shared" si="87"/>
        <v>0</v>
      </c>
      <c r="T291" s="572">
        <f t="shared" si="87"/>
        <v>0</v>
      </c>
      <c r="U291" s="572">
        <f t="shared" si="87"/>
        <v>0</v>
      </c>
      <c r="V291" s="572">
        <f t="shared" si="87"/>
        <v>854000</v>
      </c>
      <c r="W291" s="572">
        <f>SUM(M291:V291)</f>
        <v>854000</v>
      </c>
    </row>
    <row r="292" spans="1:23" x14ac:dyDescent="0.2">
      <c r="A292" s="79"/>
      <c r="B292" s="318"/>
      <c r="C292" s="749"/>
      <c r="D292" s="514">
        <v>4170</v>
      </c>
      <c r="E292" s="109" t="s">
        <v>184</v>
      </c>
      <c r="F292" s="62">
        <v>0</v>
      </c>
      <c r="G292" s="321">
        <v>0</v>
      </c>
      <c r="H292" s="711"/>
      <c r="I292" s="750">
        <v>0</v>
      </c>
      <c r="J292" s="751">
        <v>1000</v>
      </c>
      <c r="K292" s="1091">
        <v>0</v>
      </c>
      <c r="L292" s="527"/>
      <c r="M292" s="505"/>
      <c r="N292" s="505"/>
      <c r="O292" s="506"/>
      <c r="P292" s="505"/>
      <c r="Q292" s="505"/>
      <c r="R292" s="506"/>
      <c r="S292" s="506"/>
      <c r="T292" s="506"/>
      <c r="U292" s="506"/>
      <c r="V292" s="753">
        <v>1000</v>
      </c>
      <c r="W292" s="506">
        <f>SUM(M292:V292)</f>
        <v>1000</v>
      </c>
    </row>
    <row r="293" spans="1:23" x14ac:dyDescent="0.2">
      <c r="A293" s="79"/>
      <c r="B293" s="754"/>
      <c r="C293" s="755"/>
      <c r="D293" s="514">
        <v>4210</v>
      </c>
      <c r="E293" s="109" t="s">
        <v>176</v>
      </c>
      <c r="F293" s="62">
        <v>0</v>
      </c>
      <c r="G293" s="321">
        <v>0</v>
      </c>
      <c r="H293" s="711"/>
      <c r="I293" s="524">
        <v>0</v>
      </c>
      <c r="J293" s="525">
        <v>3000</v>
      </c>
      <c r="K293" s="1092">
        <v>0</v>
      </c>
      <c r="L293" s="527"/>
      <c r="M293" s="505"/>
      <c r="N293" s="505"/>
      <c r="O293" s="506"/>
      <c r="P293" s="505"/>
      <c r="Q293" s="505"/>
      <c r="R293" s="506"/>
      <c r="S293" s="506"/>
      <c r="T293" s="506"/>
      <c r="U293" s="506"/>
      <c r="V293" s="528">
        <v>3000</v>
      </c>
      <c r="W293" s="506">
        <f t="shared" ref="W293:W294" si="88">SUM(M293:V293)</f>
        <v>3000</v>
      </c>
    </row>
    <row r="294" spans="1:23" x14ac:dyDescent="0.2">
      <c r="A294" s="79"/>
      <c r="B294" s="79"/>
      <c r="C294" s="107"/>
      <c r="D294" s="514">
        <v>4300</v>
      </c>
      <c r="E294" s="109" t="s">
        <v>177</v>
      </c>
      <c r="F294" s="251">
        <v>795000</v>
      </c>
      <c r="G294" s="83">
        <v>483779.44</v>
      </c>
      <c r="H294" s="84">
        <f t="shared" si="81"/>
        <v>0.60852759748427676</v>
      </c>
      <c r="I294" s="85">
        <v>795000</v>
      </c>
      <c r="J294" s="86">
        <v>850000</v>
      </c>
      <c r="K294" s="1093">
        <f t="shared" si="85"/>
        <v>1.0691823899371069</v>
      </c>
      <c r="L294" s="513"/>
      <c r="M294" s="505"/>
      <c r="N294" s="505"/>
      <c r="O294" s="506"/>
      <c r="P294" s="505"/>
      <c r="Q294" s="505"/>
      <c r="R294" s="506"/>
      <c r="S294" s="506"/>
      <c r="T294" s="506"/>
      <c r="U294" s="506"/>
      <c r="V294" s="83">
        <v>850000</v>
      </c>
      <c r="W294" s="506">
        <f t="shared" si="88"/>
        <v>850000</v>
      </c>
    </row>
    <row r="295" spans="1:23" ht="22.5" x14ac:dyDescent="0.2">
      <c r="A295" s="79"/>
      <c r="B295" s="310">
        <v>80114</v>
      </c>
      <c r="C295" s="311"/>
      <c r="D295" s="312"/>
      <c r="E295" s="313" t="s">
        <v>287</v>
      </c>
      <c r="F295" s="399">
        <f>SUM(F296:F310)</f>
        <v>596843</v>
      </c>
      <c r="G295" s="388">
        <f>SUM(G296:G310)</f>
        <v>431799.79000000004</v>
      </c>
      <c r="H295" s="223">
        <f t="shared" si="81"/>
        <v>0.72347299038440605</v>
      </c>
      <c r="I295" s="388">
        <f>SUM(I296:I310)</f>
        <v>594164.30000000005</v>
      </c>
      <c r="J295" s="389">
        <f>SUM(J296:J310)</f>
        <v>616411</v>
      </c>
      <c r="K295" s="1086">
        <f>J295/F295</f>
        <v>1.0327858415027067</v>
      </c>
      <c r="L295" s="1089"/>
      <c r="M295" s="617">
        <f t="shared" ref="M295:V295" si="89">SUM(M296:M310)</f>
        <v>0</v>
      </c>
      <c r="N295" s="617">
        <f t="shared" si="89"/>
        <v>0</v>
      </c>
      <c r="O295" s="617">
        <f t="shared" si="89"/>
        <v>0</v>
      </c>
      <c r="P295" s="617">
        <f t="shared" si="89"/>
        <v>0</v>
      </c>
      <c r="Q295" s="617">
        <f t="shared" si="89"/>
        <v>0</v>
      </c>
      <c r="R295" s="617">
        <f t="shared" si="89"/>
        <v>0</v>
      </c>
      <c r="S295" s="617">
        <f t="shared" si="89"/>
        <v>0</v>
      </c>
      <c r="T295" s="617">
        <f t="shared" si="89"/>
        <v>0</v>
      </c>
      <c r="U295" s="617">
        <f t="shared" si="89"/>
        <v>0</v>
      </c>
      <c r="V295" s="617">
        <f t="shared" si="89"/>
        <v>616411</v>
      </c>
      <c r="W295" s="617">
        <f>SUM(M295:V295)</f>
        <v>616411</v>
      </c>
    </row>
    <row r="296" spans="1:23" ht="22.5" x14ac:dyDescent="0.2">
      <c r="A296" s="79"/>
      <c r="B296" s="79"/>
      <c r="C296" s="303"/>
      <c r="D296" s="574">
        <v>3020</v>
      </c>
      <c r="E296" s="249" t="s">
        <v>219</v>
      </c>
      <c r="F296" s="530">
        <v>1200</v>
      </c>
      <c r="G296" s="141">
        <v>1181.08</v>
      </c>
      <c r="H296" s="142">
        <f t="shared" si="81"/>
        <v>0.98423333333333329</v>
      </c>
      <c r="I296" s="143">
        <v>1181.08</v>
      </c>
      <c r="J296" s="144">
        <v>1260</v>
      </c>
      <c r="K296" s="1094">
        <f t="shared" si="85"/>
        <v>1.05</v>
      </c>
      <c r="L296" s="604"/>
      <c r="M296" s="505"/>
      <c r="N296" s="505"/>
      <c r="O296" s="506"/>
      <c r="P296" s="505"/>
      <c r="Q296" s="505"/>
      <c r="R296" s="506"/>
      <c r="S296" s="506"/>
      <c r="T296" s="506"/>
      <c r="U296" s="506"/>
      <c r="V296" s="141">
        <v>1260</v>
      </c>
      <c r="W296" s="506">
        <f>SUM(M296:V296)</f>
        <v>1260</v>
      </c>
    </row>
    <row r="297" spans="1:23" x14ac:dyDescent="0.2">
      <c r="A297" s="79"/>
      <c r="B297" s="79"/>
      <c r="C297" s="107"/>
      <c r="D297" s="514">
        <v>4010</v>
      </c>
      <c r="E297" s="109" t="s">
        <v>173</v>
      </c>
      <c r="F297" s="251">
        <v>416031</v>
      </c>
      <c r="G297" s="83">
        <v>300115.83</v>
      </c>
      <c r="H297" s="142">
        <f t="shared" si="81"/>
        <v>0.72137852708091466</v>
      </c>
      <c r="I297" s="85">
        <v>414968.77</v>
      </c>
      <c r="J297" s="86">
        <v>428274</v>
      </c>
      <c r="K297" s="1094">
        <f t="shared" si="85"/>
        <v>1.0294280955024986</v>
      </c>
      <c r="L297" s="513"/>
      <c r="M297" s="505"/>
      <c r="N297" s="505"/>
      <c r="O297" s="506"/>
      <c r="P297" s="505"/>
      <c r="Q297" s="505"/>
      <c r="R297" s="506"/>
      <c r="S297" s="506"/>
      <c r="T297" s="506"/>
      <c r="U297" s="506"/>
      <c r="V297" s="83">
        <v>428274</v>
      </c>
      <c r="W297" s="506">
        <f t="shared" ref="W297:W310" si="90">SUM(M297:V297)</f>
        <v>428274</v>
      </c>
    </row>
    <row r="298" spans="1:23" x14ac:dyDescent="0.2">
      <c r="A298" s="79"/>
      <c r="B298" s="79"/>
      <c r="C298" s="107"/>
      <c r="D298" s="514">
        <v>4040</v>
      </c>
      <c r="E298" s="109" t="s">
        <v>213</v>
      </c>
      <c r="F298" s="110">
        <v>31581</v>
      </c>
      <c r="G298" s="83">
        <v>31580.14</v>
      </c>
      <c r="H298" s="142">
        <f t="shared" si="81"/>
        <v>0.99997276843671823</v>
      </c>
      <c r="I298" s="85">
        <v>31580.14</v>
      </c>
      <c r="J298" s="86">
        <v>32500</v>
      </c>
      <c r="K298" s="1094">
        <f t="shared" si="85"/>
        <v>1.0290997751812798</v>
      </c>
      <c r="L298" s="513"/>
      <c r="M298" s="505"/>
      <c r="N298" s="505"/>
      <c r="O298" s="506"/>
      <c r="P298" s="505"/>
      <c r="Q298" s="505"/>
      <c r="R298" s="506"/>
      <c r="S298" s="506"/>
      <c r="T298" s="506"/>
      <c r="U298" s="506"/>
      <c r="V298" s="83">
        <v>32500</v>
      </c>
      <c r="W298" s="506">
        <f t="shared" si="90"/>
        <v>32500</v>
      </c>
    </row>
    <row r="299" spans="1:23" x14ac:dyDescent="0.2">
      <c r="A299" s="79"/>
      <c r="B299" s="79"/>
      <c r="C299" s="107"/>
      <c r="D299" s="514">
        <v>4110</v>
      </c>
      <c r="E299" s="109" t="s">
        <v>174</v>
      </c>
      <c r="F299" s="110">
        <v>73310</v>
      </c>
      <c r="G299" s="83">
        <v>48901.96</v>
      </c>
      <c r="H299" s="142">
        <f t="shared" si="81"/>
        <v>0.66705715454917469</v>
      </c>
      <c r="I299" s="85">
        <v>72959.55</v>
      </c>
      <c r="J299" s="86">
        <v>77404</v>
      </c>
      <c r="K299" s="1094">
        <f t="shared" si="85"/>
        <v>1.0558450416041467</v>
      </c>
      <c r="L299" s="513"/>
      <c r="M299" s="505"/>
      <c r="N299" s="505"/>
      <c r="O299" s="506"/>
      <c r="P299" s="505"/>
      <c r="Q299" s="505"/>
      <c r="R299" s="506"/>
      <c r="S299" s="506"/>
      <c r="T299" s="506"/>
      <c r="U299" s="506"/>
      <c r="V299" s="83">
        <v>77404</v>
      </c>
      <c r="W299" s="506">
        <f t="shared" si="90"/>
        <v>77404</v>
      </c>
    </row>
    <row r="300" spans="1:23" x14ac:dyDescent="0.2">
      <c r="A300" s="79"/>
      <c r="B300" s="79"/>
      <c r="C300" s="253"/>
      <c r="D300" s="516">
        <v>4120</v>
      </c>
      <c r="E300" s="160" t="s">
        <v>175</v>
      </c>
      <c r="F300" s="161">
        <v>7787</v>
      </c>
      <c r="G300" s="83">
        <v>4231.16</v>
      </c>
      <c r="H300" s="142">
        <f t="shared" si="81"/>
        <v>0.54336201361243097</v>
      </c>
      <c r="I300" s="85">
        <v>7712.81</v>
      </c>
      <c r="J300" s="86">
        <v>7509</v>
      </c>
      <c r="K300" s="1109">
        <f t="shared" si="85"/>
        <v>0.9642994734814434</v>
      </c>
      <c r="L300" s="513"/>
      <c r="M300" s="505"/>
      <c r="N300" s="505"/>
      <c r="O300" s="506"/>
      <c r="P300" s="505"/>
      <c r="Q300" s="505"/>
      <c r="R300" s="506"/>
      <c r="S300" s="506"/>
      <c r="T300" s="506"/>
      <c r="U300" s="506"/>
      <c r="V300" s="83">
        <v>7509</v>
      </c>
      <c r="W300" s="506">
        <f t="shared" si="90"/>
        <v>7509</v>
      </c>
    </row>
    <row r="301" spans="1:23" x14ac:dyDescent="0.2">
      <c r="A301" s="79"/>
      <c r="B301" s="79"/>
      <c r="C301" s="303"/>
      <c r="D301" s="574">
        <v>4170</v>
      </c>
      <c r="E301" s="249" t="s">
        <v>184</v>
      </c>
      <c r="F301" s="530">
        <v>9000</v>
      </c>
      <c r="G301" s="141">
        <v>6587</v>
      </c>
      <c r="H301" s="142">
        <f t="shared" si="81"/>
        <v>0.73188888888888892</v>
      </c>
      <c r="I301" s="143">
        <v>8859</v>
      </c>
      <c r="J301" s="144">
        <v>9000</v>
      </c>
      <c r="K301" s="1094">
        <f t="shared" si="85"/>
        <v>1</v>
      </c>
      <c r="L301" s="604"/>
      <c r="M301" s="505"/>
      <c r="N301" s="505"/>
      <c r="O301" s="506"/>
      <c r="P301" s="505"/>
      <c r="Q301" s="505"/>
      <c r="R301" s="506"/>
      <c r="S301" s="506"/>
      <c r="T301" s="506"/>
      <c r="U301" s="506"/>
      <c r="V301" s="141">
        <v>9000</v>
      </c>
      <c r="W301" s="506">
        <f t="shared" si="90"/>
        <v>9000</v>
      </c>
    </row>
    <row r="302" spans="1:23" x14ac:dyDescent="0.2">
      <c r="A302" s="79"/>
      <c r="B302" s="79"/>
      <c r="C302" s="107"/>
      <c r="D302" s="514">
        <v>4210</v>
      </c>
      <c r="E302" s="109" t="s">
        <v>176</v>
      </c>
      <c r="F302" s="110">
        <v>12000</v>
      </c>
      <c r="G302" s="83">
        <v>6298.72</v>
      </c>
      <c r="H302" s="142">
        <f t="shared" si="81"/>
        <v>0.52489333333333332</v>
      </c>
      <c r="I302" s="85">
        <v>11930.59</v>
      </c>
      <c r="J302" s="86">
        <v>14500</v>
      </c>
      <c r="K302" s="1094">
        <f t="shared" si="85"/>
        <v>1.2083333333333333</v>
      </c>
      <c r="L302" s="513"/>
      <c r="M302" s="505"/>
      <c r="N302" s="505"/>
      <c r="O302" s="506"/>
      <c r="P302" s="505"/>
      <c r="Q302" s="505"/>
      <c r="R302" s="506"/>
      <c r="S302" s="506"/>
      <c r="T302" s="506"/>
      <c r="U302" s="506"/>
      <c r="V302" s="83">
        <v>14500</v>
      </c>
      <c r="W302" s="506">
        <f t="shared" si="90"/>
        <v>14500</v>
      </c>
    </row>
    <row r="303" spans="1:23" x14ac:dyDescent="0.2">
      <c r="A303" s="79"/>
      <c r="B303" s="79"/>
      <c r="C303" s="107"/>
      <c r="D303" s="514">
        <v>4260</v>
      </c>
      <c r="E303" s="109" t="s">
        <v>185</v>
      </c>
      <c r="F303" s="179">
        <v>4400</v>
      </c>
      <c r="G303" s="83">
        <v>1995.29</v>
      </c>
      <c r="H303" s="142">
        <f t="shared" si="81"/>
        <v>0.45347500000000002</v>
      </c>
      <c r="I303" s="85">
        <v>4340.82</v>
      </c>
      <c r="J303" s="86">
        <v>4400</v>
      </c>
      <c r="K303" s="1094">
        <f t="shared" si="85"/>
        <v>1</v>
      </c>
      <c r="L303" s="513"/>
      <c r="M303" s="505"/>
      <c r="N303" s="505"/>
      <c r="O303" s="506"/>
      <c r="P303" s="505"/>
      <c r="Q303" s="505"/>
      <c r="R303" s="506"/>
      <c r="S303" s="506"/>
      <c r="T303" s="506"/>
      <c r="U303" s="506"/>
      <c r="V303" s="83">
        <v>4400</v>
      </c>
      <c r="W303" s="506">
        <f t="shared" si="90"/>
        <v>4400</v>
      </c>
    </row>
    <row r="304" spans="1:23" x14ac:dyDescent="0.2">
      <c r="A304" s="79"/>
      <c r="B304" s="79"/>
      <c r="C304" s="107"/>
      <c r="D304" s="514">
        <v>4280</v>
      </c>
      <c r="E304" s="109" t="s">
        <v>233</v>
      </c>
      <c r="F304" s="191">
        <v>100</v>
      </c>
      <c r="G304" s="83">
        <v>100</v>
      </c>
      <c r="H304" s="142">
        <f t="shared" si="81"/>
        <v>1</v>
      </c>
      <c r="I304" s="85">
        <v>100</v>
      </c>
      <c r="J304" s="86">
        <v>300</v>
      </c>
      <c r="K304" s="1094">
        <f t="shared" si="85"/>
        <v>3</v>
      </c>
      <c r="L304" s="513"/>
      <c r="M304" s="505"/>
      <c r="N304" s="505"/>
      <c r="O304" s="506"/>
      <c r="P304" s="505"/>
      <c r="Q304" s="505"/>
      <c r="R304" s="506"/>
      <c r="S304" s="506"/>
      <c r="T304" s="506"/>
      <c r="U304" s="506"/>
      <c r="V304" s="83">
        <v>300</v>
      </c>
      <c r="W304" s="506">
        <f t="shared" si="90"/>
        <v>300</v>
      </c>
    </row>
    <row r="305" spans="1:23" x14ac:dyDescent="0.2">
      <c r="A305" s="79"/>
      <c r="B305" s="79"/>
      <c r="C305" s="107"/>
      <c r="D305" s="514">
        <v>4300</v>
      </c>
      <c r="E305" s="109" t="s">
        <v>177</v>
      </c>
      <c r="F305" s="110">
        <v>21700</v>
      </c>
      <c r="G305" s="83">
        <v>14319.63</v>
      </c>
      <c r="H305" s="142">
        <f t="shared" si="81"/>
        <v>0.65989078341013818</v>
      </c>
      <c r="I305" s="85">
        <v>21542.53</v>
      </c>
      <c r="J305" s="86">
        <v>21700</v>
      </c>
      <c r="K305" s="1094">
        <f t="shared" si="85"/>
        <v>1</v>
      </c>
      <c r="L305" s="513"/>
      <c r="M305" s="505"/>
      <c r="N305" s="505"/>
      <c r="O305" s="506"/>
      <c r="P305" s="505"/>
      <c r="Q305" s="505"/>
      <c r="R305" s="506"/>
      <c r="S305" s="506"/>
      <c r="T305" s="506"/>
      <c r="U305" s="506"/>
      <c r="V305" s="83">
        <v>21700</v>
      </c>
      <c r="W305" s="506">
        <f t="shared" si="90"/>
        <v>21700</v>
      </c>
    </row>
    <row r="306" spans="1:23" x14ac:dyDescent="0.2">
      <c r="A306" s="79"/>
      <c r="B306" s="79"/>
      <c r="C306" s="253"/>
      <c r="D306" s="516">
        <v>4350</v>
      </c>
      <c r="E306" s="160" t="s">
        <v>235</v>
      </c>
      <c r="F306" s="634">
        <v>2870</v>
      </c>
      <c r="G306" s="83">
        <v>1987.2</v>
      </c>
      <c r="H306" s="142">
        <f t="shared" si="81"/>
        <v>0.69240418118466895</v>
      </c>
      <c r="I306" s="85">
        <v>2445.6</v>
      </c>
      <c r="J306" s="86">
        <v>2500</v>
      </c>
      <c r="K306" s="1109">
        <f t="shared" si="85"/>
        <v>0.87108013937282225</v>
      </c>
      <c r="L306" s="513"/>
      <c r="M306" s="505"/>
      <c r="N306" s="505"/>
      <c r="O306" s="506"/>
      <c r="P306" s="505"/>
      <c r="Q306" s="505"/>
      <c r="R306" s="506"/>
      <c r="S306" s="506"/>
      <c r="T306" s="506"/>
      <c r="U306" s="506"/>
      <c r="V306" s="83">
        <v>2500</v>
      </c>
      <c r="W306" s="506">
        <f t="shared" si="90"/>
        <v>2500</v>
      </c>
    </row>
    <row r="307" spans="1:23" ht="33.75" x14ac:dyDescent="0.2">
      <c r="A307" s="79"/>
      <c r="B307" s="79"/>
      <c r="C307" s="79"/>
      <c r="D307" s="616">
        <v>4370</v>
      </c>
      <c r="E307" s="169" t="s">
        <v>271</v>
      </c>
      <c r="F307" s="170">
        <v>1950</v>
      </c>
      <c r="G307" s="141">
        <v>1294.56</v>
      </c>
      <c r="H307" s="142">
        <f t="shared" si="81"/>
        <v>0.66387692307692303</v>
      </c>
      <c r="I307" s="143">
        <v>1893.77</v>
      </c>
      <c r="J307" s="144">
        <v>2150</v>
      </c>
      <c r="K307" s="1094">
        <f t="shared" si="85"/>
        <v>1.1025641025641026</v>
      </c>
      <c r="L307" s="513"/>
      <c r="M307" s="505"/>
      <c r="N307" s="505"/>
      <c r="O307" s="506"/>
      <c r="P307" s="505"/>
      <c r="Q307" s="505"/>
      <c r="R307" s="506"/>
      <c r="S307" s="506"/>
      <c r="T307" s="506"/>
      <c r="U307" s="506"/>
      <c r="V307" s="83">
        <v>2150</v>
      </c>
      <c r="W307" s="506">
        <f>SUM(M307:V307)</f>
        <v>2150</v>
      </c>
    </row>
    <row r="308" spans="1:23" x14ac:dyDescent="0.2">
      <c r="A308" s="79"/>
      <c r="B308" s="79"/>
      <c r="C308" s="107"/>
      <c r="D308" s="514">
        <v>4410</v>
      </c>
      <c r="E308" s="109" t="s">
        <v>179</v>
      </c>
      <c r="F308" s="179">
        <v>3500</v>
      </c>
      <c r="G308" s="83">
        <v>2367.7600000000002</v>
      </c>
      <c r="H308" s="142">
        <f t="shared" si="81"/>
        <v>0.67650285714285718</v>
      </c>
      <c r="I308" s="85">
        <v>3460.18</v>
      </c>
      <c r="J308" s="86">
        <v>3500</v>
      </c>
      <c r="K308" s="1094">
        <f t="shared" si="85"/>
        <v>1</v>
      </c>
      <c r="L308" s="513"/>
      <c r="M308" s="505"/>
      <c r="N308" s="505"/>
      <c r="O308" s="506"/>
      <c r="P308" s="505"/>
      <c r="Q308" s="505"/>
      <c r="R308" s="506"/>
      <c r="S308" s="506"/>
      <c r="T308" s="506"/>
      <c r="U308" s="506"/>
      <c r="V308" s="83">
        <v>3500</v>
      </c>
      <c r="W308" s="506">
        <f t="shared" si="90"/>
        <v>3500</v>
      </c>
    </row>
    <row r="309" spans="1:23" ht="22.5" x14ac:dyDescent="0.2">
      <c r="A309" s="79"/>
      <c r="B309" s="79"/>
      <c r="C309" s="107"/>
      <c r="D309" s="514">
        <v>4440</v>
      </c>
      <c r="E309" s="109" t="s">
        <v>242</v>
      </c>
      <c r="F309" s="110">
        <v>10214</v>
      </c>
      <c r="G309" s="83">
        <v>10214</v>
      </c>
      <c r="H309" s="142">
        <f t="shared" si="81"/>
        <v>1</v>
      </c>
      <c r="I309" s="85">
        <v>10214</v>
      </c>
      <c r="J309" s="86">
        <v>10214</v>
      </c>
      <c r="K309" s="1094">
        <f t="shared" si="85"/>
        <v>1</v>
      </c>
      <c r="L309" s="513"/>
      <c r="M309" s="505"/>
      <c r="N309" s="505"/>
      <c r="O309" s="506"/>
      <c r="P309" s="505"/>
      <c r="Q309" s="505"/>
      <c r="R309" s="506"/>
      <c r="S309" s="506"/>
      <c r="T309" s="506"/>
      <c r="U309" s="506"/>
      <c r="V309" s="83">
        <v>10214</v>
      </c>
      <c r="W309" s="506">
        <f t="shared" si="90"/>
        <v>10214</v>
      </c>
    </row>
    <row r="310" spans="1:23" ht="22.5" x14ac:dyDescent="0.2">
      <c r="A310" s="79"/>
      <c r="B310" s="206"/>
      <c r="C310" s="253"/>
      <c r="D310" s="516">
        <v>4700</v>
      </c>
      <c r="E310" s="160" t="s">
        <v>181</v>
      </c>
      <c r="F310" s="634">
        <v>1200</v>
      </c>
      <c r="G310" s="83">
        <v>625.46</v>
      </c>
      <c r="H310" s="142">
        <f t="shared" si="81"/>
        <v>0.52121666666666666</v>
      </c>
      <c r="I310" s="85">
        <v>975.46</v>
      </c>
      <c r="J310" s="86">
        <v>1200</v>
      </c>
      <c r="K310" s="1109">
        <f t="shared" si="85"/>
        <v>1</v>
      </c>
      <c r="L310" s="513"/>
      <c r="M310" s="505"/>
      <c r="N310" s="505"/>
      <c r="O310" s="506"/>
      <c r="P310" s="505"/>
      <c r="Q310" s="505"/>
      <c r="R310" s="506"/>
      <c r="S310" s="506"/>
      <c r="T310" s="506"/>
      <c r="U310" s="506"/>
      <c r="V310" s="83">
        <v>1200</v>
      </c>
      <c r="W310" s="506">
        <f t="shared" si="90"/>
        <v>1200</v>
      </c>
    </row>
    <row r="311" spans="1:23" x14ac:dyDescent="0.2">
      <c r="A311" s="79"/>
      <c r="B311" s="152">
        <v>80146</v>
      </c>
      <c r="C311" s="234"/>
      <c r="D311" s="71"/>
      <c r="E311" s="104" t="s">
        <v>288</v>
      </c>
      <c r="F311" s="235">
        <f>SUM(F312:F314)</f>
        <v>84088</v>
      </c>
      <c r="G311" s="156">
        <f>SUM(G312:G314)</f>
        <v>46524.75</v>
      </c>
      <c r="H311" s="746">
        <f t="shared" si="81"/>
        <v>0.55328643801731514</v>
      </c>
      <c r="I311" s="156">
        <f>SUM(I312:I314)</f>
        <v>83674.75</v>
      </c>
      <c r="J311" s="157">
        <f>SUM(J312:J314)</f>
        <v>87180</v>
      </c>
      <c r="K311" s="1076">
        <f>J311/F311</f>
        <v>1.0367710018076302</v>
      </c>
      <c r="L311" s="1080"/>
      <c r="M311" s="510">
        <f t="shared" ref="M311:V311" si="91">SUM(M312:M314)</f>
        <v>0</v>
      </c>
      <c r="N311" s="510">
        <f t="shared" si="91"/>
        <v>0</v>
      </c>
      <c r="O311" s="510">
        <f t="shared" si="91"/>
        <v>0</v>
      </c>
      <c r="P311" s="510">
        <f t="shared" si="91"/>
        <v>0</v>
      </c>
      <c r="Q311" s="510">
        <f t="shared" si="91"/>
        <v>0</v>
      </c>
      <c r="R311" s="510">
        <f t="shared" si="91"/>
        <v>0</v>
      </c>
      <c r="S311" s="510">
        <f t="shared" si="91"/>
        <v>0</v>
      </c>
      <c r="T311" s="510">
        <f t="shared" si="91"/>
        <v>0</v>
      </c>
      <c r="U311" s="510">
        <f t="shared" si="91"/>
        <v>0</v>
      </c>
      <c r="V311" s="510">
        <f t="shared" si="91"/>
        <v>87180</v>
      </c>
      <c r="W311" s="510">
        <f>SUM(M311:V311)</f>
        <v>87180</v>
      </c>
    </row>
    <row r="312" spans="1:23" x14ac:dyDescent="0.2">
      <c r="A312" s="79"/>
      <c r="B312" s="79"/>
      <c r="C312" s="253"/>
      <c r="D312" s="516">
        <v>4210</v>
      </c>
      <c r="E312" s="160" t="s">
        <v>176</v>
      </c>
      <c r="F312" s="634">
        <v>3000</v>
      </c>
      <c r="G312" s="83">
        <v>2624.23</v>
      </c>
      <c r="H312" s="84">
        <f t="shared" ref="H312:H330" si="92">G312/F312</f>
        <v>0.87474333333333332</v>
      </c>
      <c r="I312" s="85">
        <v>2624.23</v>
      </c>
      <c r="J312" s="86">
        <v>3000</v>
      </c>
      <c r="K312" s="601">
        <f>J312/F312</f>
        <v>1</v>
      </c>
      <c r="L312" s="513"/>
      <c r="M312" s="505"/>
      <c r="N312" s="505"/>
      <c r="O312" s="506"/>
      <c r="P312" s="505"/>
      <c r="Q312" s="505"/>
      <c r="R312" s="506"/>
      <c r="S312" s="506"/>
      <c r="T312" s="506"/>
      <c r="U312" s="506"/>
      <c r="V312" s="83">
        <v>3000</v>
      </c>
      <c r="W312" s="506">
        <f>SUM(M312:V312)</f>
        <v>3000</v>
      </c>
    </row>
    <row r="313" spans="1:23" x14ac:dyDescent="0.2">
      <c r="A313" s="79"/>
      <c r="B313" s="79"/>
      <c r="C313" s="427"/>
      <c r="D313" s="609">
        <v>4300</v>
      </c>
      <c r="E313" s="166" t="s">
        <v>177</v>
      </c>
      <c r="F313" s="167">
        <v>26305</v>
      </c>
      <c r="G313" s="83">
        <v>13555</v>
      </c>
      <c r="H313" s="84">
        <f t="shared" si="92"/>
        <v>0.51530127352214405</v>
      </c>
      <c r="I313" s="85">
        <v>26305</v>
      </c>
      <c r="J313" s="86">
        <v>17000</v>
      </c>
      <c r="K313" s="601">
        <f t="shared" ref="K313:K314" si="93">J313/F313</f>
        <v>0.64626496863714122</v>
      </c>
      <c r="L313" s="513"/>
      <c r="M313" s="505"/>
      <c r="N313" s="505"/>
      <c r="O313" s="506"/>
      <c r="P313" s="505"/>
      <c r="Q313" s="505"/>
      <c r="R313" s="506"/>
      <c r="S313" s="506"/>
      <c r="T313" s="506"/>
      <c r="U313" s="506"/>
      <c r="V313" s="83">
        <v>17000</v>
      </c>
      <c r="W313" s="506">
        <f t="shared" ref="W313:W314" si="94">SUM(M313:V313)</f>
        <v>17000</v>
      </c>
    </row>
    <row r="314" spans="1:23" ht="22.5" x14ac:dyDescent="0.2">
      <c r="A314" s="79"/>
      <c r="B314" s="79"/>
      <c r="C314" s="206"/>
      <c r="D314" s="391">
        <v>4700</v>
      </c>
      <c r="E314" s="163" t="s">
        <v>181</v>
      </c>
      <c r="F314" s="164">
        <v>54783</v>
      </c>
      <c r="G314" s="141">
        <v>30345.52</v>
      </c>
      <c r="H314" s="84">
        <f t="shared" si="92"/>
        <v>0.55392220214300059</v>
      </c>
      <c r="I314" s="143">
        <v>54745.52</v>
      </c>
      <c r="J314" s="144">
        <v>67180</v>
      </c>
      <c r="K314" s="601">
        <f t="shared" si="93"/>
        <v>1.226292828067101</v>
      </c>
      <c r="L314" s="604"/>
      <c r="M314" s="505"/>
      <c r="N314" s="505"/>
      <c r="O314" s="506"/>
      <c r="P314" s="505"/>
      <c r="Q314" s="505"/>
      <c r="R314" s="506"/>
      <c r="S314" s="506"/>
      <c r="T314" s="506"/>
      <c r="U314" s="506"/>
      <c r="V314" s="141">
        <v>67180</v>
      </c>
      <c r="W314" s="506">
        <f t="shared" si="94"/>
        <v>67180</v>
      </c>
    </row>
    <row r="315" spans="1:23" x14ac:dyDescent="0.2">
      <c r="A315" s="79"/>
      <c r="B315" s="310">
        <v>80148</v>
      </c>
      <c r="C315" s="548"/>
      <c r="D315" s="199"/>
      <c r="E315" s="350" t="s">
        <v>102</v>
      </c>
      <c r="F315" s="387">
        <f>SUM(F316:F327)</f>
        <v>681881</v>
      </c>
      <c r="G315" s="387">
        <f>SUM(G316:G327)</f>
        <v>466196.43</v>
      </c>
      <c r="H315" s="746">
        <f t="shared" si="92"/>
        <v>0.6836917731979627</v>
      </c>
      <c r="I315" s="203">
        <f>SUM(I316:I327)</f>
        <v>660286.12000000011</v>
      </c>
      <c r="J315" s="205">
        <f>SUM(J316:J327)</f>
        <v>691629</v>
      </c>
      <c r="K315" s="1112">
        <f>J315/F315</f>
        <v>1.0142957495516081</v>
      </c>
      <c r="L315" s="1106"/>
      <c r="M315" s="685">
        <f t="shared" ref="M315:V315" si="95">SUM(M316:M327)</f>
        <v>0</v>
      </c>
      <c r="N315" s="685">
        <f t="shared" si="95"/>
        <v>0</v>
      </c>
      <c r="O315" s="685">
        <f t="shared" si="95"/>
        <v>0</v>
      </c>
      <c r="P315" s="685">
        <f t="shared" si="95"/>
        <v>0</v>
      </c>
      <c r="Q315" s="685">
        <f t="shared" si="95"/>
        <v>0</v>
      </c>
      <c r="R315" s="685">
        <f t="shared" si="95"/>
        <v>0</v>
      </c>
      <c r="S315" s="685">
        <f t="shared" si="95"/>
        <v>0</v>
      </c>
      <c r="T315" s="685">
        <f t="shared" si="95"/>
        <v>0</v>
      </c>
      <c r="U315" s="685">
        <f t="shared" si="95"/>
        <v>0</v>
      </c>
      <c r="V315" s="685">
        <f t="shared" si="95"/>
        <v>691629</v>
      </c>
      <c r="W315" s="685">
        <f>SUM(M315:V315)</f>
        <v>691629</v>
      </c>
    </row>
    <row r="316" spans="1:23" x14ac:dyDescent="0.2">
      <c r="A316" s="79"/>
      <c r="B316" s="79"/>
      <c r="C316" s="303"/>
      <c r="D316" s="574">
        <v>4010</v>
      </c>
      <c r="E316" s="249" t="s">
        <v>173</v>
      </c>
      <c r="F316" s="250">
        <v>244891</v>
      </c>
      <c r="G316" s="141">
        <v>179833.46</v>
      </c>
      <c r="H316" s="142">
        <f t="shared" si="92"/>
        <v>0.73434082918522936</v>
      </c>
      <c r="I316" s="143">
        <v>244891</v>
      </c>
      <c r="J316" s="144">
        <v>258847</v>
      </c>
      <c r="K316" s="591">
        <f>J316/F316</f>
        <v>1.056988619426602</v>
      </c>
      <c r="L316" s="513"/>
      <c r="M316" s="505"/>
      <c r="N316" s="505"/>
      <c r="O316" s="506"/>
      <c r="P316" s="505"/>
      <c r="Q316" s="505"/>
      <c r="R316" s="506"/>
      <c r="S316" s="506"/>
      <c r="T316" s="506"/>
      <c r="U316" s="506"/>
      <c r="V316" s="141">
        <v>258847</v>
      </c>
      <c r="W316" s="506">
        <f>SUM(M316:V316)</f>
        <v>258847</v>
      </c>
    </row>
    <row r="317" spans="1:23" x14ac:dyDescent="0.2">
      <c r="A317" s="79"/>
      <c r="B317" s="79"/>
      <c r="C317" s="107"/>
      <c r="D317" s="514">
        <v>4040</v>
      </c>
      <c r="E317" s="109" t="s">
        <v>213</v>
      </c>
      <c r="F317" s="110">
        <v>17543</v>
      </c>
      <c r="G317" s="83">
        <v>17542.02</v>
      </c>
      <c r="H317" s="142">
        <f t="shared" si="92"/>
        <v>0.99994413726272591</v>
      </c>
      <c r="I317" s="85">
        <v>17542.02</v>
      </c>
      <c r="J317" s="86">
        <v>21000</v>
      </c>
      <c r="K317" s="591">
        <f t="shared" ref="K317:K327" si="96">J317/F317</f>
        <v>1.1970586558741378</v>
      </c>
      <c r="L317" s="513"/>
      <c r="M317" s="505"/>
      <c r="N317" s="505"/>
      <c r="O317" s="506"/>
      <c r="P317" s="505"/>
      <c r="Q317" s="505"/>
      <c r="R317" s="506"/>
      <c r="S317" s="506"/>
      <c r="T317" s="506"/>
      <c r="U317" s="506"/>
      <c r="V317" s="83">
        <v>21000</v>
      </c>
      <c r="W317" s="506">
        <f t="shared" ref="W317:W363" si="97">SUM(M317:V317)</f>
        <v>21000</v>
      </c>
    </row>
    <row r="318" spans="1:23" x14ac:dyDescent="0.2">
      <c r="A318" s="79"/>
      <c r="B318" s="79"/>
      <c r="C318" s="253"/>
      <c r="D318" s="516">
        <v>4110</v>
      </c>
      <c r="E318" s="160" t="s">
        <v>174</v>
      </c>
      <c r="F318" s="161">
        <v>44273</v>
      </c>
      <c r="G318" s="83">
        <v>30663.18</v>
      </c>
      <c r="H318" s="142">
        <f t="shared" si="92"/>
        <v>0.69259322837846993</v>
      </c>
      <c r="I318" s="85">
        <v>44073</v>
      </c>
      <c r="J318" s="86">
        <v>48106</v>
      </c>
      <c r="K318" s="591">
        <f t="shared" si="96"/>
        <v>1.0865764687281187</v>
      </c>
      <c r="L318" s="513"/>
      <c r="M318" s="505"/>
      <c r="N318" s="505"/>
      <c r="O318" s="506"/>
      <c r="P318" s="505"/>
      <c r="Q318" s="505"/>
      <c r="R318" s="506"/>
      <c r="S318" s="506"/>
      <c r="T318" s="506"/>
      <c r="U318" s="506"/>
      <c r="V318" s="83">
        <v>48106</v>
      </c>
      <c r="W318" s="506">
        <f t="shared" si="97"/>
        <v>48106</v>
      </c>
    </row>
    <row r="319" spans="1:23" x14ac:dyDescent="0.2">
      <c r="A319" s="79"/>
      <c r="B319" s="79"/>
      <c r="C319" s="206"/>
      <c r="D319" s="391">
        <v>4120</v>
      </c>
      <c r="E319" s="163" t="s">
        <v>175</v>
      </c>
      <c r="F319" s="208">
        <v>4757</v>
      </c>
      <c r="G319" s="141">
        <v>3194.91</v>
      </c>
      <c r="H319" s="142">
        <f t="shared" si="92"/>
        <v>0.67162287155770439</v>
      </c>
      <c r="I319" s="143">
        <v>4757</v>
      </c>
      <c r="J319" s="144">
        <v>5297</v>
      </c>
      <c r="K319" s="591">
        <f t="shared" si="96"/>
        <v>1.1135169224301029</v>
      </c>
      <c r="L319" s="513"/>
      <c r="M319" s="505"/>
      <c r="N319" s="505"/>
      <c r="O319" s="506"/>
      <c r="P319" s="505"/>
      <c r="Q319" s="505"/>
      <c r="R319" s="506"/>
      <c r="S319" s="506"/>
      <c r="T319" s="506"/>
      <c r="U319" s="506"/>
      <c r="V319" s="141">
        <v>5297</v>
      </c>
      <c r="W319" s="506">
        <f t="shared" si="97"/>
        <v>5297</v>
      </c>
    </row>
    <row r="320" spans="1:23" x14ac:dyDescent="0.2">
      <c r="A320" s="79"/>
      <c r="B320" s="79"/>
      <c r="C320" s="303"/>
      <c r="D320" s="391">
        <v>4210</v>
      </c>
      <c r="E320" s="163" t="s">
        <v>176</v>
      </c>
      <c r="F320" s="208">
        <v>20600</v>
      </c>
      <c r="G320" s="141">
        <v>19712.259999999998</v>
      </c>
      <c r="H320" s="142">
        <f t="shared" si="92"/>
        <v>0.95690582524271839</v>
      </c>
      <c r="I320" s="143">
        <v>20599.07</v>
      </c>
      <c r="J320" s="144">
        <v>21000</v>
      </c>
      <c r="K320" s="591">
        <f t="shared" si="96"/>
        <v>1.0194174757281553</v>
      </c>
      <c r="L320" s="604"/>
      <c r="M320" s="505"/>
      <c r="N320" s="505"/>
      <c r="O320" s="506"/>
      <c r="P320" s="505"/>
      <c r="Q320" s="505"/>
      <c r="R320" s="506"/>
      <c r="S320" s="506"/>
      <c r="T320" s="506"/>
      <c r="U320" s="506"/>
      <c r="V320" s="83">
        <v>21000</v>
      </c>
      <c r="W320" s="506">
        <f t="shared" si="97"/>
        <v>21000</v>
      </c>
    </row>
    <row r="321" spans="1:23" x14ac:dyDescent="0.2">
      <c r="A321" s="79"/>
      <c r="B321" s="79"/>
      <c r="C321" s="107"/>
      <c r="D321" s="574">
        <v>4220</v>
      </c>
      <c r="E321" s="249" t="s">
        <v>282</v>
      </c>
      <c r="F321" s="250">
        <v>324000</v>
      </c>
      <c r="G321" s="141">
        <v>192461.35</v>
      </c>
      <c r="H321" s="142">
        <f t="shared" si="92"/>
        <v>0.59401651234567898</v>
      </c>
      <c r="I321" s="143">
        <v>303000</v>
      </c>
      <c r="J321" s="144">
        <v>321000</v>
      </c>
      <c r="K321" s="591">
        <f t="shared" si="96"/>
        <v>0.9907407407407407</v>
      </c>
      <c r="L321" s="604"/>
      <c r="M321" s="505"/>
      <c r="N321" s="505"/>
      <c r="O321" s="506"/>
      <c r="P321" s="505"/>
      <c r="Q321" s="505"/>
      <c r="R321" s="506"/>
      <c r="S321" s="506"/>
      <c r="T321" s="506"/>
      <c r="U321" s="506"/>
      <c r="V321" s="141">
        <v>321000</v>
      </c>
      <c r="W321" s="506">
        <f t="shared" si="97"/>
        <v>321000</v>
      </c>
    </row>
    <row r="322" spans="1:23" x14ac:dyDescent="0.2">
      <c r="A322" s="79"/>
      <c r="B322" s="79"/>
      <c r="C322" s="107"/>
      <c r="D322" s="514">
        <v>4260</v>
      </c>
      <c r="E322" s="109" t="s">
        <v>185</v>
      </c>
      <c r="F322" s="179">
        <v>1100</v>
      </c>
      <c r="G322" s="83">
        <v>1030.22</v>
      </c>
      <c r="H322" s="142">
        <f t="shared" si="92"/>
        <v>0.93656363636363638</v>
      </c>
      <c r="I322" s="85">
        <v>1100</v>
      </c>
      <c r="J322" s="86">
        <v>0</v>
      </c>
      <c r="K322" s="591">
        <f t="shared" si="96"/>
        <v>0</v>
      </c>
      <c r="L322" s="513"/>
      <c r="M322" s="505"/>
      <c r="N322" s="505"/>
      <c r="O322" s="506"/>
      <c r="P322" s="505"/>
      <c r="Q322" s="505"/>
      <c r="R322" s="506"/>
      <c r="S322" s="506"/>
      <c r="T322" s="506"/>
      <c r="U322" s="506"/>
      <c r="V322" s="83">
        <v>0</v>
      </c>
      <c r="W322" s="506">
        <f t="shared" si="97"/>
        <v>0</v>
      </c>
    </row>
    <row r="323" spans="1:23" x14ac:dyDescent="0.2">
      <c r="A323" s="79"/>
      <c r="B323" s="79"/>
      <c r="C323" s="107"/>
      <c r="D323" s="514">
        <v>4270</v>
      </c>
      <c r="E323" s="109" t="s">
        <v>192</v>
      </c>
      <c r="F323" s="179">
        <v>1500</v>
      </c>
      <c r="G323" s="83">
        <v>0</v>
      </c>
      <c r="H323" s="142">
        <f t="shared" si="92"/>
        <v>0</v>
      </c>
      <c r="I323" s="85">
        <v>1500</v>
      </c>
      <c r="J323" s="86">
        <v>1500</v>
      </c>
      <c r="K323" s="591">
        <f t="shared" si="96"/>
        <v>1</v>
      </c>
      <c r="L323" s="513"/>
      <c r="M323" s="505"/>
      <c r="N323" s="505"/>
      <c r="O323" s="506"/>
      <c r="P323" s="505"/>
      <c r="Q323" s="505"/>
      <c r="R323" s="506"/>
      <c r="S323" s="506"/>
      <c r="T323" s="506"/>
      <c r="U323" s="506"/>
      <c r="V323" s="83">
        <v>1500</v>
      </c>
      <c r="W323" s="506">
        <f t="shared" si="97"/>
        <v>1500</v>
      </c>
    </row>
    <row r="324" spans="1:23" x14ac:dyDescent="0.2">
      <c r="A324" s="79"/>
      <c r="B324" s="79"/>
      <c r="C324" s="253"/>
      <c r="D324" s="516">
        <v>4280</v>
      </c>
      <c r="E324" s="160" t="s">
        <v>233</v>
      </c>
      <c r="F324" s="673">
        <v>400</v>
      </c>
      <c r="G324" s="83">
        <v>210</v>
      </c>
      <c r="H324" s="142">
        <f t="shared" si="92"/>
        <v>0.52500000000000002</v>
      </c>
      <c r="I324" s="85">
        <v>400</v>
      </c>
      <c r="J324" s="86">
        <v>1000</v>
      </c>
      <c r="K324" s="591">
        <f t="shared" si="96"/>
        <v>2.5</v>
      </c>
      <c r="L324" s="513"/>
      <c r="M324" s="505"/>
      <c r="N324" s="505"/>
      <c r="O324" s="506"/>
      <c r="P324" s="505"/>
      <c r="Q324" s="505"/>
      <c r="R324" s="506"/>
      <c r="S324" s="506"/>
      <c r="T324" s="506"/>
      <c r="U324" s="506"/>
      <c r="V324" s="83">
        <v>1000</v>
      </c>
      <c r="W324" s="506">
        <f t="shared" si="97"/>
        <v>1000</v>
      </c>
    </row>
    <row r="325" spans="1:23" x14ac:dyDescent="0.2">
      <c r="A325" s="79"/>
      <c r="B325" s="79"/>
      <c r="C325" s="303"/>
      <c r="D325" s="574">
        <v>4300</v>
      </c>
      <c r="E325" s="249" t="s">
        <v>177</v>
      </c>
      <c r="F325" s="530">
        <v>2900</v>
      </c>
      <c r="G325" s="141">
        <v>2023.26</v>
      </c>
      <c r="H325" s="142">
        <f t="shared" si="92"/>
        <v>0.69767586206896548</v>
      </c>
      <c r="I325" s="143">
        <v>2898.26</v>
      </c>
      <c r="J325" s="144">
        <v>3300</v>
      </c>
      <c r="K325" s="591">
        <f t="shared" si="96"/>
        <v>1.1379310344827587</v>
      </c>
      <c r="L325" s="604"/>
      <c r="M325" s="505"/>
      <c r="N325" s="505"/>
      <c r="O325" s="506"/>
      <c r="P325" s="505"/>
      <c r="Q325" s="505"/>
      <c r="R325" s="506"/>
      <c r="S325" s="506"/>
      <c r="T325" s="506"/>
      <c r="U325" s="506"/>
      <c r="V325" s="141">
        <v>3300</v>
      </c>
      <c r="W325" s="506">
        <f t="shared" si="97"/>
        <v>3300</v>
      </c>
    </row>
    <row r="326" spans="1:23" ht="22.5" x14ac:dyDescent="0.2">
      <c r="A326" s="79"/>
      <c r="B326" s="79"/>
      <c r="C326" s="253"/>
      <c r="D326" s="516">
        <v>4440</v>
      </c>
      <c r="E326" s="160" t="s">
        <v>242</v>
      </c>
      <c r="F326" s="161">
        <v>10917</v>
      </c>
      <c r="G326" s="83">
        <v>10917</v>
      </c>
      <c r="H326" s="142">
        <f t="shared" si="92"/>
        <v>1</v>
      </c>
      <c r="I326" s="85">
        <v>10917</v>
      </c>
      <c r="J326" s="86">
        <v>10579</v>
      </c>
      <c r="K326" s="591">
        <f t="shared" si="96"/>
        <v>0.96903911330951731</v>
      </c>
      <c r="L326" s="513"/>
      <c r="M326" s="505"/>
      <c r="N326" s="505"/>
      <c r="O326" s="506"/>
      <c r="P326" s="505"/>
      <c r="Q326" s="505"/>
      <c r="R326" s="506"/>
      <c r="S326" s="506"/>
      <c r="T326" s="506"/>
      <c r="U326" s="506"/>
      <c r="V326" s="83">
        <v>10579</v>
      </c>
      <c r="W326" s="506">
        <f t="shared" si="97"/>
        <v>10579</v>
      </c>
    </row>
    <row r="327" spans="1:23" ht="22.5" x14ac:dyDescent="0.2">
      <c r="A327" s="79"/>
      <c r="B327" s="390"/>
      <c r="C327" s="206"/>
      <c r="D327" s="574">
        <v>6060</v>
      </c>
      <c r="E327" s="90" t="s">
        <v>272</v>
      </c>
      <c r="F327" s="181">
        <v>9000</v>
      </c>
      <c r="G327" s="122">
        <v>8608.77</v>
      </c>
      <c r="H327" s="142">
        <f t="shared" si="92"/>
        <v>0.9565300000000001</v>
      </c>
      <c r="I327" s="122">
        <v>8608.77</v>
      </c>
      <c r="J327" s="86">
        <v>0</v>
      </c>
      <c r="K327" s="591">
        <f t="shared" si="96"/>
        <v>0</v>
      </c>
      <c r="L327" s="513" t="s">
        <v>289</v>
      </c>
      <c r="M327" s="505"/>
      <c r="N327" s="505"/>
      <c r="O327" s="506"/>
      <c r="P327" s="505"/>
      <c r="Q327" s="505"/>
      <c r="R327" s="506"/>
      <c r="S327" s="506"/>
      <c r="T327" s="506"/>
      <c r="U327" s="506"/>
      <c r="V327" s="83">
        <v>0</v>
      </c>
      <c r="W327" s="506">
        <f t="shared" si="97"/>
        <v>0</v>
      </c>
    </row>
    <row r="328" spans="1:23" x14ac:dyDescent="0.2">
      <c r="A328" s="79"/>
      <c r="B328" s="290">
        <v>80195</v>
      </c>
      <c r="C328" s="295"/>
      <c r="D328" s="296"/>
      <c r="E328" s="297" t="s">
        <v>23</v>
      </c>
      <c r="F328" s="347">
        <f>SUM(F329:F330)</f>
        <v>149167</v>
      </c>
      <c r="G328" s="300">
        <f>SUM(G329:G330)</f>
        <v>149017</v>
      </c>
      <c r="H328" s="746">
        <f t="shared" si="92"/>
        <v>0.99899441565493707</v>
      </c>
      <c r="I328" s="300">
        <f>SUM(I329:I330)</f>
        <v>149167</v>
      </c>
      <c r="J328" s="301">
        <f>SUM(J329:J330)</f>
        <v>157737</v>
      </c>
      <c r="K328" s="1098">
        <f t="shared" ref="K328:V328" si="98">SUM(K329:K330)</f>
        <v>1.4236564151782463</v>
      </c>
      <c r="L328" s="1088"/>
      <c r="M328" s="570">
        <f t="shared" si="98"/>
        <v>200</v>
      </c>
      <c r="N328" s="570">
        <f t="shared" si="98"/>
        <v>0</v>
      </c>
      <c r="O328" s="570">
        <f t="shared" si="98"/>
        <v>0</v>
      </c>
      <c r="P328" s="570">
        <f t="shared" si="98"/>
        <v>0</v>
      </c>
      <c r="Q328" s="570">
        <f t="shared" si="98"/>
        <v>0</v>
      </c>
      <c r="R328" s="570">
        <f t="shared" si="98"/>
        <v>0</v>
      </c>
      <c r="S328" s="570">
        <f t="shared" si="98"/>
        <v>0</v>
      </c>
      <c r="T328" s="570">
        <f t="shared" si="98"/>
        <v>0</v>
      </c>
      <c r="U328" s="570">
        <f t="shared" si="98"/>
        <v>0</v>
      </c>
      <c r="V328" s="570">
        <f t="shared" si="98"/>
        <v>157537</v>
      </c>
      <c r="W328" s="570">
        <f t="shared" si="97"/>
        <v>157737</v>
      </c>
    </row>
    <row r="329" spans="1:23" x14ac:dyDescent="0.2">
      <c r="A329" s="79"/>
      <c r="B329" s="79"/>
      <c r="C329" s="427"/>
      <c r="D329" s="609">
        <v>4210</v>
      </c>
      <c r="E329" s="166" t="s">
        <v>176</v>
      </c>
      <c r="F329" s="348">
        <v>550</v>
      </c>
      <c r="G329" s="83">
        <v>400</v>
      </c>
      <c r="H329" s="84">
        <f t="shared" si="92"/>
        <v>0.72727272727272729</v>
      </c>
      <c r="I329" s="85">
        <v>550</v>
      </c>
      <c r="J329" s="86">
        <v>200</v>
      </c>
      <c r="K329" s="581">
        <f t="shared" ref="K329:K382" si="99">J329/F329</f>
        <v>0.36363636363636365</v>
      </c>
      <c r="L329" s="513" t="s">
        <v>290</v>
      </c>
      <c r="M329" s="505">
        <v>200</v>
      </c>
      <c r="N329" s="505"/>
      <c r="O329" s="506"/>
      <c r="P329" s="505"/>
      <c r="Q329" s="505"/>
      <c r="R329" s="506"/>
      <c r="S329" s="506"/>
      <c r="T329" s="506"/>
      <c r="U329" s="506"/>
      <c r="V329" s="506"/>
      <c r="W329" s="506">
        <f t="shared" si="97"/>
        <v>200</v>
      </c>
    </row>
    <row r="330" spans="1:23" ht="22.5" x14ac:dyDescent="0.2">
      <c r="A330" s="79"/>
      <c r="B330" s="79"/>
      <c r="C330" s="303"/>
      <c r="D330" s="574">
        <v>4440</v>
      </c>
      <c r="E330" s="249" t="s">
        <v>242</v>
      </c>
      <c r="F330" s="250">
        <v>148617</v>
      </c>
      <c r="G330" s="141">
        <v>148617</v>
      </c>
      <c r="H330" s="142">
        <f t="shared" si="92"/>
        <v>1</v>
      </c>
      <c r="I330" s="143">
        <v>148617</v>
      </c>
      <c r="J330" s="144">
        <v>157537</v>
      </c>
      <c r="K330" s="591">
        <f t="shared" si="99"/>
        <v>1.0600200515418827</v>
      </c>
      <c r="L330" s="604"/>
      <c r="M330" s="505"/>
      <c r="N330" s="505"/>
      <c r="O330" s="506"/>
      <c r="P330" s="505"/>
      <c r="Q330" s="505"/>
      <c r="R330" s="506"/>
      <c r="S330" s="506"/>
      <c r="T330" s="506"/>
      <c r="U330" s="506"/>
      <c r="V330" s="141">
        <v>157537</v>
      </c>
      <c r="W330" s="506">
        <f t="shared" si="97"/>
        <v>157537</v>
      </c>
    </row>
    <row r="331" spans="1:23" s="756" customFormat="1" x14ac:dyDescent="0.2">
      <c r="A331" s="531">
        <v>851</v>
      </c>
      <c r="B331" s="145"/>
      <c r="C331" s="145"/>
      <c r="D331" s="192"/>
      <c r="E331" s="193" t="s">
        <v>291</v>
      </c>
      <c r="F331" s="575">
        <f>F332+F335+F347</f>
        <v>283672</v>
      </c>
      <c r="G331" s="196">
        <f>G332+G335+G347</f>
        <v>126270.47999999998</v>
      </c>
      <c r="H331" s="195">
        <f>G331/F331</f>
        <v>0.44512845821935187</v>
      </c>
      <c r="I331" s="196">
        <f>I332+I335+I347</f>
        <v>275346.24</v>
      </c>
      <c r="J331" s="197">
        <f>J332+J335+J347</f>
        <v>277000</v>
      </c>
      <c r="K331" s="1111">
        <f>J331/F331</f>
        <v>0.97647987816915316</v>
      </c>
      <c r="L331" s="1105"/>
      <c r="M331" s="576">
        <f t="shared" ref="M331:V331" si="100">M332+M335+M347</f>
        <v>0</v>
      </c>
      <c r="N331" s="576">
        <f t="shared" si="100"/>
        <v>0</v>
      </c>
      <c r="O331" s="576">
        <f t="shared" si="100"/>
        <v>0</v>
      </c>
      <c r="P331" s="576">
        <f t="shared" si="100"/>
        <v>0</v>
      </c>
      <c r="Q331" s="576">
        <f t="shared" si="100"/>
        <v>2000</v>
      </c>
      <c r="R331" s="576">
        <f t="shared" si="100"/>
        <v>0</v>
      </c>
      <c r="S331" s="576">
        <f t="shared" si="100"/>
        <v>275000</v>
      </c>
      <c r="T331" s="576">
        <f t="shared" si="100"/>
        <v>0</v>
      </c>
      <c r="U331" s="576">
        <f t="shared" si="100"/>
        <v>0</v>
      </c>
      <c r="V331" s="576">
        <f t="shared" si="100"/>
        <v>0</v>
      </c>
      <c r="W331" s="576">
        <f t="shared" si="97"/>
        <v>277000</v>
      </c>
    </row>
    <row r="332" spans="1:23" x14ac:dyDescent="0.2">
      <c r="A332" s="35"/>
      <c r="B332" s="152">
        <v>85153</v>
      </c>
      <c r="C332" s="234"/>
      <c r="D332" s="71"/>
      <c r="E332" s="104" t="s">
        <v>292</v>
      </c>
      <c r="F332" s="189">
        <f>SUM(F333:F334)</f>
        <v>5000</v>
      </c>
      <c r="G332" s="156">
        <f>SUM(G333:G334)</f>
        <v>1900</v>
      </c>
      <c r="H332" s="155">
        <f>G332/F332</f>
        <v>0.38</v>
      </c>
      <c r="I332" s="156">
        <f>SUM(I333:I334)</f>
        <v>5000</v>
      </c>
      <c r="J332" s="157">
        <f>SUM(J333:J334)</f>
        <v>5000</v>
      </c>
      <c r="K332" s="1076">
        <f>J332/F332</f>
        <v>1</v>
      </c>
      <c r="L332" s="1123"/>
      <c r="M332" s="572">
        <f t="shared" ref="M332:V332" si="101">SUM(M333:M334)</f>
        <v>0</v>
      </c>
      <c r="N332" s="572">
        <f t="shared" si="101"/>
        <v>0</v>
      </c>
      <c r="O332" s="572">
        <f t="shared" si="101"/>
        <v>0</v>
      </c>
      <c r="P332" s="572">
        <f t="shared" si="101"/>
        <v>0</v>
      </c>
      <c r="Q332" s="572">
        <f t="shared" si="101"/>
        <v>0</v>
      </c>
      <c r="R332" s="572">
        <f t="shared" si="101"/>
        <v>0</v>
      </c>
      <c r="S332" s="572">
        <f t="shared" si="101"/>
        <v>5000</v>
      </c>
      <c r="T332" s="572">
        <f t="shared" si="101"/>
        <v>0</v>
      </c>
      <c r="U332" s="572">
        <f t="shared" si="101"/>
        <v>0</v>
      </c>
      <c r="V332" s="572">
        <f t="shared" si="101"/>
        <v>0</v>
      </c>
      <c r="W332" s="572">
        <f t="shared" si="97"/>
        <v>5000</v>
      </c>
    </row>
    <row r="333" spans="1:23" x14ac:dyDescent="0.2">
      <c r="A333" s="79"/>
      <c r="B333" s="79"/>
      <c r="C333" s="107"/>
      <c r="D333" s="514">
        <v>4170</v>
      </c>
      <c r="E333" s="109" t="s">
        <v>184</v>
      </c>
      <c r="F333" s="179">
        <v>3800</v>
      </c>
      <c r="G333" s="83">
        <v>1900</v>
      </c>
      <c r="H333" s="84">
        <f>G333/F333</f>
        <v>0.5</v>
      </c>
      <c r="I333" s="85">
        <v>3800</v>
      </c>
      <c r="J333" s="86">
        <v>3800</v>
      </c>
      <c r="K333" s="592">
        <f t="shared" si="99"/>
        <v>1</v>
      </c>
      <c r="L333" s="513"/>
      <c r="M333" s="505"/>
      <c r="N333" s="505"/>
      <c r="O333" s="506"/>
      <c r="P333" s="505"/>
      <c r="Q333" s="505"/>
      <c r="R333" s="506"/>
      <c r="S333" s="83">
        <v>3800</v>
      </c>
      <c r="T333" s="506"/>
      <c r="U333" s="506"/>
      <c r="V333" s="506"/>
      <c r="W333" s="506">
        <f t="shared" si="97"/>
        <v>3800</v>
      </c>
    </row>
    <row r="334" spans="1:23" x14ac:dyDescent="0.2">
      <c r="A334" s="79"/>
      <c r="B334" s="79"/>
      <c r="C334" s="107"/>
      <c r="D334" s="514">
        <v>4210</v>
      </c>
      <c r="E334" s="109" t="s">
        <v>176</v>
      </c>
      <c r="F334" s="715">
        <v>1200</v>
      </c>
      <c r="G334" s="83">
        <v>0</v>
      </c>
      <c r="H334" s="84">
        <f t="shared" ref="H334:H400" si="102">G334/F334</f>
        <v>0</v>
      </c>
      <c r="I334" s="85">
        <v>1200</v>
      </c>
      <c r="J334" s="86">
        <v>1200</v>
      </c>
      <c r="K334" s="592">
        <f t="shared" si="99"/>
        <v>1</v>
      </c>
      <c r="L334" s="513"/>
      <c r="M334" s="505"/>
      <c r="N334" s="505"/>
      <c r="O334" s="506"/>
      <c r="P334" s="505"/>
      <c r="Q334" s="505"/>
      <c r="R334" s="506"/>
      <c r="S334" s="83">
        <v>1200</v>
      </c>
      <c r="T334" s="506"/>
      <c r="U334" s="506"/>
      <c r="V334" s="506"/>
      <c r="W334" s="506">
        <f t="shared" si="97"/>
        <v>1200</v>
      </c>
    </row>
    <row r="335" spans="1:23" x14ac:dyDescent="0.2">
      <c r="A335" s="79"/>
      <c r="B335" s="310">
        <v>85154</v>
      </c>
      <c r="C335" s="311"/>
      <c r="D335" s="312"/>
      <c r="E335" s="313" t="s">
        <v>293</v>
      </c>
      <c r="F335" s="399">
        <f>SUM(F336:F346)</f>
        <v>274672</v>
      </c>
      <c r="G335" s="388">
        <f>SUM(G336:G346)</f>
        <v>124171.21999999999</v>
      </c>
      <c r="H335" s="223">
        <f t="shared" si="102"/>
        <v>0.45207090639016712</v>
      </c>
      <c r="I335" s="388">
        <f>SUM(I336:I346)</f>
        <v>270146.98</v>
      </c>
      <c r="J335" s="389">
        <f>SUM(J336:J346)</f>
        <v>270000</v>
      </c>
      <c r="K335" s="1086">
        <f>J335/F335</f>
        <v>0.98299062154132932</v>
      </c>
      <c r="L335" s="1080"/>
      <c r="M335" s="510">
        <f t="shared" ref="M335:V335" si="103">SUM(M336:M346)</f>
        <v>0</v>
      </c>
      <c r="N335" s="510">
        <f t="shared" si="103"/>
        <v>0</v>
      </c>
      <c r="O335" s="510">
        <f t="shared" si="103"/>
        <v>0</v>
      </c>
      <c r="P335" s="510">
        <f t="shared" si="103"/>
        <v>0</v>
      </c>
      <c r="Q335" s="510">
        <f t="shared" si="103"/>
        <v>0</v>
      </c>
      <c r="R335" s="510">
        <f t="shared" si="103"/>
        <v>0</v>
      </c>
      <c r="S335" s="510">
        <f t="shared" si="103"/>
        <v>270000</v>
      </c>
      <c r="T335" s="510">
        <f t="shared" si="103"/>
        <v>0</v>
      </c>
      <c r="U335" s="510">
        <f t="shared" si="103"/>
        <v>0</v>
      </c>
      <c r="V335" s="510">
        <f t="shared" si="103"/>
        <v>0</v>
      </c>
      <c r="W335" s="510">
        <f t="shared" si="97"/>
        <v>270000</v>
      </c>
    </row>
    <row r="336" spans="1:23" ht="56.25" x14ac:dyDescent="0.2">
      <c r="A336" s="79"/>
      <c r="B336" s="79"/>
      <c r="C336" s="79"/>
      <c r="D336" s="616">
        <v>2360</v>
      </c>
      <c r="E336" s="169" t="s">
        <v>294</v>
      </c>
      <c r="F336" s="170">
        <v>37700</v>
      </c>
      <c r="G336" s="141">
        <v>36315.620000000003</v>
      </c>
      <c r="H336" s="142">
        <f t="shared" si="102"/>
        <v>0.96327904509283824</v>
      </c>
      <c r="I336" s="143">
        <v>36315.620000000003</v>
      </c>
      <c r="J336" s="144">
        <v>38000</v>
      </c>
      <c r="K336" s="591">
        <f t="shared" si="99"/>
        <v>1.0079575596816976</v>
      </c>
      <c r="L336" s="513"/>
      <c r="M336" s="505"/>
      <c r="N336" s="505"/>
      <c r="O336" s="506"/>
      <c r="P336" s="505"/>
      <c r="Q336" s="505"/>
      <c r="R336" s="506"/>
      <c r="S336" s="83">
        <v>38000</v>
      </c>
      <c r="T336" s="506"/>
      <c r="U336" s="506"/>
      <c r="V336" s="506"/>
      <c r="W336" s="506">
        <f t="shared" si="97"/>
        <v>38000</v>
      </c>
    </row>
    <row r="337" spans="1:23" x14ac:dyDescent="0.2">
      <c r="A337" s="79"/>
      <c r="B337" s="79"/>
      <c r="C337" s="107"/>
      <c r="D337" s="514">
        <v>4110</v>
      </c>
      <c r="E337" s="109" t="s">
        <v>174</v>
      </c>
      <c r="F337" s="179">
        <v>3760</v>
      </c>
      <c r="G337" s="83">
        <v>2105.83</v>
      </c>
      <c r="H337" s="84">
        <f t="shared" si="102"/>
        <v>0.56006117021276591</v>
      </c>
      <c r="I337" s="85">
        <f>2105.83+931.7+700</f>
        <v>3737.5299999999997</v>
      </c>
      <c r="J337" s="86">
        <v>3420</v>
      </c>
      <c r="K337" s="592">
        <f t="shared" si="99"/>
        <v>0.90957446808510634</v>
      </c>
      <c r="L337" s="513"/>
      <c r="M337" s="505"/>
      <c r="N337" s="505"/>
      <c r="O337" s="506"/>
      <c r="P337" s="505"/>
      <c r="Q337" s="505"/>
      <c r="R337" s="506"/>
      <c r="S337" s="83">
        <v>3420</v>
      </c>
      <c r="T337" s="506"/>
      <c r="U337" s="506"/>
      <c r="V337" s="506"/>
      <c r="W337" s="506">
        <f t="shared" si="97"/>
        <v>3420</v>
      </c>
    </row>
    <row r="338" spans="1:23" x14ac:dyDescent="0.2">
      <c r="A338" s="79"/>
      <c r="B338" s="79"/>
      <c r="C338" s="107"/>
      <c r="D338" s="514">
        <v>4120</v>
      </c>
      <c r="E338" s="109" t="s">
        <v>175</v>
      </c>
      <c r="F338" s="191">
        <v>130</v>
      </c>
      <c r="G338" s="83">
        <v>84.32</v>
      </c>
      <c r="H338" s="84">
        <f t="shared" si="102"/>
        <v>0.64861538461538459</v>
      </c>
      <c r="I338" s="85">
        <f>84.32+31.61</f>
        <v>115.92999999999999</v>
      </c>
      <c r="J338" s="86">
        <v>150</v>
      </c>
      <c r="K338" s="592">
        <f t="shared" si="99"/>
        <v>1.1538461538461537</v>
      </c>
      <c r="L338" s="513"/>
      <c r="M338" s="505"/>
      <c r="N338" s="505"/>
      <c r="O338" s="506"/>
      <c r="P338" s="505"/>
      <c r="Q338" s="505"/>
      <c r="R338" s="506"/>
      <c r="S338" s="83">
        <v>150</v>
      </c>
      <c r="T338" s="506"/>
      <c r="U338" s="506"/>
      <c r="V338" s="506"/>
      <c r="W338" s="506">
        <f t="shared" si="97"/>
        <v>150</v>
      </c>
    </row>
    <row r="339" spans="1:23" x14ac:dyDescent="0.2">
      <c r="A339" s="79"/>
      <c r="B339" s="79"/>
      <c r="C339" s="107"/>
      <c r="D339" s="514">
        <v>4170</v>
      </c>
      <c r="E339" s="109" t="s">
        <v>184</v>
      </c>
      <c r="F339" s="251">
        <v>92560</v>
      </c>
      <c r="G339" s="83">
        <v>53765.48</v>
      </c>
      <c r="H339" s="84">
        <f t="shared" si="102"/>
        <v>0.58087165082108905</v>
      </c>
      <c r="I339" s="85">
        <f>53765.48+34300+4000</f>
        <v>92065.48000000001</v>
      </c>
      <c r="J339" s="86">
        <v>101420</v>
      </c>
      <c r="K339" s="592">
        <f t="shared" si="99"/>
        <v>1.0957216940363008</v>
      </c>
      <c r="L339" s="513"/>
      <c r="M339" s="505"/>
      <c r="N339" s="505"/>
      <c r="O339" s="506"/>
      <c r="P339" s="505"/>
      <c r="Q339" s="505"/>
      <c r="R339" s="506"/>
      <c r="S339" s="83">
        <v>101420</v>
      </c>
      <c r="T339" s="506"/>
      <c r="U339" s="506"/>
      <c r="V339" s="506"/>
      <c r="W339" s="506">
        <f t="shared" si="97"/>
        <v>101420</v>
      </c>
    </row>
    <row r="340" spans="1:23" x14ac:dyDescent="0.2">
      <c r="A340" s="79"/>
      <c r="B340" s="79"/>
      <c r="C340" s="253"/>
      <c r="D340" s="516">
        <v>4210</v>
      </c>
      <c r="E340" s="160" t="s">
        <v>176</v>
      </c>
      <c r="F340" s="161">
        <v>29672</v>
      </c>
      <c r="G340" s="83">
        <v>3864.34</v>
      </c>
      <c r="H340" s="84">
        <f t="shared" si="102"/>
        <v>0.13023523860878944</v>
      </c>
      <c r="I340" s="85">
        <v>29672</v>
      </c>
      <c r="J340" s="86">
        <v>30070</v>
      </c>
      <c r="K340" s="592">
        <f t="shared" si="99"/>
        <v>1.0134133189538959</v>
      </c>
      <c r="L340" s="513"/>
      <c r="M340" s="505"/>
      <c r="N340" s="505"/>
      <c r="O340" s="506"/>
      <c r="P340" s="505"/>
      <c r="Q340" s="505"/>
      <c r="R340" s="506"/>
      <c r="S340" s="83">
        <v>30070</v>
      </c>
      <c r="T340" s="506"/>
      <c r="U340" s="506"/>
      <c r="V340" s="506"/>
      <c r="W340" s="506">
        <f t="shared" si="97"/>
        <v>30070</v>
      </c>
    </row>
    <row r="341" spans="1:23" x14ac:dyDescent="0.2">
      <c r="A341" s="79"/>
      <c r="B341" s="79"/>
      <c r="C341" s="303"/>
      <c r="D341" s="574">
        <v>4260</v>
      </c>
      <c r="E341" s="249" t="s">
        <v>185</v>
      </c>
      <c r="F341" s="530">
        <v>8940</v>
      </c>
      <c r="G341" s="141">
        <v>5897.42</v>
      </c>
      <c r="H341" s="84">
        <f t="shared" si="102"/>
        <v>0.65966666666666662</v>
      </c>
      <c r="I341" s="143">
        <v>8940</v>
      </c>
      <c r="J341" s="144">
        <v>8000</v>
      </c>
      <c r="K341" s="592">
        <f t="shared" si="99"/>
        <v>0.89485458612975388</v>
      </c>
      <c r="L341" s="604"/>
      <c r="M341" s="505"/>
      <c r="N341" s="505"/>
      <c r="O341" s="506"/>
      <c r="P341" s="505"/>
      <c r="Q341" s="505"/>
      <c r="R341" s="506"/>
      <c r="S341" s="141">
        <v>8000</v>
      </c>
      <c r="T341" s="506"/>
      <c r="U341" s="506"/>
      <c r="V341" s="506"/>
      <c r="W341" s="506">
        <f t="shared" si="97"/>
        <v>8000</v>
      </c>
    </row>
    <row r="342" spans="1:23" x14ac:dyDescent="0.2">
      <c r="A342" s="79"/>
      <c r="B342" s="79"/>
      <c r="C342" s="253"/>
      <c r="D342" s="516">
        <v>4270</v>
      </c>
      <c r="E342" s="160" t="s">
        <v>192</v>
      </c>
      <c r="F342" s="161">
        <v>54000</v>
      </c>
      <c r="G342" s="83">
        <v>0</v>
      </c>
      <c r="H342" s="84">
        <f t="shared" si="102"/>
        <v>0</v>
      </c>
      <c r="I342" s="85">
        <v>52290.5</v>
      </c>
      <c r="J342" s="86">
        <v>40000</v>
      </c>
      <c r="K342" s="592">
        <f t="shared" si="99"/>
        <v>0.7407407407407407</v>
      </c>
      <c r="L342" s="513"/>
      <c r="M342" s="505"/>
      <c r="N342" s="505"/>
      <c r="O342" s="506"/>
      <c r="P342" s="505"/>
      <c r="Q342" s="505"/>
      <c r="R342" s="506"/>
      <c r="S342" s="83">
        <v>40000</v>
      </c>
      <c r="T342" s="506"/>
      <c r="U342" s="506"/>
      <c r="V342" s="506"/>
      <c r="W342" s="506">
        <f t="shared" si="97"/>
        <v>40000</v>
      </c>
    </row>
    <row r="343" spans="1:23" x14ac:dyDescent="0.2">
      <c r="A343" s="79"/>
      <c r="B343" s="79"/>
      <c r="C343" s="303"/>
      <c r="D343" s="574">
        <v>4300</v>
      </c>
      <c r="E343" s="249" t="s">
        <v>177</v>
      </c>
      <c r="F343" s="573">
        <v>44560</v>
      </c>
      <c r="G343" s="141">
        <v>21144.37</v>
      </c>
      <c r="H343" s="84">
        <f t="shared" si="102"/>
        <v>0.47451458707360861</v>
      </c>
      <c r="I343" s="143">
        <v>44560</v>
      </c>
      <c r="J343" s="144">
        <v>45850</v>
      </c>
      <c r="K343" s="592">
        <f t="shared" si="99"/>
        <v>1.0289497307001796</v>
      </c>
      <c r="L343" s="604"/>
      <c r="M343" s="505"/>
      <c r="N343" s="505"/>
      <c r="O343" s="506"/>
      <c r="P343" s="505"/>
      <c r="Q343" s="505"/>
      <c r="R343" s="506"/>
      <c r="S343" s="141">
        <v>45850</v>
      </c>
      <c r="T343" s="506"/>
      <c r="U343" s="506"/>
      <c r="V343" s="506"/>
      <c r="W343" s="506">
        <f t="shared" si="97"/>
        <v>45850</v>
      </c>
    </row>
    <row r="344" spans="1:23" x14ac:dyDescent="0.2">
      <c r="A344" s="79"/>
      <c r="B344" s="79"/>
      <c r="C344" s="107"/>
      <c r="D344" s="514">
        <v>4350</v>
      </c>
      <c r="E344" s="109" t="s">
        <v>235</v>
      </c>
      <c r="F344" s="715">
        <v>1200</v>
      </c>
      <c r="G344" s="83">
        <v>535.33000000000004</v>
      </c>
      <c r="H344" s="84">
        <f t="shared" si="102"/>
        <v>0.44610833333333338</v>
      </c>
      <c r="I344" s="85">
        <v>1200</v>
      </c>
      <c r="J344" s="86">
        <v>1200</v>
      </c>
      <c r="K344" s="592">
        <f t="shared" si="99"/>
        <v>1</v>
      </c>
      <c r="L344" s="513"/>
      <c r="M344" s="505"/>
      <c r="N344" s="505"/>
      <c r="O344" s="506"/>
      <c r="P344" s="505"/>
      <c r="Q344" s="505"/>
      <c r="R344" s="506"/>
      <c r="S344" s="83">
        <v>1200</v>
      </c>
      <c r="T344" s="506"/>
      <c r="U344" s="506"/>
      <c r="V344" s="506"/>
      <c r="W344" s="506">
        <f t="shared" si="97"/>
        <v>1200</v>
      </c>
    </row>
    <row r="345" spans="1:23" ht="33.75" x14ac:dyDescent="0.2">
      <c r="A345" s="79"/>
      <c r="B345" s="79"/>
      <c r="C345" s="253"/>
      <c r="D345" s="516">
        <v>4370</v>
      </c>
      <c r="E345" s="160" t="s">
        <v>271</v>
      </c>
      <c r="F345" s="634">
        <v>1150</v>
      </c>
      <c r="G345" s="83">
        <v>427.59</v>
      </c>
      <c r="H345" s="84">
        <f t="shared" si="102"/>
        <v>0.37181739130434782</v>
      </c>
      <c r="I345" s="85">
        <v>1150</v>
      </c>
      <c r="J345" s="86">
        <v>1150</v>
      </c>
      <c r="K345" s="592">
        <f t="shared" si="99"/>
        <v>1</v>
      </c>
      <c r="L345" s="513"/>
      <c r="M345" s="505"/>
      <c r="N345" s="505"/>
      <c r="O345" s="506"/>
      <c r="P345" s="505"/>
      <c r="Q345" s="505"/>
      <c r="R345" s="506"/>
      <c r="S345" s="83">
        <v>1150</v>
      </c>
      <c r="T345" s="506"/>
      <c r="U345" s="506"/>
      <c r="V345" s="506"/>
      <c r="W345" s="506">
        <f t="shared" si="97"/>
        <v>1150</v>
      </c>
    </row>
    <row r="346" spans="1:23" x14ac:dyDescent="0.2">
      <c r="A346" s="79"/>
      <c r="B346" s="79"/>
      <c r="C346" s="303"/>
      <c r="D346" s="574">
        <v>4410</v>
      </c>
      <c r="E346" s="249" t="s">
        <v>179</v>
      </c>
      <c r="F346" s="530">
        <v>1000</v>
      </c>
      <c r="G346" s="141">
        <v>30.92</v>
      </c>
      <c r="H346" s="84">
        <f t="shared" si="102"/>
        <v>3.0920000000000003E-2</v>
      </c>
      <c r="I346" s="143">
        <v>99.92</v>
      </c>
      <c r="J346" s="144">
        <v>740</v>
      </c>
      <c r="K346" s="592">
        <f t="shared" si="99"/>
        <v>0.74</v>
      </c>
      <c r="L346" s="604"/>
      <c r="M346" s="505"/>
      <c r="N346" s="505"/>
      <c r="O346" s="506"/>
      <c r="P346" s="505"/>
      <c r="Q346" s="505"/>
      <c r="R346" s="506"/>
      <c r="S346" s="141">
        <v>740</v>
      </c>
      <c r="T346" s="506"/>
      <c r="U346" s="506"/>
      <c r="V346" s="506"/>
      <c r="W346" s="506">
        <f t="shared" si="97"/>
        <v>740</v>
      </c>
    </row>
    <row r="347" spans="1:23" x14ac:dyDescent="0.2">
      <c r="A347" s="79"/>
      <c r="B347" s="118">
        <v>85195</v>
      </c>
      <c r="C347" s="70"/>
      <c r="D347" s="103"/>
      <c r="E347" s="72" t="s">
        <v>23</v>
      </c>
      <c r="F347" s="73">
        <f>SUM(F348:F348)</f>
        <v>4000</v>
      </c>
      <c r="G347" s="75">
        <f>SUM(G348:G348)</f>
        <v>199.26</v>
      </c>
      <c r="H347" s="223">
        <f t="shared" si="102"/>
        <v>4.9814999999999998E-2</v>
      </c>
      <c r="I347" s="75">
        <f>SUM(I348:I348)</f>
        <v>199.26</v>
      </c>
      <c r="J347" s="76">
        <f>SUM(J348:J348)</f>
        <v>2000</v>
      </c>
      <c r="K347" s="1084">
        <f>J347/F347</f>
        <v>0.5</v>
      </c>
      <c r="L347" s="1080"/>
      <c r="M347" s="510">
        <f t="shared" ref="M347:V347" si="104">SUM(M348:M348)</f>
        <v>0</v>
      </c>
      <c r="N347" s="510">
        <f t="shared" si="104"/>
        <v>0</v>
      </c>
      <c r="O347" s="510">
        <f t="shared" si="104"/>
        <v>0</v>
      </c>
      <c r="P347" s="510">
        <f>P348</f>
        <v>0</v>
      </c>
      <c r="Q347" s="510">
        <f>Q348</f>
        <v>2000</v>
      </c>
      <c r="R347" s="510">
        <f t="shared" si="104"/>
        <v>0</v>
      </c>
      <c r="S347" s="510">
        <f t="shared" si="104"/>
        <v>0</v>
      </c>
      <c r="T347" s="510">
        <f t="shared" si="104"/>
        <v>0</v>
      </c>
      <c r="U347" s="510">
        <f t="shared" si="104"/>
        <v>0</v>
      </c>
      <c r="V347" s="510">
        <f t="shared" si="104"/>
        <v>0</v>
      </c>
      <c r="W347" s="510">
        <f t="shared" si="97"/>
        <v>2000</v>
      </c>
    </row>
    <row r="348" spans="1:23" x14ac:dyDescent="0.2">
      <c r="A348" s="79"/>
      <c r="B348" s="79"/>
      <c r="C348" s="303"/>
      <c r="D348" s="574">
        <v>4300</v>
      </c>
      <c r="E348" s="249" t="s">
        <v>177</v>
      </c>
      <c r="F348" s="530">
        <v>4000</v>
      </c>
      <c r="G348" s="141">
        <v>199.26</v>
      </c>
      <c r="H348" s="142">
        <f t="shared" si="102"/>
        <v>4.9814999999999998E-2</v>
      </c>
      <c r="I348" s="143">
        <v>199.26</v>
      </c>
      <c r="J348" s="144">
        <v>2000</v>
      </c>
      <c r="K348" s="591">
        <f t="shared" si="99"/>
        <v>0.5</v>
      </c>
      <c r="L348" s="513"/>
      <c r="M348" s="505"/>
      <c r="N348" s="505"/>
      <c r="O348" s="506"/>
      <c r="P348" s="505"/>
      <c r="Q348" s="505">
        <v>2000</v>
      </c>
      <c r="R348" s="506"/>
      <c r="S348" s="506"/>
      <c r="T348" s="506"/>
      <c r="U348" s="506"/>
      <c r="V348" s="506"/>
      <c r="W348" s="506">
        <f t="shared" si="97"/>
        <v>2000</v>
      </c>
    </row>
    <row r="349" spans="1:23" s="756" customFormat="1" x14ac:dyDescent="0.2">
      <c r="A349" s="757">
        <v>852</v>
      </c>
      <c r="B349" s="145"/>
      <c r="C349" s="145"/>
      <c r="D349" s="192"/>
      <c r="E349" s="193" t="s">
        <v>103</v>
      </c>
      <c r="F349" s="758">
        <f>F364+F383+F386+F388+F390+F393+F416+F424+F350+F354+F422</f>
        <v>9399386</v>
      </c>
      <c r="G349" s="758">
        <f>G364+G383+G386+G388+G390+G393+G416+G424+G350+G354+G422</f>
        <v>7263558.540000001</v>
      </c>
      <c r="H349" s="195">
        <f t="shared" si="102"/>
        <v>0.77276947026114273</v>
      </c>
      <c r="I349" s="231">
        <f>I364+I383+I386+I388+I390+I393+I416+I424+I350+I354+I422</f>
        <v>9342187.8300000001</v>
      </c>
      <c r="J349" s="231">
        <f>J364+J383+J386+J388+J390+J393+J416+J424+J350+J354+J422</f>
        <v>9104130</v>
      </c>
      <c r="K349" s="1097">
        <f>J349/F349</f>
        <v>0.96858773541165344</v>
      </c>
      <c r="L349" s="1095"/>
      <c r="M349" s="759">
        <f t="shared" ref="M349:V349" si="105">M364+M383+M386+M388+M390+M393+M416+M424+M350+M354+M422</f>
        <v>0</v>
      </c>
      <c r="N349" s="759">
        <f t="shared" si="105"/>
        <v>0</v>
      </c>
      <c r="O349" s="759">
        <f t="shared" si="105"/>
        <v>500790</v>
      </c>
      <c r="P349" s="759">
        <f t="shared" si="105"/>
        <v>0</v>
      </c>
      <c r="Q349" s="759">
        <f t="shared" si="105"/>
        <v>0</v>
      </c>
      <c r="R349" s="759">
        <f t="shared" si="105"/>
        <v>11050</v>
      </c>
      <c r="S349" s="759">
        <f t="shared" si="105"/>
        <v>0</v>
      </c>
      <c r="T349" s="759">
        <f t="shared" si="105"/>
        <v>0</v>
      </c>
      <c r="U349" s="759">
        <f t="shared" si="105"/>
        <v>8592290</v>
      </c>
      <c r="V349" s="759">
        <f t="shared" si="105"/>
        <v>0</v>
      </c>
      <c r="W349" s="759">
        <f t="shared" si="97"/>
        <v>9104130</v>
      </c>
    </row>
    <row r="350" spans="1:23" ht="22.5" x14ac:dyDescent="0.2">
      <c r="A350" s="79"/>
      <c r="B350" s="237">
        <v>85205</v>
      </c>
      <c r="C350" s="295"/>
      <c r="D350" s="296"/>
      <c r="E350" s="297" t="s">
        <v>295</v>
      </c>
      <c r="F350" s="298">
        <f>SUM(F351:F353)</f>
        <v>1800</v>
      </c>
      <c r="G350" s="300">
        <f>SUM(G351:G353)</f>
        <v>295.39999999999998</v>
      </c>
      <c r="H350" s="299">
        <f t="shared" si="102"/>
        <v>0.1641111111111111</v>
      </c>
      <c r="I350" s="300">
        <f>SUM(I351:I353)</f>
        <v>1795.4</v>
      </c>
      <c r="J350" s="301">
        <f>SUM(J351:J353)</f>
        <v>1800</v>
      </c>
      <c r="K350" s="1098">
        <f>J350/F350</f>
        <v>1</v>
      </c>
      <c r="L350" s="1088"/>
      <c r="M350" s="570">
        <f>SUM(M351:M353)</f>
        <v>0</v>
      </c>
      <c r="N350" s="570">
        <f t="shared" ref="N350:W350" si="106">SUM(N351:N353)</f>
        <v>0</v>
      </c>
      <c r="O350" s="570">
        <f t="shared" si="106"/>
        <v>0</v>
      </c>
      <c r="P350" s="570">
        <f t="shared" si="106"/>
        <v>0</v>
      </c>
      <c r="Q350" s="570">
        <f t="shared" si="106"/>
        <v>0</v>
      </c>
      <c r="R350" s="570">
        <f t="shared" si="106"/>
        <v>0</v>
      </c>
      <c r="S350" s="570">
        <f t="shared" si="106"/>
        <v>0</v>
      </c>
      <c r="T350" s="570">
        <f t="shared" si="106"/>
        <v>0</v>
      </c>
      <c r="U350" s="570">
        <f t="shared" si="106"/>
        <v>1800</v>
      </c>
      <c r="V350" s="570">
        <f t="shared" si="106"/>
        <v>0</v>
      </c>
      <c r="W350" s="570">
        <f t="shared" si="106"/>
        <v>1800</v>
      </c>
    </row>
    <row r="351" spans="1:23" x14ac:dyDescent="0.2">
      <c r="A351" s="79"/>
      <c r="B351" s="79"/>
      <c r="C351" s="303"/>
      <c r="D351" s="574">
        <v>4170</v>
      </c>
      <c r="E351" s="249" t="s">
        <v>184</v>
      </c>
      <c r="F351" s="760">
        <v>1500</v>
      </c>
      <c r="G351" s="141">
        <v>0</v>
      </c>
      <c r="H351" s="142">
        <f t="shared" si="102"/>
        <v>0</v>
      </c>
      <c r="I351" s="143">
        <v>1500</v>
      </c>
      <c r="J351" s="144">
        <v>0</v>
      </c>
      <c r="K351" s="591">
        <f t="shared" si="99"/>
        <v>0</v>
      </c>
      <c r="L351" s="604"/>
      <c r="M351" s="505"/>
      <c r="N351" s="505"/>
      <c r="O351" s="506"/>
      <c r="P351" s="505"/>
      <c r="Q351" s="505"/>
      <c r="R351" s="506"/>
      <c r="S351" s="506"/>
      <c r="T351" s="506"/>
      <c r="U351" s="141">
        <v>0</v>
      </c>
      <c r="V351" s="506"/>
      <c r="W351" s="506">
        <f t="shared" si="97"/>
        <v>0</v>
      </c>
    </row>
    <row r="352" spans="1:23" x14ac:dyDescent="0.2">
      <c r="A352" s="79"/>
      <c r="B352" s="79"/>
      <c r="C352" s="107"/>
      <c r="D352" s="514">
        <v>4210</v>
      </c>
      <c r="E352" s="109" t="s">
        <v>176</v>
      </c>
      <c r="F352" s="120">
        <v>300</v>
      </c>
      <c r="G352" s="93">
        <v>295.39999999999998</v>
      </c>
      <c r="H352" s="94">
        <f t="shared" si="102"/>
        <v>0.98466666666666658</v>
      </c>
      <c r="I352" s="85">
        <v>295.39999999999998</v>
      </c>
      <c r="J352" s="86">
        <v>300</v>
      </c>
      <c r="K352" s="592">
        <f t="shared" si="99"/>
        <v>1</v>
      </c>
      <c r="L352" s="513"/>
      <c r="M352" s="505"/>
      <c r="N352" s="505"/>
      <c r="O352" s="506"/>
      <c r="P352" s="505"/>
      <c r="Q352" s="505"/>
      <c r="R352" s="506"/>
      <c r="S352" s="506"/>
      <c r="T352" s="506"/>
      <c r="U352" s="83">
        <v>300</v>
      </c>
      <c r="V352" s="506"/>
      <c r="W352" s="506">
        <f t="shared" si="97"/>
        <v>300</v>
      </c>
    </row>
    <row r="353" spans="1:23" x14ac:dyDescent="0.2">
      <c r="A353" s="79"/>
      <c r="B353" s="79"/>
      <c r="C353" s="253"/>
      <c r="D353" s="574">
        <v>4300</v>
      </c>
      <c r="E353" s="263" t="s">
        <v>177</v>
      </c>
      <c r="F353" s="121">
        <v>0</v>
      </c>
      <c r="G353" s="83">
        <v>0</v>
      </c>
      <c r="H353" s="84">
        <v>0</v>
      </c>
      <c r="I353" s="1074">
        <v>0</v>
      </c>
      <c r="J353" s="96">
        <v>1500</v>
      </c>
      <c r="K353" s="591">
        <v>0</v>
      </c>
      <c r="L353" s="636"/>
      <c r="M353" s="1100"/>
      <c r="N353" s="1100"/>
      <c r="O353" s="1101"/>
      <c r="P353" s="1100"/>
      <c r="Q353" s="1100"/>
      <c r="R353" s="1101"/>
      <c r="S353" s="1101"/>
      <c r="T353" s="1101"/>
      <c r="U353" s="93">
        <v>1500</v>
      </c>
      <c r="V353" s="1101"/>
      <c r="W353" s="506">
        <f t="shared" si="97"/>
        <v>1500</v>
      </c>
    </row>
    <row r="354" spans="1:23" x14ac:dyDescent="0.2">
      <c r="A354" s="79"/>
      <c r="B354" s="761">
        <v>85206</v>
      </c>
      <c r="C354" s="577"/>
      <c r="D354" s="255"/>
      <c r="E354" s="256" t="s">
        <v>104</v>
      </c>
      <c r="F354" s="257">
        <f>SUM(F355:F363)</f>
        <v>218762</v>
      </c>
      <c r="G354" s="257">
        <f>SUM(G355:G363)</f>
        <v>122473.89</v>
      </c>
      <c r="H354" s="1102">
        <f>G354/F354</f>
        <v>0.55984992823250834</v>
      </c>
      <c r="I354" s="257">
        <f>SUM(I355:I363)</f>
        <v>190362</v>
      </c>
      <c r="J354" s="762">
        <f>SUM(J355:J363)</f>
        <v>242510</v>
      </c>
      <c r="K354" s="1099">
        <f>J354/F354</f>
        <v>1.1085563306241486</v>
      </c>
      <c r="L354" s="1096"/>
      <c r="M354" s="763">
        <f>SUM(M355:M363)</f>
        <v>0</v>
      </c>
      <c r="N354" s="763">
        <f t="shared" ref="N354:V354" si="107">SUM(N355:N363)</f>
        <v>0</v>
      </c>
      <c r="O354" s="763">
        <f t="shared" si="107"/>
        <v>0</v>
      </c>
      <c r="P354" s="763">
        <f t="shared" si="107"/>
        <v>0</v>
      </c>
      <c r="Q354" s="763">
        <f t="shared" si="107"/>
        <v>0</v>
      </c>
      <c r="R354" s="763">
        <f t="shared" si="107"/>
        <v>0</v>
      </c>
      <c r="S354" s="763">
        <f t="shared" si="107"/>
        <v>0</v>
      </c>
      <c r="T354" s="763">
        <f t="shared" si="107"/>
        <v>0</v>
      </c>
      <c r="U354" s="763">
        <f t="shared" si="107"/>
        <v>242510</v>
      </c>
      <c r="V354" s="763">
        <f t="shared" si="107"/>
        <v>0</v>
      </c>
      <c r="W354" s="763">
        <f t="shared" si="97"/>
        <v>242510</v>
      </c>
    </row>
    <row r="355" spans="1:23" ht="22.5" x14ac:dyDescent="0.2">
      <c r="A355" s="79"/>
      <c r="B355" s="318"/>
      <c r="C355" s="764"/>
      <c r="D355" s="765">
        <v>3020</v>
      </c>
      <c r="E355" s="109" t="s">
        <v>219</v>
      </c>
      <c r="F355" s="320">
        <v>800</v>
      </c>
      <c r="G355" s="320">
        <v>0</v>
      </c>
      <c r="H355" s="766">
        <f>G355/F355</f>
        <v>0</v>
      </c>
      <c r="I355" s="767">
        <v>800</v>
      </c>
      <c r="J355" s="768">
        <v>800</v>
      </c>
      <c r="K355" s="752">
        <f>J355/F355</f>
        <v>1</v>
      </c>
      <c r="L355" s="582"/>
      <c r="M355" s="505"/>
      <c r="N355" s="505"/>
      <c r="O355" s="506"/>
      <c r="P355" s="505"/>
      <c r="Q355" s="505"/>
      <c r="R355" s="506"/>
      <c r="S355" s="506"/>
      <c r="T355" s="506"/>
      <c r="U355" s="320">
        <v>800</v>
      </c>
      <c r="V355" s="506"/>
      <c r="W355" s="506">
        <f t="shared" si="97"/>
        <v>800</v>
      </c>
    </row>
    <row r="356" spans="1:23" x14ac:dyDescent="0.2">
      <c r="A356" s="79"/>
      <c r="B356" s="769"/>
      <c r="C356" s="35"/>
      <c r="D356" s="770">
        <v>4010</v>
      </c>
      <c r="E356" s="249" t="s">
        <v>173</v>
      </c>
      <c r="F356" s="771">
        <v>97013.53</v>
      </c>
      <c r="G356" s="772">
        <v>37869.33</v>
      </c>
      <c r="H356" s="766">
        <f t="shared" ref="H356:H363" si="108">G356/F356</f>
        <v>0.3903510159871515</v>
      </c>
      <c r="I356" s="772">
        <v>68613.53</v>
      </c>
      <c r="J356" s="525">
        <v>53424</v>
      </c>
      <c r="K356" s="752">
        <f t="shared" ref="K356:K363" si="109">J356/F356</f>
        <v>0.55068607440632256</v>
      </c>
      <c r="L356" s="582"/>
      <c r="M356" s="505"/>
      <c r="N356" s="505"/>
      <c r="O356" s="506"/>
      <c r="P356" s="505"/>
      <c r="Q356" s="505"/>
      <c r="R356" s="506"/>
      <c r="S356" s="506"/>
      <c r="T356" s="506"/>
      <c r="U356" s="528">
        <v>53424</v>
      </c>
      <c r="V356" s="506"/>
      <c r="W356" s="506">
        <f t="shared" si="97"/>
        <v>53424</v>
      </c>
    </row>
    <row r="357" spans="1:23" x14ac:dyDescent="0.2">
      <c r="A357" s="79"/>
      <c r="B357" s="769"/>
      <c r="C357" s="394"/>
      <c r="D357" s="516">
        <v>4040</v>
      </c>
      <c r="E357" s="160" t="s">
        <v>213</v>
      </c>
      <c r="F357" s="564">
        <v>2992</v>
      </c>
      <c r="G357" s="396">
        <v>2992</v>
      </c>
      <c r="H357" s="766">
        <f t="shared" si="108"/>
        <v>1</v>
      </c>
      <c r="I357" s="396">
        <v>2992</v>
      </c>
      <c r="J357" s="324">
        <v>4181</v>
      </c>
      <c r="K357" s="752">
        <f t="shared" si="109"/>
        <v>1.3973930481283423</v>
      </c>
      <c r="L357" s="582"/>
      <c r="M357" s="505"/>
      <c r="N357" s="505"/>
      <c r="O357" s="506"/>
      <c r="P357" s="505"/>
      <c r="Q357" s="505"/>
      <c r="R357" s="506"/>
      <c r="S357" s="506"/>
      <c r="T357" s="506"/>
      <c r="U357" s="773">
        <v>4181</v>
      </c>
      <c r="V357" s="506"/>
      <c r="W357" s="506">
        <f t="shared" si="97"/>
        <v>4181</v>
      </c>
    </row>
    <row r="358" spans="1:23" x14ac:dyDescent="0.2">
      <c r="A358" s="79"/>
      <c r="B358" s="769"/>
      <c r="C358" s="555"/>
      <c r="D358" s="775">
        <v>4110</v>
      </c>
      <c r="E358" s="163" t="s">
        <v>174</v>
      </c>
      <c r="F358" s="776">
        <v>17221.48</v>
      </c>
      <c r="G358" s="777">
        <v>6264.23</v>
      </c>
      <c r="H358" s="766">
        <f t="shared" si="108"/>
        <v>0.36374516011399716</v>
      </c>
      <c r="I358" s="777">
        <v>17221.48</v>
      </c>
      <c r="J358" s="357">
        <v>9920</v>
      </c>
      <c r="K358" s="66">
        <f t="shared" si="109"/>
        <v>0.57602482481180484</v>
      </c>
      <c r="L358" s="582"/>
      <c r="M358" s="505"/>
      <c r="N358" s="505"/>
      <c r="O358" s="506"/>
      <c r="P358" s="505"/>
      <c r="Q358" s="505"/>
      <c r="R358" s="506"/>
      <c r="S358" s="506"/>
      <c r="T358" s="506"/>
      <c r="U358" s="321">
        <v>9920</v>
      </c>
      <c r="V358" s="506"/>
      <c r="W358" s="506">
        <f t="shared" si="97"/>
        <v>9920</v>
      </c>
    </row>
    <row r="359" spans="1:23" x14ac:dyDescent="0.2">
      <c r="A359" s="79"/>
      <c r="B359" s="769"/>
      <c r="C359" s="555"/>
      <c r="D359" s="775">
        <v>4120</v>
      </c>
      <c r="E359" s="163" t="s">
        <v>175</v>
      </c>
      <c r="F359" s="776">
        <v>2449.9899999999998</v>
      </c>
      <c r="G359" s="777">
        <v>891.25</v>
      </c>
      <c r="H359" s="766">
        <f t="shared" si="108"/>
        <v>0.36377699500814292</v>
      </c>
      <c r="I359" s="777">
        <v>2449.9899999999998</v>
      </c>
      <c r="J359" s="357">
        <v>1411</v>
      </c>
      <c r="K359" s="752">
        <f t="shared" si="109"/>
        <v>0.57592071804374712</v>
      </c>
      <c r="L359" s="679"/>
      <c r="M359" s="505"/>
      <c r="N359" s="505"/>
      <c r="O359" s="506"/>
      <c r="P359" s="505"/>
      <c r="Q359" s="505"/>
      <c r="R359" s="506"/>
      <c r="S359" s="506"/>
      <c r="T359" s="506"/>
      <c r="U359" s="599">
        <v>1411</v>
      </c>
      <c r="V359" s="506"/>
      <c r="W359" s="506">
        <f t="shared" si="97"/>
        <v>1411</v>
      </c>
    </row>
    <row r="360" spans="1:23" x14ac:dyDescent="0.2">
      <c r="A360" s="79"/>
      <c r="B360" s="769"/>
      <c r="C360" s="555"/>
      <c r="D360" s="775">
        <v>4210</v>
      </c>
      <c r="E360" s="163" t="s">
        <v>176</v>
      </c>
      <c r="F360" s="776">
        <v>3200</v>
      </c>
      <c r="G360" s="777">
        <v>1364.09</v>
      </c>
      <c r="H360" s="766">
        <f t="shared" si="108"/>
        <v>0.42627812499999995</v>
      </c>
      <c r="I360" s="777">
        <v>3200</v>
      </c>
      <c r="J360" s="357">
        <v>3200</v>
      </c>
      <c r="K360" s="752">
        <f t="shared" si="109"/>
        <v>1</v>
      </c>
      <c r="L360" s="582"/>
      <c r="M360" s="505"/>
      <c r="N360" s="505"/>
      <c r="O360" s="506"/>
      <c r="P360" s="505"/>
      <c r="Q360" s="505"/>
      <c r="R360" s="506"/>
      <c r="S360" s="506"/>
      <c r="T360" s="506"/>
      <c r="U360" s="599">
        <v>3200</v>
      </c>
      <c r="V360" s="506"/>
      <c r="W360" s="506">
        <f t="shared" si="97"/>
        <v>3200</v>
      </c>
    </row>
    <row r="361" spans="1:23" ht="33.75" x14ac:dyDescent="0.2">
      <c r="A361" s="79"/>
      <c r="B361" s="769"/>
      <c r="C361" s="555"/>
      <c r="D361" s="734">
        <v>4330</v>
      </c>
      <c r="E361" s="163" t="s">
        <v>296</v>
      </c>
      <c r="F361" s="776">
        <v>87783</v>
      </c>
      <c r="G361" s="777">
        <v>66854.960000000006</v>
      </c>
      <c r="H361" s="766">
        <f t="shared" si="108"/>
        <v>0.76159347481858686</v>
      </c>
      <c r="I361" s="777">
        <v>87783</v>
      </c>
      <c r="J361" s="357">
        <v>161272</v>
      </c>
      <c r="K361" s="752">
        <f t="shared" si="109"/>
        <v>1.8371666495790757</v>
      </c>
      <c r="L361" s="582"/>
      <c r="M361" s="505"/>
      <c r="N361" s="505"/>
      <c r="O361" s="506"/>
      <c r="P361" s="505"/>
      <c r="Q361" s="505"/>
      <c r="R361" s="506"/>
      <c r="S361" s="506"/>
      <c r="T361" s="506"/>
      <c r="U361" s="599">
        <v>161272</v>
      </c>
      <c r="V361" s="506"/>
      <c r="W361" s="506">
        <f t="shared" si="97"/>
        <v>161272</v>
      </c>
    </row>
    <row r="362" spans="1:23" x14ac:dyDescent="0.2">
      <c r="A362" s="79"/>
      <c r="B362" s="769"/>
      <c r="C362" s="394"/>
      <c r="D362" s="774">
        <v>4410</v>
      </c>
      <c r="E362" s="166" t="s">
        <v>179</v>
      </c>
      <c r="F362" s="564">
        <v>5000</v>
      </c>
      <c r="G362" s="396">
        <v>3936.03</v>
      </c>
      <c r="H362" s="322">
        <f t="shared" si="108"/>
        <v>0.78720600000000007</v>
      </c>
      <c r="I362" s="396">
        <v>5000</v>
      </c>
      <c r="J362" s="324">
        <v>6000</v>
      </c>
      <c r="K362" s="43">
        <f t="shared" si="109"/>
        <v>1.2</v>
      </c>
      <c r="L362" s="582"/>
      <c r="M362" s="505"/>
      <c r="N362" s="505"/>
      <c r="O362" s="506"/>
      <c r="P362" s="505"/>
      <c r="Q362" s="505"/>
      <c r="R362" s="506"/>
      <c r="S362" s="506"/>
      <c r="T362" s="506"/>
      <c r="U362" s="773">
        <v>6000</v>
      </c>
      <c r="V362" s="506"/>
      <c r="W362" s="506">
        <f t="shared" si="97"/>
        <v>6000</v>
      </c>
    </row>
    <row r="363" spans="1:23" ht="22.5" x14ac:dyDescent="0.2">
      <c r="A363" s="79"/>
      <c r="B363" s="778"/>
      <c r="C363" s="555"/>
      <c r="D363" s="734">
        <v>4440</v>
      </c>
      <c r="E363" s="163" t="s">
        <v>242</v>
      </c>
      <c r="F363" s="776">
        <v>2302</v>
      </c>
      <c r="G363" s="777">
        <v>2302</v>
      </c>
      <c r="H363" s="766">
        <f t="shared" si="108"/>
        <v>1</v>
      </c>
      <c r="I363" s="777">
        <v>2302</v>
      </c>
      <c r="J363" s="357">
        <v>2302</v>
      </c>
      <c r="K363" s="66">
        <f t="shared" si="109"/>
        <v>1</v>
      </c>
      <c r="L363" s="582"/>
      <c r="M363" s="505"/>
      <c r="N363" s="505"/>
      <c r="O363" s="506"/>
      <c r="P363" s="505"/>
      <c r="Q363" s="505"/>
      <c r="R363" s="506"/>
      <c r="S363" s="506"/>
      <c r="T363" s="506"/>
      <c r="U363" s="773">
        <v>2302</v>
      </c>
      <c r="V363" s="506"/>
      <c r="W363" s="506">
        <f t="shared" si="97"/>
        <v>2302</v>
      </c>
    </row>
    <row r="364" spans="1:23" ht="45" x14ac:dyDescent="0.2">
      <c r="A364" s="79"/>
      <c r="B364" s="779">
        <v>85212</v>
      </c>
      <c r="C364" s="548"/>
      <c r="D364" s="199"/>
      <c r="E364" s="350" t="s">
        <v>105</v>
      </c>
      <c r="F364" s="717">
        <f>SUM(F365:F382)</f>
        <v>5870144</v>
      </c>
      <c r="G364" s="203">
        <f>SUM(G365:G382)</f>
        <v>4679709.2300000004</v>
      </c>
      <c r="H364" s="204">
        <f t="shared" si="102"/>
        <v>0.79720518440433497</v>
      </c>
      <c r="I364" s="203">
        <f>SUM(I365:I382)</f>
        <v>5868485.9400000004</v>
      </c>
      <c r="J364" s="205">
        <f>SUM(J365:J382)</f>
        <v>5648719</v>
      </c>
      <c r="K364" s="1112">
        <f>J364/F364</f>
        <v>0.96227946026537003</v>
      </c>
      <c r="L364" s="1106"/>
      <c r="M364" s="617">
        <f t="shared" ref="M364:V364" si="110">SUM(M365:M382)</f>
        <v>0</v>
      </c>
      <c r="N364" s="617">
        <f t="shared" si="110"/>
        <v>0</v>
      </c>
      <c r="O364" s="617">
        <f t="shared" si="110"/>
        <v>0</v>
      </c>
      <c r="P364" s="617">
        <f t="shared" si="110"/>
        <v>0</v>
      </c>
      <c r="Q364" s="617">
        <f t="shared" si="110"/>
        <v>0</v>
      </c>
      <c r="R364" s="617">
        <f t="shared" si="110"/>
        <v>10500</v>
      </c>
      <c r="S364" s="617">
        <f t="shared" si="110"/>
        <v>0</v>
      </c>
      <c r="T364" s="617">
        <f t="shared" si="110"/>
        <v>0</v>
      </c>
      <c r="U364" s="617">
        <f t="shared" si="110"/>
        <v>5638219</v>
      </c>
      <c r="V364" s="617">
        <f t="shared" si="110"/>
        <v>0</v>
      </c>
      <c r="W364" s="617">
        <f>SUM(M364:V364)</f>
        <v>5648719</v>
      </c>
    </row>
    <row r="365" spans="1:23" ht="56.25" x14ac:dyDescent="0.2">
      <c r="A365" s="79"/>
      <c r="B365" s="79"/>
      <c r="C365" s="79"/>
      <c r="D365" s="616">
        <v>2910</v>
      </c>
      <c r="E365" s="169" t="s">
        <v>297</v>
      </c>
      <c r="F365" s="326">
        <v>9000</v>
      </c>
      <c r="G365" s="141">
        <v>7341.94</v>
      </c>
      <c r="H365" s="142">
        <f t="shared" si="102"/>
        <v>0.81577111111111111</v>
      </c>
      <c r="I365" s="143">
        <v>7341.94</v>
      </c>
      <c r="J365" s="144">
        <v>9000</v>
      </c>
      <c r="K365" s="591">
        <f t="shared" si="99"/>
        <v>1</v>
      </c>
      <c r="L365" s="513"/>
      <c r="M365" s="505"/>
      <c r="N365" s="505"/>
      <c r="O365" s="506"/>
      <c r="P365" s="505"/>
      <c r="Q365" s="505"/>
      <c r="R365" s="506">
        <v>9000</v>
      </c>
      <c r="S365" s="506"/>
      <c r="T365" s="506"/>
      <c r="U365" s="506"/>
      <c r="V365" s="506"/>
      <c r="W365" s="506">
        <f>SUM(M365:V365)</f>
        <v>9000</v>
      </c>
    </row>
    <row r="366" spans="1:23" x14ac:dyDescent="0.2">
      <c r="A366" s="79"/>
      <c r="B366" s="79"/>
      <c r="C366" s="253"/>
      <c r="D366" s="516">
        <v>3110</v>
      </c>
      <c r="E366" s="160" t="s">
        <v>298</v>
      </c>
      <c r="F366" s="175">
        <v>5514944</v>
      </c>
      <c r="G366" s="83">
        <v>4408286.2699999996</v>
      </c>
      <c r="H366" s="142">
        <f t="shared" si="102"/>
        <v>0.79933472941882988</v>
      </c>
      <c r="I366" s="85">
        <v>5514944</v>
      </c>
      <c r="J366" s="86">
        <v>5323156</v>
      </c>
      <c r="K366" s="591">
        <f t="shared" si="99"/>
        <v>0.96522394425038582</v>
      </c>
      <c r="L366" s="513"/>
      <c r="M366" s="505"/>
      <c r="N366" s="505"/>
      <c r="O366" s="506"/>
      <c r="P366" s="505"/>
      <c r="Q366" s="505"/>
      <c r="R366" s="506"/>
      <c r="S366" s="506"/>
      <c r="T366" s="506"/>
      <c r="U366" s="83">
        <v>5323156</v>
      </c>
      <c r="V366" s="506"/>
      <c r="W366" s="506">
        <f t="shared" ref="W366:W415" si="111">SUM(M366:V366)</f>
        <v>5323156</v>
      </c>
    </row>
    <row r="367" spans="1:23" x14ac:dyDescent="0.2">
      <c r="A367" s="79"/>
      <c r="B367" s="79"/>
      <c r="C367" s="303"/>
      <c r="D367" s="574">
        <v>4010</v>
      </c>
      <c r="E367" s="249" t="s">
        <v>173</v>
      </c>
      <c r="F367" s="250">
        <v>126668</v>
      </c>
      <c r="G367" s="141">
        <v>93014.86</v>
      </c>
      <c r="H367" s="142">
        <f t="shared" si="102"/>
        <v>0.73432011241986928</v>
      </c>
      <c r="I367" s="143">
        <v>126668</v>
      </c>
      <c r="J367" s="144">
        <v>135148</v>
      </c>
      <c r="K367" s="591">
        <f t="shared" si="99"/>
        <v>1.0669466637193292</v>
      </c>
      <c r="L367" s="604"/>
      <c r="M367" s="505"/>
      <c r="N367" s="505"/>
      <c r="O367" s="506"/>
      <c r="P367" s="505"/>
      <c r="Q367" s="505"/>
      <c r="R367" s="506"/>
      <c r="S367" s="506"/>
      <c r="T367" s="506"/>
      <c r="U367" s="141">
        <v>135148</v>
      </c>
      <c r="V367" s="506"/>
      <c r="W367" s="506">
        <f t="shared" si="111"/>
        <v>135148</v>
      </c>
    </row>
    <row r="368" spans="1:23" x14ac:dyDescent="0.2">
      <c r="A368" s="79"/>
      <c r="B368" s="79"/>
      <c r="C368" s="107"/>
      <c r="D368" s="514">
        <v>4040</v>
      </c>
      <c r="E368" s="109" t="s">
        <v>213</v>
      </c>
      <c r="F368" s="179">
        <v>7314</v>
      </c>
      <c r="G368" s="83">
        <v>7314</v>
      </c>
      <c r="H368" s="142">
        <f t="shared" si="102"/>
        <v>1</v>
      </c>
      <c r="I368" s="85">
        <v>7314</v>
      </c>
      <c r="J368" s="86">
        <v>11463</v>
      </c>
      <c r="K368" s="591">
        <f t="shared" si="99"/>
        <v>1.5672682526661197</v>
      </c>
      <c r="L368" s="513"/>
      <c r="M368" s="505"/>
      <c r="N368" s="505"/>
      <c r="O368" s="506"/>
      <c r="P368" s="505"/>
      <c r="Q368" s="505"/>
      <c r="R368" s="506"/>
      <c r="S368" s="506"/>
      <c r="T368" s="506"/>
      <c r="U368" s="83">
        <v>11463</v>
      </c>
      <c r="V368" s="506"/>
      <c r="W368" s="506">
        <f t="shared" si="111"/>
        <v>11463</v>
      </c>
    </row>
    <row r="369" spans="1:23" x14ac:dyDescent="0.2">
      <c r="A369" s="79"/>
      <c r="B369" s="79"/>
      <c r="C369" s="107"/>
      <c r="D369" s="514">
        <v>4110</v>
      </c>
      <c r="E369" s="109" t="s">
        <v>174</v>
      </c>
      <c r="F369" s="110">
        <v>177072</v>
      </c>
      <c r="G369" s="83">
        <v>137215.85</v>
      </c>
      <c r="H369" s="142">
        <f t="shared" si="102"/>
        <v>0.7749155710671366</v>
      </c>
      <c r="I369" s="85">
        <v>177072</v>
      </c>
      <c r="J369" s="86">
        <v>152434</v>
      </c>
      <c r="K369" s="591">
        <f t="shared" si="99"/>
        <v>0.86085885967290143</v>
      </c>
      <c r="L369" s="513"/>
      <c r="M369" s="505"/>
      <c r="N369" s="505"/>
      <c r="O369" s="506"/>
      <c r="P369" s="505"/>
      <c r="Q369" s="505"/>
      <c r="R369" s="506"/>
      <c r="S369" s="506"/>
      <c r="T369" s="506"/>
      <c r="U369" s="83">
        <v>152434</v>
      </c>
      <c r="V369" s="506"/>
      <c r="W369" s="506">
        <f t="shared" si="111"/>
        <v>152434</v>
      </c>
    </row>
    <row r="370" spans="1:23" x14ac:dyDescent="0.2">
      <c r="A370" s="79"/>
      <c r="B370" s="79"/>
      <c r="C370" s="107"/>
      <c r="D370" s="514">
        <v>4120</v>
      </c>
      <c r="E370" s="109" t="s">
        <v>175</v>
      </c>
      <c r="F370" s="179">
        <v>3282</v>
      </c>
      <c r="G370" s="83">
        <v>1518.97</v>
      </c>
      <c r="H370" s="142">
        <f t="shared" si="102"/>
        <v>0.46281840341255331</v>
      </c>
      <c r="I370" s="85">
        <v>3282</v>
      </c>
      <c r="J370" s="86">
        <v>3192</v>
      </c>
      <c r="K370" s="591">
        <f t="shared" si="99"/>
        <v>0.97257769652650827</v>
      </c>
      <c r="L370" s="513"/>
      <c r="M370" s="505"/>
      <c r="N370" s="505"/>
      <c r="O370" s="506"/>
      <c r="P370" s="505"/>
      <c r="Q370" s="505"/>
      <c r="R370" s="506"/>
      <c r="S370" s="506"/>
      <c r="T370" s="506"/>
      <c r="U370" s="83">
        <v>3192</v>
      </c>
      <c r="V370" s="506"/>
      <c r="W370" s="506">
        <f t="shared" si="111"/>
        <v>3192</v>
      </c>
    </row>
    <row r="371" spans="1:23" x14ac:dyDescent="0.2">
      <c r="A371" s="79"/>
      <c r="B371" s="79"/>
      <c r="C371" s="107"/>
      <c r="D371" s="514">
        <v>4210</v>
      </c>
      <c r="E371" s="109" t="s">
        <v>176</v>
      </c>
      <c r="F371" s="179">
        <v>3800</v>
      </c>
      <c r="G371" s="83">
        <v>2958.92</v>
      </c>
      <c r="H371" s="142">
        <f t="shared" si="102"/>
        <v>0.77866315789473683</v>
      </c>
      <c r="I371" s="85">
        <v>3800</v>
      </c>
      <c r="J371" s="86">
        <v>1900</v>
      </c>
      <c r="K371" s="591">
        <f t="shared" si="99"/>
        <v>0.5</v>
      </c>
      <c r="L371" s="513"/>
      <c r="M371" s="505"/>
      <c r="N371" s="505"/>
      <c r="O371" s="506"/>
      <c r="P371" s="505"/>
      <c r="Q371" s="505"/>
      <c r="R371" s="506"/>
      <c r="S371" s="506"/>
      <c r="T371" s="506"/>
      <c r="U371" s="83">
        <v>1900</v>
      </c>
      <c r="V371" s="506"/>
      <c r="W371" s="506">
        <f t="shared" si="111"/>
        <v>1900</v>
      </c>
    </row>
    <row r="372" spans="1:23" x14ac:dyDescent="0.2">
      <c r="A372" s="79"/>
      <c r="B372" s="79"/>
      <c r="C372" s="253"/>
      <c r="D372" s="516">
        <v>4270</v>
      </c>
      <c r="E372" s="160" t="s">
        <v>192</v>
      </c>
      <c r="F372" s="673">
        <v>550</v>
      </c>
      <c r="G372" s="83">
        <v>61.5</v>
      </c>
      <c r="H372" s="142">
        <f t="shared" si="102"/>
        <v>0.11181818181818182</v>
      </c>
      <c r="I372" s="85">
        <v>550</v>
      </c>
      <c r="J372" s="86">
        <v>550</v>
      </c>
      <c r="K372" s="591">
        <f t="shared" si="99"/>
        <v>1</v>
      </c>
      <c r="L372" s="513"/>
      <c r="M372" s="505"/>
      <c r="N372" s="505"/>
      <c r="O372" s="506"/>
      <c r="P372" s="505"/>
      <c r="Q372" s="505"/>
      <c r="R372" s="506"/>
      <c r="S372" s="506"/>
      <c r="T372" s="506"/>
      <c r="U372" s="83">
        <v>550</v>
      </c>
      <c r="V372" s="506"/>
      <c r="W372" s="506">
        <f t="shared" si="111"/>
        <v>550</v>
      </c>
    </row>
    <row r="373" spans="1:23" x14ac:dyDescent="0.2">
      <c r="A373" s="79"/>
      <c r="B373" s="79"/>
      <c r="C373" s="427"/>
      <c r="D373" s="609">
        <v>4300</v>
      </c>
      <c r="E373" s="166" t="s">
        <v>177</v>
      </c>
      <c r="F373" s="167">
        <v>2309.6</v>
      </c>
      <c r="G373" s="83">
        <v>1377.69</v>
      </c>
      <c r="H373" s="142">
        <f t="shared" si="102"/>
        <v>0.59650588846553521</v>
      </c>
      <c r="I373" s="85">
        <v>2309.6</v>
      </c>
      <c r="J373" s="86">
        <v>2500</v>
      </c>
      <c r="K373" s="591">
        <f t="shared" si="99"/>
        <v>1.0824385174922064</v>
      </c>
      <c r="L373" s="513"/>
      <c r="M373" s="505"/>
      <c r="N373" s="505"/>
      <c r="O373" s="506"/>
      <c r="P373" s="505"/>
      <c r="Q373" s="505"/>
      <c r="R373" s="506"/>
      <c r="S373" s="506"/>
      <c r="T373" s="506"/>
      <c r="U373" s="83">
        <v>2500</v>
      </c>
      <c r="V373" s="506"/>
      <c r="W373" s="506">
        <f t="shared" si="111"/>
        <v>2500</v>
      </c>
    </row>
    <row r="374" spans="1:23" ht="33.75" x14ac:dyDescent="0.2">
      <c r="A374" s="79"/>
      <c r="B374" s="79"/>
      <c r="C374" s="206"/>
      <c r="D374" s="391">
        <v>4360</v>
      </c>
      <c r="E374" s="163" t="s">
        <v>236</v>
      </c>
      <c r="F374" s="208">
        <v>3400</v>
      </c>
      <c r="G374" s="141">
        <v>1600.23</v>
      </c>
      <c r="H374" s="142">
        <f t="shared" si="102"/>
        <v>0.4706558823529412</v>
      </c>
      <c r="I374" s="143">
        <v>3400</v>
      </c>
      <c r="J374" s="144">
        <v>847</v>
      </c>
      <c r="K374" s="591">
        <f t="shared" si="99"/>
        <v>0.24911764705882353</v>
      </c>
      <c r="L374" s="513"/>
      <c r="M374" s="505"/>
      <c r="N374" s="505"/>
      <c r="O374" s="506"/>
      <c r="P374" s="505"/>
      <c r="Q374" s="505"/>
      <c r="R374" s="506"/>
      <c r="S374" s="506"/>
      <c r="T374" s="506"/>
      <c r="U374" s="141">
        <v>847</v>
      </c>
      <c r="V374" s="506"/>
      <c r="W374" s="506">
        <f t="shared" si="111"/>
        <v>847</v>
      </c>
    </row>
    <row r="375" spans="1:23" ht="33.75" x14ac:dyDescent="0.2">
      <c r="A375" s="79"/>
      <c r="B375" s="79"/>
      <c r="C375" s="427"/>
      <c r="D375" s="609">
        <v>4370</v>
      </c>
      <c r="E375" s="166" t="s">
        <v>271</v>
      </c>
      <c r="F375" s="348">
        <v>0</v>
      </c>
      <c r="G375" s="83">
        <v>0</v>
      </c>
      <c r="H375" s="142">
        <v>0</v>
      </c>
      <c r="I375" s="85">
        <v>0</v>
      </c>
      <c r="J375" s="86">
        <v>500</v>
      </c>
      <c r="K375" s="591">
        <v>0</v>
      </c>
      <c r="L375" s="513"/>
      <c r="M375" s="505"/>
      <c r="N375" s="505"/>
      <c r="O375" s="506"/>
      <c r="P375" s="505"/>
      <c r="Q375" s="505"/>
      <c r="R375" s="506"/>
      <c r="S375" s="506"/>
      <c r="T375" s="506"/>
      <c r="U375" s="83">
        <v>500</v>
      </c>
      <c r="V375" s="506"/>
      <c r="W375" s="506">
        <f t="shared" si="111"/>
        <v>500</v>
      </c>
    </row>
    <row r="376" spans="1:23" ht="22.5" x14ac:dyDescent="0.2">
      <c r="A376" s="79"/>
      <c r="B376" s="79"/>
      <c r="C376" s="303"/>
      <c r="D376" s="574">
        <v>4400</v>
      </c>
      <c r="E376" s="249" t="s">
        <v>299</v>
      </c>
      <c r="F376" s="780">
        <v>2975.4</v>
      </c>
      <c r="G376" s="141">
        <v>2231.5500000000002</v>
      </c>
      <c r="H376" s="142">
        <f t="shared" si="102"/>
        <v>0.75</v>
      </c>
      <c r="I376" s="143">
        <v>2975.4</v>
      </c>
      <c r="J376" s="144">
        <v>1500</v>
      </c>
      <c r="K376" s="591">
        <f t="shared" si="99"/>
        <v>0.50413389796329899</v>
      </c>
      <c r="L376" s="513"/>
      <c r="M376" s="505"/>
      <c r="N376" s="505"/>
      <c r="O376" s="506"/>
      <c r="P376" s="505"/>
      <c r="Q376" s="505"/>
      <c r="R376" s="506"/>
      <c r="S376" s="506"/>
      <c r="T376" s="506"/>
      <c r="U376" s="141">
        <v>1500</v>
      </c>
      <c r="V376" s="506"/>
      <c r="W376" s="506">
        <f t="shared" si="111"/>
        <v>1500</v>
      </c>
    </row>
    <row r="377" spans="1:23" x14ac:dyDescent="0.2">
      <c r="A377" s="79"/>
      <c r="B377" s="79"/>
      <c r="C377" s="107"/>
      <c r="D377" s="516">
        <v>4410</v>
      </c>
      <c r="E377" s="160" t="s">
        <v>179</v>
      </c>
      <c r="F377" s="673">
        <v>100</v>
      </c>
      <c r="G377" s="83">
        <v>74.2</v>
      </c>
      <c r="H377" s="142">
        <f t="shared" si="102"/>
        <v>0.74199999999999999</v>
      </c>
      <c r="I377" s="85">
        <v>100</v>
      </c>
      <c r="J377" s="86">
        <v>0</v>
      </c>
      <c r="K377" s="591">
        <f t="shared" si="99"/>
        <v>0</v>
      </c>
      <c r="L377" s="513"/>
      <c r="M377" s="505"/>
      <c r="N377" s="505"/>
      <c r="O377" s="506"/>
      <c r="P377" s="505"/>
      <c r="Q377" s="505"/>
      <c r="R377" s="506"/>
      <c r="S377" s="506"/>
      <c r="T377" s="506"/>
      <c r="U377" s="83">
        <v>0</v>
      </c>
      <c r="V377" s="506"/>
      <c r="W377" s="506">
        <f t="shared" si="111"/>
        <v>0</v>
      </c>
    </row>
    <row r="378" spans="1:23" ht="22.5" x14ac:dyDescent="0.2">
      <c r="A378" s="79"/>
      <c r="B378" s="79"/>
      <c r="C378" s="253"/>
      <c r="D378" s="391">
        <v>4440</v>
      </c>
      <c r="E378" s="163" t="s">
        <v>242</v>
      </c>
      <c r="F378" s="208">
        <v>4029</v>
      </c>
      <c r="G378" s="141">
        <v>4029</v>
      </c>
      <c r="H378" s="142">
        <f t="shared" si="102"/>
        <v>1</v>
      </c>
      <c r="I378" s="143">
        <v>4029</v>
      </c>
      <c r="J378" s="144">
        <v>4029</v>
      </c>
      <c r="K378" s="611">
        <f t="shared" si="99"/>
        <v>1</v>
      </c>
      <c r="L378" s="513"/>
      <c r="M378" s="505"/>
      <c r="N378" s="505"/>
      <c r="O378" s="506"/>
      <c r="P378" s="505"/>
      <c r="Q378" s="505"/>
      <c r="R378" s="506"/>
      <c r="S378" s="506"/>
      <c r="T378" s="506"/>
      <c r="U378" s="141">
        <v>4029</v>
      </c>
      <c r="V378" s="506"/>
      <c r="W378" s="506">
        <f t="shared" si="111"/>
        <v>4029</v>
      </c>
    </row>
    <row r="379" spans="1:23" ht="33.75" x14ac:dyDescent="0.2">
      <c r="A379" s="79"/>
      <c r="B379" s="79"/>
      <c r="C379" s="206"/>
      <c r="D379" s="391">
        <v>4560</v>
      </c>
      <c r="E379" s="163" t="s">
        <v>300</v>
      </c>
      <c r="F379" s="208">
        <v>1500</v>
      </c>
      <c r="G379" s="141">
        <v>673.46</v>
      </c>
      <c r="H379" s="142">
        <f t="shared" si="102"/>
        <v>0.44897333333333334</v>
      </c>
      <c r="I379" s="143">
        <v>1500</v>
      </c>
      <c r="J379" s="144">
        <v>1500</v>
      </c>
      <c r="K379" s="591">
        <f t="shared" si="99"/>
        <v>1</v>
      </c>
      <c r="L379" s="604"/>
      <c r="M379" s="505"/>
      <c r="N379" s="505"/>
      <c r="O379" s="506"/>
      <c r="P379" s="505"/>
      <c r="Q379" s="505"/>
      <c r="R379" s="506">
        <v>1500</v>
      </c>
      <c r="S379" s="506"/>
      <c r="T379" s="506"/>
      <c r="U379" s="141">
        <v>0</v>
      </c>
      <c r="V379" s="506"/>
      <c r="W379" s="506">
        <f t="shared" si="111"/>
        <v>1500</v>
      </c>
    </row>
    <row r="380" spans="1:23" x14ac:dyDescent="0.2">
      <c r="A380" s="79"/>
      <c r="B380" s="79"/>
      <c r="C380" s="206"/>
      <c r="D380" s="391">
        <v>4580</v>
      </c>
      <c r="E380" s="163" t="s">
        <v>19</v>
      </c>
      <c r="F380" s="208">
        <v>11300</v>
      </c>
      <c r="G380" s="141">
        <v>10967.47</v>
      </c>
      <c r="H380" s="142">
        <f t="shared" si="102"/>
        <v>0.97057256637168132</v>
      </c>
      <c r="I380" s="143">
        <v>11300</v>
      </c>
      <c r="J380" s="144">
        <v>0</v>
      </c>
      <c r="K380" s="591">
        <f t="shared" si="99"/>
        <v>0</v>
      </c>
      <c r="L380" s="604"/>
      <c r="M380" s="505"/>
      <c r="N380" s="505"/>
      <c r="O380" s="506"/>
      <c r="P380" s="505"/>
      <c r="Q380" s="505"/>
      <c r="R380" s="506"/>
      <c r="S380" s="506"/>
      <c r="T380" s="506"/>
      <c r="U380" s="141">
        <v>0</v>
      </c>
      <c r="V380" s="506"/>
      <c r="W380" s="506">
        <f t="shared" si="111"/>
        <v>0</v>
      </c>
    </row>
    <row r="381" spans="1:23" ht="22.5" x14ac:dyDescent="0.2">
      <c r="A381" s="79"/>
      <c r="B381" s="79"/>
      <c r="C381" s="206"/>
      <c r="D381" s="391">
        <v>4610</v>
      </c>
      <c r="E381" s="163" t="s">
        <v>206</v>
      </c>
      <c r="F381" s="208">
        <v>400</v>
      </c>
      <c r="G381" s="141">
        <v>344.32</v>
      </c>
      <c r="H381" s="142">
        <f t="shared" si="102"/>
        <v>0.86080000000000001</v>
      </c>
      <c r="I381" s="143">
        <v>400</v>
      </c>
      <c r="J381" s="144">
        <v>0</v>
      </c>
      <c r="K381" s="591">
        <f t="shared" si="99"/>
        <v>0</v>
      </c>
      <c r="L381" s="604"/>
      <c r="M381" s="505"/>
      <c r="N381" s="505"/>
      <c r="O381" s="506"/>
      <c r="P381" s="505"/>
      <c r="Q381" s="505"/>
      <c r="R381" s="506"/>
      <c r="S381" s="506"/>
      <c r="T381" s="506"/>
      <c r="U381" s="141">
        <v>0</v>
      </c>
      <c r="V381" s="506"/>
      <c r="W381" s="506">
        <f t="shared" si="111"/>
        <v>0</v>
      </c>
    </row>
    <row r="382" spans="1:23" ht="22.5" x14ac:dyDescent="0.2">
      <c r="A382" s="79"/>
      <c r="B382" s="206"/>
      <c r="C382" s="253"/>
      <c r="D382" s="516">
        <v>4700</v>
      </c>
      <c r="E382" s="160" t="s">
        <v>181</v>
      </c>
      <c r="F382" s="634">
        <v>1500</v>
      </c>
      <c r="G382" s="83">
        <v>699</v>
      </c>
      <c r="H382" s="142">
        <f t="shared" si="102"/>
        <v>0.46600000000000003</v>
      </c>
      <c r="I382" s="85">
        <v>1500</v>
      </c>
      <c r="J382" s="86">
        <v>1000</v>
      </c>
      <c r="K382" s="611">
        <f t="shared" si="99"/>
        <v>0.66666666666666663</v>
      </c>
      <c r="L382" s="513"/>
      <c r="M382" s="505"/>
      <c r="N382" s="505"/>
      <c r="O382" s="506"/>
      <c r="P382" s="505"/>
      <c r="Q382" s="505"/>
      <c r="R382" s="506"/>
      <c r="S382" s="506"/>
      <c r="T382" s="506"/>
      <c r="U382" s="83">
        <v>1000</v>
      </c>
      <c r="V382" s="506"/>
      <c r="W382" s="506">
        <f t="shared" si="111"/>
        <v>1000</v>
      </c>
    </row>
    <row r="383" spans="1:23" ht="56.25" x14ac:dyDescent="0.2">
      <c r="A383" s="79"/>
      <c r="B383" s="237">
        <v>85213</v>
      </c>
      <c r="C383" s="295"/>
      <c r="D383" s="296"/>
      <c r="E383" s="297" t="s">
        <v>301</v>
      </c>
      <c r="F383" s="383">
        <f>F385+F384</f>
        <v>37044</v>
      </c>
      <c r="G383" s="383">
        <f>G385+G384</f>
        <v>28802.91</v>
      </c>
      <c r="H383" s="223">
        <f t="shared" si="102"/>
        <v>0.77753239390994489</v>
      </c>
      <c r="I383" s="300">
        <f>I385+I384</f>
        <v>39010.160000000003</v>
      </c>
      <c r="J383" s="301">
        <f>J385+J384</f>
        <v>29946</v>
      </c>
      <c r="K383" s="1098">
        <f>J383/F383</f>
        <v>0.80839002267573701</v>
      </c>
      <c r="L383" s="701"/>
      <c r="M383" s="578">
        <f t="shared" ref="M383:V383" si="112">M385+M384</f>
        <v>0</v>
      </c>
      <c r="N383" s="578">
        <f t="shared" si="112"/>
        <v>0</v>
      </c>
      <c r="O383" s="578">
        <f t="shared" si="112"/>
        <v>0</v>
      </c>
      <c r="P383" s="578">
        <f t="shared" si="112"/>
        <v>0</v>
      </c>
      <c r="Q383" s="578">
        <f t="shared" si="112"/>
        <v>0</v>
      </c>
      <c r="R383" s="578">
        <f t="shared" si="112"/>
        <v>50</v>
      </c>
      <c r="S383" s="578">
        <f t="shared" si="112"/>
        <v>0</v>
      </c>
      <c r="T383" s="578">
        <f t="shared" si="112"/>
        <v>0</v>
      </c>
      <c r="U383" s="578">
        <f t="shared" si="112"/>
        <v>29896</v>
      </c>
      <c r="V383" s="578">
        <f t="shared" si="112"/>
        <v>0</v>
      </c>
      <c r="W383" s="578">
        <f t="shared" si="111"/>
        <v>29946</v>
      </c>
    </row>
    <row r="384" spans="1:23" ht="56.25" x14ac:dyDescent="0.2">
      <c r="A384" s="79"/>
      <c r="B384" s="1186"/>
      <c r="C384" s="555"/>
      <c r="D384" s="391">
        <v>2910</v>
      </c>
      <c r="E384" s="783" t="s">
        <v>297</v>
      </c>
      <c r="F384" s="1136">
        <v>50</v>
      </c>
      <c r="G384" s="1137">
        <v>16.16</v>
      </c>
      <c r="H384" s="1138">
        <f>G384/F384</f>
        <v>0.32319999999999999</v>
      </c>
      <c r="I384" s="1137">
        <v>16.16</v>
      </c>
      <c r="J384" s="65">
        <v>50</v>
      </c>
      <c r="K384" s="714">
        <f>J384/F384</f>
        <v>1</v>
      </c>
      <c r="L384" s="670" t="s">
        <v>162</v>
      </c>
      <c r="M384" s="505"/>
      <c r="N384" s="505"/>
      <c r="O384" s="506"/>
      <c r="P384" s="505"/>
      <c r="Q384" s="505"/>
      <c r="R384" s="506">
        <v>50</v>
      </c>
      <c r="S384" s="506"/>
      <c r="T384" s="506"/>
      <c r="U384" s="506"/>
      <c r="V384" s="506"/>
      <c r="W384" s="506">
        <f t="shared" si="111"/>
        <v>50</v>
      </c>
    </row>
    <row r="385" spans="1:23" x14ac:dyDescent="0.2">
      <c r="A385" s="79"/>
      <c r="B385" s="1187"/>
      <c r="C385" s="206"/>
      <c r="D385" s="391">
        <v>4130</v>
      </c>
      <c r="E385" s="163" t="s">
        <v>302</v>
      </c>
      <c r="F385" s="164">
        <v>36994</v>
      </c>
      <c r="G385" s="141">
        <v>28786.75</v>
      </c>
      <c r="H385" s="142">
        <f t="shared" si="102"/>
        <v>0.77814645618208356</v>
      </c>
      <c r="I385" s="143">
        <v>38994</v>
      </c>
      <c r="J385" s="144">
        <v>29896</v>
      </c>
      <c r="K385" s="611">
        <f>J385/F385</f>
        <v>0.80813104827809912</v>
      </c>
      <c r="L385" s="604"/>
      <c r="M385" s="505"/>
      <c r="N385" s="505"/>
      <c r="O385" s="506"/>
      <c r="P385" s="505"/>
      <c r="Q385" s="505"/>
      <c r="R385" s="506"/>
      <c r="S385" s="506"/>
      <c r="T385" s="506"/>
      <c r="U385" s="141">
        <v>29896</v>
      </c>
      <c r="V385" s="506"/>
      <c r="W385" s="506">
        <f t="shared" si="111"/>
        <v>29896</v>
      </c>
    </row>
    <row r="386" spans="1:23" ht="22.5" x14ac:dyDescent="0.2">
      <c r="A386" s="79"/>
      <c r="B386" s="779">
        <v>85214</v>
      </c>
      <c r="C386" s="577"/>
      <c r="D386" s="255"/>
      <c r="E386" s="256" t="s">
        <v>110</v>
      </c>
      <c r="F386" s="267">
        <f>SUM(F387:F387)</f>
        <v>486932</v>
      </c>
      <c r="G386" s="259">
        <f>SUM(G387:G387)</f>
        <v>364731.93</v>
      </c>
      <c r="H386" s="746">
        <f t="shared" si="102"/>
        <v>0.74904079008978663</v>
      </c>
      <c r="I386" s="259">
        <f>SUM(I387:I387)</f>
        <v>486932</v>
      </c>
      <c r="J386" s="260">
        <f>SUM(J387:J387)</f>
        <v>481322</v>
      </c>
      <c r="K386" s="1128">
        <f>J386/F386</f>
        <v>0.98847888411523577</v>
      </c>
      <c r="L386" s="701"/>
      <c r="M386" s="578">
        <f t="shared" ref="M386:V386" si="113">SUM(M387:M387)</f>
        <v>0</v>
      </c>
      <c r="N386" s="578">
        <f t="shared" si="113"/>
        <v>0</v>
      </c>
      <c r="O386" s="578">
        <f t="shared" si="113"/>
        <v>0</v>
      </c>
      <c r="P386" s="578">
        <f t="shared" si="113"/>
        <v>0</v>
      </c>
      <c r="Q386" s="578">
        <f t="shared" si="113"/>
        <v>0</v>
      </c>
      <c r="R386" s="578">
        <f t="shared" si="113"/>
        <v>0</v>
      </c>
      <c r="S386" s="578">
        <f t="shared" si="113"/>
        <v>0</v>
      </c>
      <c r="T386" s="578">
        <f t="shared" si="113"/>
        <v>0</v>
      </c>
      <c r="U386" s="578">
        <f t="shared" si="113"/>
        <v>481322</v>
      </c>
      <c r="V386" s="578">
        <f t="shared" si="113"/>
        <v>0</v>
      </c>
      <c r="W386" s="578">
        <f t="shared" si="111"/>
        <v>481322</v>
      </c>
    </row>
    <row r="387" spans="1:23" x14ac:dyDescent="0.2">
      <c r="A387" s="79"/>
      <c r="B387" s="79"/>
      <c r="C387" s="107"/>
      <c r="D387" s="514">
        <v>3110</v>
      </c>
      <c r="E387" s="109" t="s">
        <v>298</v>
      </c>
      <c r="F387" s="251">
        <v>486932</v>
      </c>
      <c r="G387" s="83">
        <v>364731.93</v>
      </c>
      <c r="H387" s="84">
        <f t="shared" si="102"/>
        <v>0.74904079008978663</v>
      </c>
      <c r="I387" s="85">
        <v>486932</v>
      </c>
      <c r="J387" s="86">
        <v>481322</v>
      </c>
      <c r="K387" s="592">
        <f t="shared" ref="K387:K445" si="114">J387/F387</f>
        <v>0.98847888411523577</v>
      </c>
      <c r="L387" s="513"/>
      <c r="M387" s="505"/>
      <c r="N387" s="505"/>
      <c r="O387" s="506"/>
      <c r="P387" s="505"/>
      <c r="Q387" s="505"/>
      <c r="R387" s="506"/>
      <c r="S387" s="506"/>
      <c r="T387" s="506"/>
      <c r="U387" s="83">
        <v>481322</v>
      </c>
      <c r="V387" s="506"/>
      <c r="W387" s="506">
        <f t="shared" si="111"/>
        <v>481322</v>
      </c>
    </row>
    <row r="388" spans="1:23" x14ac:dyDescent="0.2">
      <c r="A388" s="79"/>
      <c r="B388" s="118">
        <v>85215</v>
      </c>
      <c r="C388" s="70"/>
      <c r="D388" s="103"/>
      <c r="E388" s="72" t="s">
        <v>112</v>
      </c>
      <c r="F388" s="73">
        <f>F389</f>
        <v>491210</v>
      </c>
      <c r="G388" s="75">
        <f>G389</f>
        <v>365625.49</v>
      </c>
      <c r="H388" s="223">
        <f t="shared" si="102"/>
        <v>0.74433641416094942</v>
      </c>
      <c r="I388" s="75">
        <f>I389</f>
        <v>491210</v>
      </c>
      <c r="J388" s="76">
        <f>J389</f>
        <v>500790</v>
      </c>
      <c r="K388" s="1084">
        <f>J388/F388</f>
        <v>1.019502860283789</v>
      </c>
      <c r="L388" s="1080" t="str">
        <f t="shared" ref="L388:V388" si="115">L389</f>
        <v>w tym zadanie zlecone 0,00</v>
      </c>
      <c r="M388" s="510">
        <f t="shared" si="115"/>
        <v>0</v>
      </c>
      <c r="N388" s="510">
        <f t="shared" si="115"/>
        <v>0</v>
      </c>
      <c r="O388" s="510">
        <f t="shared" si="115"/>
        <v>500790</v>
      </c>
      <c r="P388" s="510">
        <f t="shared" si="115"/>
        <v>0</v>
      </c>
      <c r="Q388" s="510">
        <f t="shared" si="115"/>
        <v>0</v>
      </c>
      <c r="R388" s="510">
        <f t="shared" si="115"/>
        <v>0</v>
      </c>
      <c r="S388" s="510">
        <f t="shared" si="115"/>
        <v>0</v>
      </c>
      <c r="T388" s="510">
        <f t="shared" si="115"/>
        <v>0</v>
      </c>
      <c r="U388" s="510">
        <f t="shared" si="115"/>
        <v>0</v>
      </c>
      <c r="V388" s="510">
        <f t="shared" si="115"/>
        <v>0</v>
      </c>
      <c r="W388" s="510">
        <f t="shared" si="111"/>
        <v>500790</v>
      </c>
    </row>
    <row r="389" spans="1:23" ht="19.5" x14ac:dyDescent="0.2">
      <c r="A389" s="79"/>
      <c r="B389" s="79"/>
      <c r="C389" s="107"/>
      <c r="D389" s="514">
        <v>3110</v>
      </c>
      <c r="E389" s="109" t="s">
        <v>298</v>
      </c>
      <c r="F389" s="251">
        <v>491210</v>
      </c>
      <c r="G389" s="83">
        <v>365625.49</v>
      </c>
      <c r="H389" s="84">
        <f t="shared" si="102"/>
        <v>0.74433641416094942</v>
      </c>
      <c r="I389" s="85">
        <v>491210</v>
      </c>
      <c r="J389" s="86">
        <f>512000-11210</f>
        <v>500790</v>
      </c>
      <c r="K389" s="592">
        <f t="shared" si="114"/>
        <v>1.019502860283789</v>
      </c>
      <c r="L389" s="513" t="s">
        <v>303</v>
      </c>
      <c r="M389" s="505"/>
      <c r="N389" s="505"/>
      <c r="O389" s="506">
        <f>512000-11210</f>
        <v>500790</v>
      </c>
      <c r="P389" s="505"/>
      <c r="Q389" s="505"/>
      <c r="R389" s="506"/>
      <c r="S389" s="506"/>
      <c r="T389" s="506"/>
      <c r="U389" s="506"/>
      <c r="V389" s="506"/>
      <c r="W389" s="506">
        <f t="shared" si="111"/>
        <v>500790</v>
      </c>
    </row>
    <row r="390" spans="1:23" x14ac:dyDescent="0.2">
      <c r="A390" s="79"/>
      <c r="B390" s="310">
        <v>85216</v>
      </c>
      <c r="C390" s="311"/>
      <c r="D390" s="312"/>
      <c r="E390" s="313" t="s">
        <v>114</v>
      </c>
      <c r="F390" s="399">
        <f>SUM(F391:F392)</f>
        <v>211305</v>
      </c>
      <c r="G390" s="388">
        <f>SUM(G391:G392)</f>
        <v>194881.27000000002</v>
      </c>
      <c r="H390" s="223">
        <f t="shared" si="102"/>
        <v>0.92227476869927361</v>
      </c>
      <c r="I390" s="388">
        <f>SUM(I391:I392)</f>
        <v>210977.39</v>
      </c>
      <c r="J390" s="389">
        <f>SUM(J391:J392)</f>
        <v>151537</v>
      </c>
      <c r="K390" s="1086">
        <f>J390/F390</f>
        <v>0.71714819810226926</v>
      </c>
      <c r="L390" s="1089"/>
      <c r="M390" s="617">
        <f t="shared" ref="M390:V390" si="116">SUM(M391:M392)</f>
        <v>0</v>
      </c>
      <c r="N390" s="617">
        <f t="shared" si="116"/>
        <v>0</v>
      </c>
      <c r="O390" s="617">
        <f t="shared" si="116"/>
        <v>0</v>
      </c>
      <c r="P390" s="617">
        <f t="shared" si="116"/>
        <v>0</v>
      </c>
      <c r="Q390" s="617">
        <f t="shared" si="116"/>
        <v>0</v>
      </c>
      <c r="R390" s="617">
        <f t="shared" si="116"/>
        <v>500</v>
      </c>
      <c r="S390" s="617">
        <f t="shared" si="116"/>
        <v>0</v>
      </c>
      <c r="T390" s="617">
        <f t="shared" si="116"/>
        <v>0</v>
      </c>
      <c r="U390" s="617">
        <f t="shared" si="116"/>
        <v>151037</v>
      </c>
      <c r="V390" s="617">
        <f t="shared" si="116"/>
        <v>0</v>
      </c>
      <c r="W390" s="617">
        <f t="shared" si="111"/>
        <v>151537</v>
      </c>
    </row>
    <row r="391" spans="1:23" ht="56.25" x14ac:dyDescent="0.2">
      <c r="A391" s="79"/>
      <c r="B391" s="79"/>
      <c r="C391" s="79"/>
      <c r="D391" s="616">
        <v>2910</v>
      </c>
      <c r="E391" s="169" t="s">
        <v>297</v>
      </c>
      <c r="F391" s="170">
        <v>500</v>
      </c>
      <c r="G391" s="141">
        <v>172.39</v>
      </c>
      <c r="H391" s="142">
        <f t="shared" si="102"/>
        <v>0.34477999999999998</v>
      </c>
      <c r="I391" s="143">
        <v>172.39</v>
      </c>
      <c r="J391" s="144">
        <v>500</v>
      </c>
      <c r="K391" s="591">
        <f>J391/F391</f>
        <v>1</v>
      </c>
      <c r="L391" s="604" t="s">
        <v>162</v>
      </c>
      <c r="M391" s="505"/>
      <c r="N391" s="505"/>
      <c r="O391" s="506"/>
      <c r="P391" s="505"/>
      <c r="Q391" s="505"/>
      <c r="R391" s="141">
        <v>500</v>
      </c>
      <c r="S391" s="506"/>
      <c r="T391" s="506"/>
      <c r="U391" s="506"/>
      <c r="V391" s="506"/>
      <c r="W391" s="506">
        <f t="shared" si="111"/>
        <v>500</v>
      </c>
    </row>
    <row r="392" spans="1:23" x14ac:dyDescent="0.2">
      <c r="A392" s="79"/>
      <c r="B392" s="79"/>
      <c r="C392" s="107"/>
      <c r="D392" s="514">
        <v>3110</v>
      </c>
      <c r="E392" s="109" t="s">
        <v>298</v>
      </c>
      <c r="F392" s="251">
        <v>210805</v>
      </c>
      <c r="G392" s="83">
        <v>194708.88</v>
      </c>
      <c r="H392" s="84">
        <f t="shared" si="102"/>
        <v>0.92364450558573086</v>
      </c>
      <c r="I392" s="85">
        <v>210805</v>
      </c>
      <c r="J392" s="86">
        <v>151037</v>
      </c>
      <c r="K392" s="592">
        <f>J392/F392</f>
        <v>0.71647731315670882</v>
      </c>
      <c r="L392" s="513"/>
      <c r="M392" s="505"/>
      <c r="N392" s="505"/>
      <c r="O392" s="506"/>
      <c r="P392" s="505"/>
      <c r="Q392" s="505"/>
      <c r="R392" s="506"/>
      <c r="S392" s="506"/>
      <c r="T392" s="506"/>
      <c r="U392" s="83">
        <v>151037</v>
      </c>
      <c r="V392" s="506"/>
      <c r="W392" s="506">
        <f t="shared" si="111"/>
        <v>151037</v>
      </c>
    </row>
    <row r="393" spans="1:23" x14ac:dyDescent="0.2">
      <c r="A393" s="79"/>
      <c r="B393" s="310">
        <v>85219</v>
      </c>
      <c r="C393" s="311"/>
      <c r="D393" s="312"/>
      <c r="E393" s="313" t="s">
        <v>116</v>
      </c>
      <c r="F393" s="399">
        <f>SUM(F394:F415)</f>
        <v>1164307</v>
      </c>
      <c r="G393" s="388">
        <f>SUM(G394:G415)</f>
        <v>816906.62</v>
      </c>
      <c r="H393" s="223">
        <f t="shared" si="102"/>
        <v>0.70162476047983913</v>
      </c>
      <c r="I393" s="388">
        <f>SUM(I394:I415)</f>
        <v>1135587.3400000001</v>
      </c>
      <c r="J393" s="389">
        <f>SUM(J394:J415)</f>
        <v>1293327</v>
      </c>
      <c r="K393" s="1086">
        <f>J393/F393</f>
        <v>1.1108126980255209</v>
      </c>
      <c r="L393" s="1089">
        <f t="shared" ref="L393:V393" si="117">SUM(L394:L415)</f>
        <v>0</v>
      </c>
      <c r="M393" s="510">
        <f t="shared" si="117"/>
        <v>0</v>
      </c>
      <c r="N393" s="510">
        <f t="shared" si="117"/>
        <v>0</v>
      </c>
      <c r="O393" s="510">
        <f t="shared" si="117"/>
        <v>0</v>
      </c>
      <c r="P393" s="510">
        <f t="shared" si="117"/>
        <v>0</v>
      </c>
      <c r="Q393" s="510">
        <f t="shared" si="117"/>
        <v>0</v>
      </c>
      <c r="R393" s="510">
        <f t="shared" si="117"/>
        <v>0</v>
      </c>
      <c r="S393" s="510">
        <f t="shared" si="117"/>
        <v>0</v>
      </c>
      <c r="T393" s="510">
        <f t="shared" si="117"/>
        <v>0</v>
      </c>
      <c r="U393" s="510">
        <f t="shared" si="117"/>
        <v>1293327</v>
      </c>
      <c r="V393" s="510">
        <f t="shared" si="117"/>
        <v>0</v>
      </c>
      <c r="W393" s="510">
        <f t="shared" si="111"/>
        <v>1293327</v>
      </c>
    </row>
    <row r="394" spans="1:23" ht="22.5" x14ac:dyDescent="0.2">
      <c r="A394" s="79"/>
      <c r="B394" s="79"/>
      <c r="C394" s="303"/>
      <c r="D394" s="574">
        <v>3020</v>
      </c>
      <c r="E394" s="249" t="s">
        <v>219</v>
      </c>
      <c r="F394" s="530">
        <v>6056</v>
      </c>
      <c r="G394" s="141">
        <v>2674.45</v>
      </c>
      <c r="H394" s="142">
        <f t="shared" si="102"/>
        <v>0.44161988110964329</v>
      </c>
      <c r="I394" s="143">
        <v>6056</v>
      </c>
      <c r="J394" s="144">
        <v>6156</v>
      </c>
      <c r="K394" s="591">
        <f t="shared" si="114"/>
        <v>1.0165125495376486</v>
      </c>
      <c r="L394" s="604"/>
      <c r="M394" s="505"/>
      <c r="N394" s="505"/>
      <c r="O394" s="506"/>
      <c r="P394" s="505"/>
      <c r="Q394" s="505"/>
      <c r="R394" s="506"/>
      <c r="S394" s="506"/>
      <c r="T394" s="506"/>
      <c r="U394" s="83">
        <v>6156</v>
      </c>
      <c r="V394" s="506"/>
      <c r="W394" s="506">
        <f t="shared" si="111"/>
        <v>6156</v>
      </c>
    </row>
    <row r="395" spans="1:23" x14ac:dyDescent="0.2">
      <c r="A395" s="79"/>
      <c r="B395" s="79"/>
      <c r="C395" s="107"/>
      <c r="D395" s="514">
        <v>4010</v>
      </c>
      <c r="E395" s="109" t="s">
        <v>173</v>
      </c>
      <c r="F395" s="251">
        <v>705656</v>
      </c>
      <c r="G395" s="83">
        <v>462051.47</v>
      </c>
      <c r="H395" s="142">
        <f t="shared" si="102"/>
        <v>0.65478288287777608</v>
      </c>
      <c r="I395" s="85">
        <v>685656</v>
      </c>
      <c r="J395" s="86">
        <v>818187</v>
      </c>
      <c r="K395" s="591">
        <f t="shared" si="114"/>
        <v>1.1594700533971227</v>
      </c>
      <c r="L395" s="513"/>
      <c r="M395" s="505"/>
      <c r="N395" s="505"/>
      <c r="O395" s="506"/>
      <c r="P395" s="505"/>
      <c r="Q395" s="505"/>
      <c r="R395" s="506"/>
      <c r="S395" s="506"/>
      <c r="T395" s="506"/>
      <c r="U395" s="83">
        <v>818187</v>
      </c>
      <c r="V395" s="506"/>
      <c r="W395" s="506">
        <f t="shared" si="111"/>
        <v>818187</v>
      </c>
    </row>
    <row r="396" spans="1:23" x14ac:dyDescent="0.2">
      <c r="A396" s="79"/>
      <c r="B396" s="79"/>
      <c r="C396" s="253"/>
      <c r="D396" s="516">
        <v>4040</v>
      </c>
      <c r="E396" s="160" t="s">
        <v>213</v>
      </c>
      <c r="F396" s="161">
        <v>45956</v>
      </c>
      <c r="G396" s="83">
        <v>44874.89</v>
      </c>
      <c r="H396" s="142">
        <f t="shared" si="102"/>
        <v>0.97647510662372705</v>
      </c>
      <c r="I396" s="85">
        <v>44874.89</v>
      </c>
      <c r="J396" s="86">
        <v>54563</v>
      </c>
      <c r="K396" s="591">
        <f t="shared" si="114"/>
        <v>1.1872878405431282</v>
      </c>
      <c r="L396" s="513"/>
      <c r="M396" s="505"/>
      <c r="N396" s="505"/>
      <c r="O396" s="506"/>
      <c r="P396" s="505"/>
      <c r="Q396" s="505"/>
      <c r="R396" s="506"/>
      <c r="S396" s="506"/>
      <c r="T396" s="506"/>
      <c r="U396" s="83">
        <v>54563</v>
      </c>
      <c r="V396" s="506"/>
      <c r="W396" s="506">
        <f t="shared" si="111"/>
        <v>54563</v>
      </c>
    </row>
    <row r="397" spans="1:23" x14ac:dyDescent="0.2">
      <c r="A397" s="79"/>
      <c r="B397" s="79"/>
      <c r="C397" s="427"/>
      <c r="D397" s="609">
        <v>4110</v>
      </c>
      <c r="E397" s="166" t="s">
        <v>174</v>
      </c>
      <c r="F397" s="167">
        <v>122634</v>
      </c>
      <c r="G397" s="83">
        <v>80312.960000000006</v>
      </c>
      <c r="H397" s="142">
        <f t="shared" si="102"/>
        <v>0.65489962000750201</v>
      </c>
      <c r="I397" s="85">
        <v>120204</v>
      </c>
      <c r="J397" s="86">
        <v>140132</v>
      </c>
      <c r="K397" s="591">
        <f t="shared" si="114"/>
        <v>1.1426847366961854</v>
      </c>
      <c r="L397" s="513"/>
      <c r="M397" s="505"/>
      <c r="N397" s="505"/>
      <c r="O397" s="506"/>
      <c r="P397" s="505"/>
      <c r="Q397" s="505"/>
      <c r="R397" s="506"/>
      <c r="S397" s="506"/>
      <c r="T397" s="506"/>
      <c r="U397" s="83">
        <v>140132</v>
      </c>
      <c r="V397" s="506"/>
      <c r="W397" s="506">
        <f t="shared" si="111"/>
        <v>140132</v>
      </c>
    </row>
    <row r="398" spans="1:23" x14ac:dyDescent="0.2">
      <c r="A398" s="79"/>
      <c r="B398" s="79"/>
      <c r="C398" s="206"/>
      <c r="D398" s="391">
        <v>4120</v>
      </c>
      <c r="E398" s="163" t="s">
        <v>175</v>
      </c>
      <c r="F398" s="164">
        <v>17448</v>
      </c>
      <c r="G398" s="141">
        <v>6991.07</v>
      </c>
      <c r="H398" s="142">
        <f t="shared" si="102"/>
        <v>0.40068030719853276</v>
      </c>
      <c r="I398" s="143">
        <v>16358</v>
      </c>
      <c r="J398" s="144">
        <v>19938</v>
      </c>
      <c r="K398" s="611">
        <f t="shared" si="114"/>
        <v>1.1427097661623109</v>
      </c>
      <c r="L398" s="513"/>
      <c r="M398" s="505"/>
      <c r="N398" s="505"/>
      <c r="O398" s="506"/>
      <c r="P398" s="505"/>
      <c r="Q398" s="505"/>
      <c r="R398" s="506"/>
      <c r="S398" s="506"/>
      <c r="T398" s="506"/>
      <c r="U398" s="141">
        <v>19938</v>
      </c>
      <c r="V398" s="506"/>
      <c r="W398" s="506">
        <f t="shared" si="111"/>
        <v>19938</v>
      </c>
    </row>
    <row r="399" spans="1:23" ht="22.5" x14ac:dyDescent="0.2">
      <c r="A399" s="79"/>
      <c r="B399" s="79"/>
      <c r="C399" s="79"/>
      <c r="D399" s="616">
        <v>4140</v>
      </c>
      <c r="E399" s="169" t="s">
        <v>228</v>
      </c>
      <c r="F399" s="326">
        <v>22300</v>
      </c>
      <c r="G399" s="141">
        <v>11391</v>
      </c>
      <c r="H399" s="142">
        <f t="shared" si="102"/>
        <v>0.5108071748878924</v>
      </c>
      <c r="I399" s="143">
        <v>20925</v>
      </c>
      <c r="J399" s="144">
        <v>24000</v>
      </c>
      <c r="K399" s="591">
        <f t="shared" si="114"/>
        <v>1.0762331838565022</v>
      </c>
      <c r="L399" s="513"/>
      <c r="M399" s="505"/>
      <c r="N399" s="505"/>
      <c r="O399" s="506"/>
      <c r="P399" s="505"/>
      <c r="Q399" s="505"/>
      <c r="R399" s="506"/>
      <c r="S399" s="506"/>
      <c r="T399" s="506"/>
      <c r="U399" s="83">
        <v>24000</v>
      </c>
      <c r="V399" s="506"/>
      <c r="W399" s="506">
        <f t="shared" si="111"/>
        <v>24000</v>
      </c>
    </row>
    <row r="400" spans="1:23" x14ac:dyDescent="0.2">
      <c r="A400" s="79"/>
      <c r="B400" s="79"/>
      <c r="C400" s="107"/>
      <c r="D400" s="514">
        <v>4170</v>
      </c>
      <c r="E400" s="109" t="s">
        <v>184</v>
      </c>
      <c r="F400" s="179">
        <v>7450</v>
      </c>
      <c r="G400" s="83">
        <v>6857.71</v>
      </c>
      <c r="H400" s="142">
        <f t="shared" si="102"/>
        <v>0.92049798657718118</v>
      </c>
      <c r="I400" s="85">
        <v>7450</v>
      </c>
      <c r="J400" s="86">
        <v>10000</v>
      </c>
      <c r="K400" s="591">
        <f t="shared" si="114"/>
        <v>1.3422818791946309</v>
      </c>
      <c r="L400" s="513"/>
      <c r="M400" s="505"/>
      <c r="N400" s="505"/>
      <c r="O400" s="506"/>
      <c r="P400" s="505"/>
      <c r="Q400" s="505"/>
      <c r="R400" s="506"/>
      <c r="S400" s="506"/>
      <c r="T400" s="506"/>
      <c r="U400" s="83">
        <v>10000</v>
      </c>
      <c r="V400" s="506"/>
      <c r="W400" s="506">
        <f t="shared" si="111"/>
        <v>10000</v>
      </c>
    </row>
    <row r="401" spans="1:23" x14ac:dyDescent="0.2">
      <c r="A401" s="79"/>
      <c r="B401" s="79"/>
      <c r="C401" s="107"/>
      <c r="D401" s="516">
        <v>4210</v>
      </c>
      <c r="E401" s="160" t="s">
        <v>176</v>
      </c>
      <c r="F401" s="161">
        <v>65257</v>
      </c>
      <c r="G401" s="83">
        <v>54751.839999999997</v>
      </c>
      <c r="H401" s="142">
        <f t="shared" ref="H401:H414" si="118">G401/F401</f>
        <v>0.83901864934030057</v>
      </c>
      <c r="I401" s="85">
        <v>65257</v>
      </c>
      <c r="J401" s="86">
        <v>34900</v>
      </c>
      <c r="K401" s="591">
        <f t="shared" si="114"/>
        <v>0.5348085262883675</v>
      </c>
      <c r="L401" s="513"/>
      <c r="M401" s="505"/>
      <c r="N401" s="505"/>
      <c r="O401" s="506"/>
      <c r="P401" s="505"/>
      <c r="Q401" s="505"/>
      <c r="R401" s="506"/>
      <c r="S401" s="506"/>
      <c r="T401" s="506"/>
      <c r="U401" s="83">
        <v>34900</v>
      </c>
      <c r="V401" s="506"/>
      <c r="W401" s="506">
        <f t="shared" si="111"/>
        <v>34900</v>
      </c>
    </row>
    <row r="402" spans="1:23" x14ac:dyDescent="0.2">
      <c r="A402" s="79"/>
      <c r="B402" s="79"/>
      <c r="C402" s="107"/>
      <c r="D402" s="574">
        <v>4260</v>
      </c>
      <c r="E402" s="249" t="s">
        <v>185</v>
      </c>
      <c r="F402" s="573">
        <v>12000</v>
      </c>
      <c r="G402" s="141">
        <v>8047.8</v>
      </c>
      <c r="H402" s="142">
        <f t="shared" si="118"/>
        <v>0.67064999999999997</v>
      </c>
      <c r="I402" s="143">
        <v>12000</v>
      </c>
      <c r="J402" s="144">
        <v>13000</v>
      </c>
      <c r="K402" s="591">
        <f t="shared" si="114"/>
        <v>1.0833333333333333</v>
      </c>
      <c r="L402" s="604"/>
      <c r="M402" s="505"/>
      <c r="N402" s="505"/>
      <c r="O402" s="506"/>
      <c r="P402" s="505"/>
      <c r="Q402" s="505"/>
      <c r="R402" s="506"/>
      <c r="S402" s="506"/>
      <c r="T402" s="506"/>
      <c r="U402" s="141">
        <v>13000</v>
      </c>
      <c r="V402" s="506"/>
      <c r="W402" s="506">
        <f t="shared" si="111"/>
        <v>13000</v>
      </c>
    </row>
    <row r="403" spans="1:23" x14ac:dyDescent="0.2">
      <c r="A403" s="79"/>
      <c r="B403" s="79"/>
      <c r="C403" s="107"/>
      <c r="D403" s="514">
        <v>4270</v>
      </c>
      <c r="E403" s="109" t="s">
        <v>192</v>
      </c>
      <c r="F403" s="179">
        <v>1000</v>
      </c>
      <c r="G403" s="83">
        <v>307.5</v>
      </c>
      <c r="H403" s="142">
        <f t="shared" si="118"/>
        <v>0.3075</v>
      </c>
      <c r="I403" s="85">
        <v>1000</v>
      </c>
      <c r="J403" s="86">
        <v>1000</v>
      </c>
      <c r="K403" s="591">
        <f t="shared" si="114"/>
        <v>1</v>
      </c>
      <c r="L403" s="513"/>
      <c r="M403" s="505"/>
      <c r="N403" s="505"/>
      <c r="O403" s="506"/>
      <c r="P403" s="505"/>
      <c r="Q403" s="505"/>
      <c r="R403" s="506"/>
      <c r="S403" s="506"/>
      <c r="T403" s="506"/>
      <c r="U403" s="83">
        <v>1000</v>
      </c>
      <c r="V403" s="506"/>
      <c r="W403" s="506">
        <f t="shared" si="111"/>
        <v>1000</v>
      </c>
    </row>
    <row r="404" spans="1:23" x14ac:dyDescent="0.2">
      <c r="A404" s="79"/>
      <c r="B404" s="79"/>
      <c r="C404" s="253"/>
      <c r="D404" s="516">
        <v>4280</v>
      </c>
      <c r="E404" s="160" t="s">
        <v>233</v>
      </c>
      <c r="F404" s="634">
        <v>1000</v>
      </c>
      <c r="G404" s="83">
        <v>1000</v>
      </c>
      <c r="H404" s="142">
        <f t="shared" si="118"/>
        <v>1</v>
      </c>
      <c r="I404" s="85">
        <v>1000</v>
      </c>
      <c r="J404" s="86">
        <v>1000</v>
      </c>
      <c r="K404" s="611">
        <f t="shared" si="114"/>
        <v>1</v>
      </c>
      <c r="L404" s="513"/>
      <c r="M404" s="505"/>
      <c r="N404" s="505"/>
      <c r="O404" s="506"/>
      <c r="P404" s="505"/>
      <c r="Q404" s="505"/>
      <c r="R404" s="506"/>
      <c r="S404" s="506"/>
      <c r="T404" s="506"/>
      <c r="U404" s="83">
        <v>1000</v>
      </c>
      <c r="V404" s="506"/>
      <c r="W404" s="506">
        <f t="shared" si="111"/>
        <v>1000</v>
      </c>
    </row>
    <row r="405" spans="1:23" x14ac:dyDescent="0.2">
      <c r="A405" s="79"/>
      <c r="B405" s="79"/>
      <c r="C405" s="206"/>
      <c r="D405" s="391">
        <v>4300</v>
      </c>
      <c r="E405" s="163" t="s">
        <v>177</v>
      </c>
      <c r="F405" s="164">
        <v>51675</v>
      </c>
      <c r="G405" s="141">
        <v>51169</v>
      </c>
      <c r="H405" s="142">
        <f t="shared" si="118"/>
        <v>0.9902080309627479</v>
      </c>
      <c r="I405" s="143">
        <v>51675</v>
      </c>
      <c r="J405" s="144">
        <v>59385</v>
      </c>
      <c r="K405" s="591">
        <f t="shared" si="114"/>
        <v>1.1492017416545719</v>
      </c>
      <c r="L405" s="513"/>
      <c r="M405" s="505"/>
      <c r="N405" s="505"/>
      <c r="O405" s="506"/>
      <c r="P405" s="505"/>
      <c r="Q405" s="505"/>
      <c r="R405" s="506"/>
      <c r="S405" s="506"/>
      <c r="T405" s="506"/>
      <c r="U405" s="83">
        <v>59385</v>
      </c>
      <c r="V405" s="506"/>
      <c r="W405" s="506">
        <f t="shared" si="111"/>
        <v>59385</v>
      </c>
    </row>
    <row r="406" spans="1:23" ht="33.75" x14ac:dyDescent="0.2">
      <c r="A406" s="79"/>
      <c r="B406" s="79"/>
      <c r="C406" s="206"/>
      <c r="D406" s="391">
        <v>4360</v>
      </c>
      <c r="E406" s="163" t="s">
        <v>236</v>
      </c>
      <c r="F406" s="208">
        <v>6000</v>
      </c>
      <c r="G406" s="141">
        <v>5346.14</v>
      </c>
      <c r="H406" s="142">
        <f t="shared" si="118"/>
        <v>0.89102333333333339</v>
      </c>
      <c r="I406" s="143">
        <v>6000</v>
      </c>
      <c r="J406" s="144">
        <v>9400</v>
      </c>
      <c r="K406" s="591">
        <f t="shared" si="114"/>
        <v>1.5666666666666667</v>
      </c>
      <c r="L406" s="604"/>
      <c r="M406" s="505"/>
      <c r="N406" s="505"/>
      <c r="O406" s="506"/>
      <c r="P406" s="505"/>
      <c r="Q406" s="505"/>
      <c r="R406" s="506"/>
      <c r="S406" s="506"/>
      <c r="T406" s="506"/>
      <c r="U406" s="141">
        <v>9400</v>
      </c>
      <c r="V406" s="506"/>
      <c r="W406" s="506">
        <f t="shared" si="111"/>
        <v>9400</v>
      </c>
    </row>
    <row r="407" spans="1:23" ht="33.75" x14ac:dyDescent="0.2">
      <c r="A407" s="79"/>
      <c r="B407" s="79"/>
      <c r="C407" s="206"/>
      <c r="D407" s="391">
        <v>4370</v>
      </c>
      <c r="E407" s="163" t="s">
        <v>271</v>
      </c>
      <c r="F407" s="208">
        <v>2200</v>
      </c>
      <c r="G407" s="141">
        <v>1004.89</v>
      </c>
      <c r="H407" s="142">
        <f t="shared" si="118"/>
        <v>0.4567681818181818</v>
      </c>
      <c r="I407" s="143">
        <v>2200</v>
      </c>
      <c r="J407" s="144">
        <v>1200</v>
      </c>
      <c r="K407" s="591">
        <f t="shared" si="114"/>
        <v>0.54545454545454541</v>
      </c>
      <c r="L407" s="604"/>
      <c r="M407" s="505"/>
      <c r="N407" s="505"/>
      <c r="O407" s="506"/>
      <c r="P407" s="505"/>
      <c r="Q407" s="505"/>
      <c r="R407" s="506"/>
      <c r="S407" s="506"/>
      <c r="T407" s="506"/>
      <c r="U407" s="141">
        <v>1200</v>
      </c>
      <c r="V407" s="506"/>
      <c r="W407" s="506">
        <f t="shared" si="111"/>
        <v>1200</v>
      </c>
    </row>
    <row r="408" spans="1:23" ht="22.5" x14ac:dyDescent="0.2">
      <c r="A408" s="79"/>
      <c r="B408" s="79"/>
      <c r="C408" s="427"/>
      <c r="D408" s="609">
        <v>4390</v>
      </c>
      <c r="E408" s="166" t="s">
        <v>239</v>
      </c>
      <c r="F408" s="784">
        <v>21000</v>
      </c>
      <c r="G408" s="141">
        <v>19778.400000000001</v>
      </c>
      <c r="H408" s="142">
        <f t="shared" si="118"/>
        <v>0.94182857142857146</v>
      </c>
      <c r="I408" s="143">
        <v>19778.400000000001</v>
      </c>
      <c r="J408" s="144">
        <v>22140</v>
      </c>
      <c r="K408" s="591">
        <f t="shared" si="114"/>
        <v>1.0542857142857143</v>
      </c>
      <c r="L408" s="604"/>
      <c r="M408" s="505"/>
      <c r="N408" s="505"/>
      <c r="O408" s="506"/>
      <c r="P408" s="505"/>
      <c r="Q408" s="505"/>
      <c r="R408" s="506"/>
      <c r="S408" s="506"/>
      <c r="T408" s="506"/>
      <c r="U408" s="141">
        <v>22140</v>
      </c>
      <c r="V408" s="506"/>
      <c r="W408" s="506">
        <f t="shared" si="111"/>
        <v>22140</v>
      </c>
    </row>
    <row r="409" spans="1:23" ht="22.5" x14ac:dyDescent="0.2">
      <c r="A409" s="79"/>
      <c r="B409" s="79"/>
      <c r="C409" s="79"/>
      <c r="D409" s="616">
        <v>4400</v>
      </c>
      <c r="E409" s="169" t="s">
        <v>299</v>
      </c>
      <c r="F409" s="326">
        <v>33000</v>
      </c>
      <c r="G409" s="141">
        <v>22518.45</v>
      </c>
      <c r="H409" s="142">
        <f t="shared" si="118"/>
        <v>0.68237727272727278</v>
      </c>
      <c r="I409" s="143">
        <v>33000</v>
      </c>
      <c r="J409" s="144">
        <v>33000</v>
      </c>
      <c r="K409" s="591">
        <f t="shared" si="114"/>
        <v>1</v>
      </c>
      <c r="L409" s="604"/>
      <c r="M409" s="505"/>
      <c r="N409" s="505"/>
      <c r="O409" s="506"/>
      <c r="P409" s="505"/>
      <c r="Q409" s="505"/>
      <c r="R409" s="506"/>
      <c r="S409" s="506"/>
      <c r="T409" s="506"/>
      <c r="U409" s="141">
        <v>33000</v>
      </c>
      <c r="V409" s="506"/>
      <c r="W409" s="506">
        <f t="shared" si="111"/>
        <v>33000</v>
      </c>
    </row>
    <row r="410" spans="1:23" x14ac:dyDescent="0.2">
      <c r="A410" s="79"/>
      <c r="B410" s="79"/>
      <c r="C410" s="107"/>
      <c r="D410" s="514">
        <v>4410</v>
      </c>
      <c r="E410" s="109" t="s">
        <v>179</v>
      </c>
      <c r="F410" s="179">
        <v>10500</v>
      </c>
      <c r="G410" s="83">
        <v>5685.05</v>
      </c>
      <c r="H410" s="142">
        <f t="shared" si="118"/>
        <v>0.54143333333333332</v>
      </c>
      <c r="I410" s="85">
        <v>9109.0499999999993</v>
      </c>
      <c r="J410" s="86">
        <v>12500</v>
      </c>
      <c r="K410" s="591">
        <f t="shared" si="114"/>
        <v>1.1904761904761905</v>
      </c>
      <c r="L410" s="513"/>
      <c r="M410" s="505"/>
      <c r="N410" s="505"/>
      <c r="O410" s="506"/>
      <c r="P410" s="505"/>
      <c r="Q410" s="505"/>
      <c r="R410" s="506"/>
      <c r="S410" s="506"/>
      <c r="T410" s="506"/>
      <c r="U410" s="83">
        <v>12500</v>
      </c>
      <c r="V410" s="506"/>
      <c r="W410" s="506">
        <f t="shared" si="111"/>
        <v>12500</v>
      </c>
    </row>
    <row r="411" spans="1:23" x14ac:dyDescent="0.2">
      <c r="A411" s="79"/>
      <c r="B411" s="79"/>
      <c r="C411" s="107"/>
      <c r="D411" s="514">
        <v>4430</v>
      </c>
      <c r="E411" s="109" t="s">
        <v>180</v>
      </c>
      <c r="F411" s="179">
        <v>875</v>
      </c>
      <c r="G411" s="83">
        <v>875</v>
      </c>
      <c r="H411" s="142">
        <f t="shared" si="118"/>
        <v>1</v>
      </c>
      <c r="I411" s="85">
        <v>875</v>
      </c>
      <c r="J411" s="86">
        <v>800</v>
      </c>
      <c r="K411" s="591">
        <f t="shared" si="114"/>
        <v>0.91428571428571426</v>
      </c>
      <c r="L411" s="513"/>
      <c r="M411" s="505"/>
      <c r="N411" s="505"/>
      <c r="O411" s="506"/>
      <c r="P411" s="505"/>
      <c r="Q411" s="505"/>
      <c r="R411" s="506"/>
      <c r="S411" s="506"/>
      <c r="T411" s="506"/>
      <c r="U411" s="83">
        <v>800</v>
      </c>
      <c r="V411" s="506"/>
      <c r="W411" s="506">
        <f t="shared" si="111"/>
        <v>800</v>
      </c>
    </row>
    <row r="412" spans="1:23" ht="22.5" x14ac:dyDescent="0.2">
      <c r="A412" s="79"/>
      <c r="B412" s="79"/>
      <c r="C412" s="107"/>
      <c r="D412" s="514">
        <v>4440</v>
      </c>
      <c r="E412" s="109" t="s">
        <v>242</v>
      </c>
      <c r="F412" s="110">
        <v>29326</v>
      </c>
      <c r="G412" s="83">
        <v>29326</v>
      </c>
      <c r="H412" s="142">
        <f t="shared" si="118"/>
        <v>1</v>
      </c>
      <c r="I412" s="85">
        <v>29326</v>
      </c>
      <c r="J412" s="86">
        <v>29326</v>
      </c>
      <c r="K412" s="591">
        <f t="shared" si="114"/>
        <v>1</v>
      </c>
      <c r="L412" s="513"/>
      <c r="M412" s="505"/>
      <c r="N412" s="505"/>
      <c r="O412" s="506"/>
      <c r="P412" s="505"/>
      <c r="Q412" s="505"/>
      <c r="R412" s="506"/>
      <c r="S412" s="506"/>
      <c r="T412" s="506"/>
      <c r="U412" s="83">
        <v>29326</v>
      </c>
      <c r="V412" s="506"/>
      <c r="W412" s="506">
        <f t="shared" si="111"/>
        <v>29326</v>
      </c>
    </row>
    <row r="413" spans="1:23" ht="22.5" x14ac:dyDescent="0.2">
      <c r="A413" s="79"/>
      <c r="B413" s="79"/>
      <c r="C413" s="80"/>
      <c r="D413" s="511">
        <v>4610</v>
      </c>
      <c r="E413" s="37" t="s">
        <v>206</v>
      </c>
      <c r="F413" s="82">
        <v>274</v>
      </c>
      <c r="G413" s="83">
        <v>274</v>
      </c>
      <c r="H413" s="142">
        <f t="shared" si="118"/>
        <v>1</v>
      </c>
      <c r="I413" s="85">
        <v>274</v>
      </c>
      <c r="J413" s="86">
        <v>0</v>
      </c>
      <c r="K413" s="591">
        <f t="shared" si="114"/>
        <v>0</v>
      </c>
      <c r="L413" s="513"/>
      <c r="M413" s="505"/>
      <c r="N413" s="505"/>
      <c r="O413" s="506"/>
      <c r="P413" s="505"/>
      <c r="Q413" s="505"/>
      <c r="R413" s="506"/>
      <c r="S413" s="506"/>
      <c r="T413" s="506"/>
      <c r="U413" s="83">
        <v>0</v>
      </c>
      <c r="V413" s="506"/>
      <c r="W413" s="506">
        <f t="shared" si="111"/>
        <v>0</v>
      </c>
    </row>
    <row r="414" spans="1:23" ht="22.5" x14ac:dyDescent="0.2">
      <c r="A414" s="79"/>
      <c r="B414" s="390"/>
      <c r="C414" s="253"/>
      <c r="D414" s="516">
        <v>4700</v>
      </c>
      <c r="E414" s="160" t="s">
        <v>181</v>
      </c>
      <c r="F414" s="634">
        <v>2700</v>
      </c>
      <c r="G414" s="83">
        <v>1669</v>
      </c>
      <c r="H414" s="142">
        <f t="shared" si="118"/>
        <v>0.61814814814814811</v>
      </c>
      <c r="I414" s="85">
        <v>2569</v>
      </c>
      <c r="J414" s="86">
        <v>2700</v>
      </c>
      <c r="K414" s="591">
        <f t="shared" si="114"/>
        <v>1</v>
      </c>
      <c r="L414" s="513"/>
      <c r="M414" s="505"/>
      <c r="N414" s="505"/>
      <c r="O414" s="506"/>
      <c r="P414" s="505"/>
      <c r="Q414" s="505"/>
      <c r="R414" s="506"/>
      <c r="S414" s="506"/>
      <c r="T414" s="506"/>
      <c r="U414" s="83">
        <v>2700</v>
      </c>
      <c r="V414" s="506"/>
      <c r="W414" s="506">
        <f t="shared" si="111"/>
        <v>2700</v>
      </c>
    </row>
    <row r="415" spans="1:23" ht="22.5" hidden="1" x14ac:dyDescent="0.2">
      <c r="A415" s="79"/>
      <c r="B415" s="206"/>
      <c r="C415" s="427"/>
      <c r="D415" s="609">
        <v>6060</v>
      </c>
      <c r="E415" s="90" t="s">
        <v>272</v>
      </c>
      <c r="F415" s="121">
        <v>0</v>
      </c>
      <c r="G415" s="122">
        <v>0</v>
      </c>
      <c r="H415" s="84" t="e">
        <f t="shared" ref="H415:H433" si="119">G415/F415</f>
        <v>#DIV/0!</v>
      </c>
      <c r="I415" s="122">
        <v>0</v>
      </c>
      <c r="J415" s="86">
        <v>0</v>
      </c>
      <c r="K415" s="591" t="e">
        <f t="shared" si="114"/>
        <v>#DIV/0!</v>
      </c>
      <c r="L415" s="513"/>
      <c r="M415" s="505"/>
      <c r="N415" s="505"/>
      <c r="O415" s="506"/>
      <c r="P415" s="505"/>
      <c r="Q415" s="505"/>
      <c r="R415" s="506"/>
      <c r="S415" s="506"/>
      <c r="T415" s="506"/>
      <c r="U415" s="83">
        <v>0</v>
      </c>
      <c r="V415" s="506"/>
      <c r="W415" s="506">
        <f t="shared" si="111"/>
        <v>0</v>
      </c>
    </row>
    <row r="416" spans="1:23" ht="22.5" x14ac:dyDescent="0.2">
      <c r="A416" s="79"/>
      <c r="B416" s="152">
        <v>85228</v>
      </c>
      <c r="C416" s="234"/>
      <c r="D416" s="71"/>
      <c r="E416" s="104" t="s">
        <v>118</v>
      </c>
      <c r="F416" s="308">
        <f>SUM(F417:F421)</f>
        <v>522863</v>
      </c>
      <c r="G416" s="308">
        <f>SUM(G417:G421)</f>
        <v>375667.86</v>
      </c>
      <c r="H416" s="746">
        <f t="shared" si="119"/>
        <v>0.71848239404968417</v>
      </c>
      <c r="I416" s="156">
        <f>SUM(I417:I421)</f>
        <v>522808.6</v>
      </c>
      <c r="J416" s="157">
        <f>SUM(J417:J421)</f>
        <v>631279</v>
      </c>
      <c r="K416" s="1076">
        <f>J416/F416</f>
        <v>1.2073506826836093</v>
      </c>
      <c r="L416" s="1123"/>
      <c r="M416" s="572">
        <f t="shared" ref="M416:V416" si="120">SUM(M417:M421)</f>
        <v>0</v>
      </c>
      <c r="N416" s="572">
        <f t="shared" si="120"/>
        <v>0</v>
      </c>
      <c r="O416" s="572">
        <f t="shared" si="120"/>
        <v>0</v>
      </c>
      <c r="P416" s="572">
        <f t="shared" si="120"/>
        <v>0</v>
      </c>
      <c r="Q416" s="572">
        <f t="shared" si="120"/>
        <v>0</v>
      </c>
      <c r="R416" s="572">
        <f t="shared" si="120"/>
        <v>0</v>
      </c>
      <c r="S416" s="572">
        <f t="shared" si="120"/>
        <v>0</v>
      </c>
      <c r="T416" s="572">
        <f t="shared" si="120"/>
        <v>0</v>
      </c>
      <c r="U416" s="572">
        <f t="shared" si="120"/>
        <v>631279</v>
      </c>
      <c r="V416" s="572">
        <f t="shared" si="120"/>
        <v>0</v>
      </c>
      <c r="W416" s="572">
        <f>SUM(M416:V416)</f>
        <v>631279</v>
      </c>
    </row>
    <row r="417" spans="1:23" ht="56.25" x14ac:dyDescent="0.2">
      <c r="A417" s="79"/>
      <c r="B417" s="79"/>
      <c r="C417" s="79"/>
      <c r="D417" s="616">
        <v>2910</v>
      </c>
      <c r="E417" s="169" t="s">
        <v>297</v>
      </c>
      <c r="F417" s="170">
        <v>1700</v>
      </c>
      <c r="G417" s="141">
        <v>1645.6</v>
      </c>
      <c r="H417" s="142">
        <f t="shared" si="119"/>
        <v>0.96799999999999997</v>
      </c>
      <c r="I417" s="143">
        <v>1645.6</v>
      </c>
      <c r="J417" s="144">
        <v>0</v>
      </c>
      <c r="K417" s="591">
        <f t="shared" ref="K417:K421" si="121">J417/F417</f>
        <v>0</v>
      </c>
      <c r="L417" s="604"/>
      <c r="M417" s="505"/>
      <c r="N417" s="505"/>
      <c r="O417" s="506"/>
      <c r="P417" s="505"/>
      <c r="Q417" s="505"/>
      <c r="R417" s="506"/>
      <c r="S417" s="506"/>
      <c r="T417" s="506"/>
      <c r="U417" s="506"/>
      <c r="V417" s="506"/>
      <c r="W417" s="506">
        <f>SUM(M417:V417)</f>
        <v>0</v>
      </c>
    </row>
    <row r="418" spans="1:23" x14ac:dyDescent="0.2">
      <c r="A418" s="79"/>
      <c r="B418" s="79"/>
      <c r="C418" s="107"/>
      <c r="D418" s="514">
        <v>4110</v>
      </c>
      <c r="E418" s="109" t="s">
        <v>174</v>
      </c>
      <c r="F418" s="110">
        <v>6543</v>
      </c>
      <c r="G418" s="83">
        <v>4639.1000000000004</v>
      </c>
      <c r="H418" s="142">
        <f t="shared" si="119"/>
        <v>0.70901727036527595</v>
      </c>
      <c r="I418" s="85">
        <v>6543</v>
      </c>
      <c r="J418" s="86">
        <v>8610</v>
      </c>
      <c r="K418" s="591">
        <f t="shared" si="121"/>
        <v>1.315910132966529</v>
      </c>
      <c r="L418" s="513"/>
      <c r="M418" s="505"/>
      <c r="N418" s="505"/>
      <c r="O418" s="506"/>
      <c r="P418" s="505"/>
      <c r="Q418" s="505"/>
      <c r="R418" s="506"/>
      <c r="S418" s="506"/>
      <c r="T418" s="506"/>
      <c r="U418" s="83">
        <v>8610</v>
      </c>
      <c r="V418" s="506"/>
      <c r="W418" s="506">
        <f t="shared" ref="W418:W421" si="122">SUM(M418:V418)</f>
        <v>8610</v>
      </c>
    </row>
    <row r="419" spans="1:23" x14ac:dyDescent="0.2">
      <c r="A419" s="79"/>
      <c r="B419" s="79"/>
      <c r="C419" s="107"/>
      <c r="D419" s="514">
        <v>4170</v>
      </c>
      <c r="E419" s="109" t="s">
        <v>184</v>
      </c>
      <c r="F419" s="110">
        <v>38000</v>
      </c>
      <c r="G419" s="83">
        <v>30083.52</v>
      </c>
      <c r="H419" s="142">
        <f t="shared" si="119"/>
        <v>0.79167157894736839</v>
      </c>
      <c r="I419" s="85">
        <v>38000</v>
      </c>
      <c r="J419" s="86">
        <v>50000</v>
      </c>
      <c r="K419" s="591">
        <f t="shared" si="121"/>
        <v>1.3157894736842106</v>
      </c>
      <c r="L419" s="513"/>
      <c r="M419" s="505"/>
      <c r="N419" s="505"/>
      <c r="O419" s="506"/>
      <c r="P419" s="505"/>
      <c r="Q419" s="505"/>
      <c r="R419" s="506"/>
      <c r="S419" s="506"/>
      <c r="T419" s="506"/>
      <c r="U419" s="83">
        <v>50000</v>
      </c>
      <c r="V419" s="506"/>
      <c r="W419" s="506">
        <f t="shared" si="122"/>
        <v>50000</v>
      </c>
    </row>
    <row r="420" spans="1:23" x14ac:dyDescent="0.2">
      <c r="A420" s="79"/>
      <c r="B420" s="79"/>
      <c r="C420" s="253"/>
      <c r="D420" s="516">
        <v>4300</v>
      </c>
      <c r="E420" s="160" t="s">
        <v>177</v>
      </c>
      <c r="F420" s="634">
        <v>38300</v>
      </c>
      <c r="G420" s="83">
        <v>22758.91</v>
      </c>
      <c r="H420" s="142">
        <f t="shared" si="119"/>
        <v>0.59422741514360311</v>
      </c>
      <c r="I420" s="85">
        <v>38300</v>
      </c>
      <c r="J420" s="86">
        <v>35927</v>
      </c>
      <c r="K420" s="611">
        <f t="shared" si="121"/>
        <v>0.93804177545691902</v>
      </c>
      <c r="L420" s="513"/>
      <c r="M420" s="505"/>
      <c r="N420" s="505"/>
      <c r="O420" s="506"/>
      <c r="P420" s="505"/>
      <c r="Q420" s="505"/>
      <c r="R420" s="506"/>
      <c r="S420" s="506"/>
      <c r="T420" s="506"/>
      <c r="U420" s="83">
        <v>35927</v>
      </c>
      <c r="V420" s="506"/>
      <c r="W420" s="506">
        <f t="shared" si="122"/>
        <v>35927</v>
      </c>
    </row>
    <row r="421" spans="1:23" ht="33.75" x14ac:dyDescent="0.2">
      <c r="A421" s="79"/>
      <c r="B421" s="79"/>
      <c r="C421" s="206"/>
      <c r="D421" s="391">
        <v>4330</v>
      </c>
      <c r="E421" s="163" t="s">
        <v>304</v>
      </c>
      <c r="F421" s="254">
        <v>438320</v>
      </c>
      <c r="G421" s="141">
        <v>316540.73</v>
      </c>
      <c r="H421" s="142">
        <f t="shared" si="119"/>
        <v>0.72216811918233248</v>
      </c>
      <c r="I421" s="143">
        <v>438320</v>
      </c>
      <c r="J421" s="144">
        <v>536742</v>
      </c>
      <c r="K421" s="591">
        <f t="shared" si="121"/>
        <v>1.2245437123562695</v>
      </c>
      <c r="L421" s="513"/>
      <c r="M421" s="505"/>
      <c r="N421" s="505"/>
      <c r="O421" s="506"/>
      <c r="P421" s="505"/>
      <c r="Q421" s="505"/>
      <c r="R421" s="506"/>
      <c r="S421" s="506"/>
      <c r="T421" s="506"/>
      <c r="U421" s="83">
        <f>686742-150000</f>
        <v>536742</v>
      </c>
      <c r="V421" s="506"/>
      <c r="W421" s="506">
        <f t="shared" si="122"/>
        <v>536742</v>
      </c>
    </row>
    <row r="422" spans="1:23" x14ac:dyDescent="0.2">
      <c r="A422" s="79"/>
      <c r="B422" s="118">
        <v>85278</v>
      </c>
      <c r="C422" s="70"/>
      <c r="D422" s="103"/>
      <c r="E422" s="72" t="s">
        <v>305</v>
      </c>
      <c r="F422" s="308">
        <f>F423</f>
        <v>69110</v>
      </c>
      <c r="G422" s="156">
        <f>G423</f>
        <v>69110</v>
      </c>
      <c r="H422" s="746">
        <f t="shared" si="119"/>
        <v>1</v>
      </c>
      <c r="I422" s="75">
        <f>I423</f>
        <v>69110</v>
      </c>
      <c r="J422" s="76">
        <f>J423</f>
        <v>0</v>
      </c>
      <c r="K422" s="1084">
        <f>J422/F422</f>
        <v>0</v>
      </c>
      <c r="L422" s="1080"/>
      <c r="M422" s="510">
        <f t="shared" ref="M422:V422" si="123">M423</f>
        <v>0</v>
      </c>
      <c r="N422" s="510">
        <f t="shared" si="123"/>
        <v>0</v>
      </c>
      <c r="O422" s="510">
        <f t="shared" si="123"/>
        <v>0</v>
      </c>
      <c r="P422" s="510">
        <f t="shared" si="123"/>
        <v>0</v>
      </c>
      <c r="Q422" s="510">
        <f t="shared" si="123"/>
        <v>0</v>
      </c>
      <c r="R422" s="510">
        <f t="shared" si="123"/>
        <v>0</v>
      </c>
      <c r="S422" s="510">
        <f t="shared" si="123"/>
        <v>0</v>
      </c>
      <c r="T422" s="510">
        <f t="shared" si="123"/>
        <v>0</v>
      </c>
      <c r="U422" s="510">
        <f t="shared" si="123"/>
        <v>0</v>
      </c>
      <c r="V422" s="510">
        <f t="shared" si="123"/>
        <v>0</v>
      </c>
      <c r="W422" s="510">
        <f>SUM(M422:V422)</f>
        <v>0</v>
      </c>
    </row>
    <row r="423" spans="1:23" x14ac:dyDescent="0.2">
      <c r="A423" s="79"/>
      <c r="B423" s="79"/>
      <c r="C423" s="107"/>
      <c r="D423" s="574">
        <v>3110</v>
      </c>
      <c r="E423" s="249" t="s">
        <v>298</v>
      </c>
      <c r="F423" s="250">
        <v>69110</v>
      </c>
      <c r="G423" s="141">
        <v>69110</v>
      </c>
      <c r="H423" s="142">
        <f t="shared" si="119"/>
        <v>1</v>
      </c>
      <c r="I423" s="143">
        <v>69110</v>
      </c>
      <c r="J423" s="144">
        <v>0</v>
      </c>
      <c r="K423" s="591">
        <f t="shared" ref="K423" si="124">J423/F423</f>
        <v>0</v>
      </c>
      <c r="L423" s="604"/>
      <c r="M423" s="505"/>
      <c r="N423" s="505"/>
      <c r="O423" s="506"/>
      <c r="P423" s="505"/>
      <c r="Q423" s="505"/>
      <c r="R423" s="506"/>
      <c r="S423" s="506"/>
      <c r="T423" s="506"/>
      <c r="U423" s="506"/>
      <c r="V423" s="506"/>
      <c r="W423" s="506">
        <f>SUM(M423:V423)</f>
        <v>0</v>
      </c>
    </row>
    <row r="424" spans="1:23" x14ac:dyDescent="0.2">
      <c r="A424" s="79"/>
      <c r="B424" s="118">
        <v>85295</v>
      </c>
      <c r="C424" s="70"/>
      <c r="D424" s="103"/>
      <c r="E424" s="72" t="s">
        <v>23</v>
      </c>
      <c r="F424" s="308">
        <f>SUM(F425:F430)</f>
        <v>325909</v>
      </c>
      <c r="G424" s="156">
        <f>SUM(G425:G430)</f>
        <v>245353.94</v>
      </c>
      <c r="H424" s="746">
        <f t="shared" si="119"/>
        <v>0.7528295935368462</v>
      </c>
      <c r="I424" s="75">
        <f>SUM(I425:I430)</f>
        <v>325909</v>
      </c>
      <c r="J424" s="76">
        <f>SUM(J425:J430)</f>
        <v>122900</v>
      </c>
      <c r="K424" s="1084">
        <f>J424/F424</f>
        <v>0.37709912889794389</v>
      </c>
      <c r="L424" s="1080"/>
      <c r="M424" s="510">
        <f t="shared" ref="M424:V424" si="125">SUM(M425:M430)</f>
        <v>0</v>
      </c>
      <c r="N424" s="510">
        <f t="shared" si="125"/>
        <v>0</v>
      </c>
      <c r="O424" s="510">
        <f t="shared" si="125"/>
        <v>0</v>
      </c>
      <c r="P424" s="510">
        <f t="shared" si="125"/>
        <v>0</v>
      </c>
      <c r="Q424" s="510">
        <f t="shared" si="125"/>
        <v>0</v>
      </c>
      <c r="R424" s="510">
        <f t="shared" si="125"/>
        <v>0</v>
      </c>
      <c r="S424" s="510">
        <f t="shared" si="125"/>
        <v>0</v>
      </c>
      <c r="T424" s="510">
        <f t="shared" si="125"/>
        <v>0</v>
      </c>
      <c r="U424" s="510">
        <f t="shared" si="125"/>
        <v>122900</v>
      </c>
      <c r="V424" s="510">
        <f t="shared" si="125"/>
        <v>0</v>
      </c>
      <c r="W424" s="510">
        <f>SUM(M424:V424)</f>
        <v>122900</v>
      </c>
    </row>
    <row r="425" spans="1:23" ht="19.5" x14ac:dyDescent="0.2">
      <c r="A425" s="79"/>
      <c r="B425" s="79"/>
      <c r="C425" s="107"/>
      <c r="D425" s="574">
        <v>3110</v>
      </c>
      <c r="E425" s="249" t="s">
        <v>298</v>
      </c>
      <c r="F425" s="250">
        <v>319799</v>
      </c>
      <c r="G425" s="141">
        <v>243574.44</v>
      </c>
      <c r="H425" s="142">
        <f t="shared" si="119"/>
        <v>0.76164853548635236</v>
      </c>
      <c r="I425" s="143">
        <v>319799</v>
      </c>
      <c r="J425" s="144">
        <v>120000</v>
      </c>
      <c r="K425" s="591">
        <f t="shared" si="114"/>
        <v>0.37523569492087216</v>
      </c>
      <c r="L425" s="604" t="s">
        <v>306</v>
      </c>
      <c r="M425" s="505"/>
      <c r="N425" s="505"/>
      <c r="O425" s="506"/>
      <c r="P425" s="505"/>
      <c r="Q425" s="505"/>
      <c r="R425" s="506"/>
      <c r="S425" s="506"/>
      <c r="T425" s="506"/>
      <c r="U425" s="141">
        <v>120000</v>
      </c>
      <c r="V425" s="506"/>
      <c r="W425" s="506">
        <f>SUM(M425:V425)</f>
        <v>120000</v>
      </c>
    </row>
    <row r="426" spans="1:23" x14ac:dyDescent="0.2">
      <c r="A426" s="79"/>
      <c r="B426" s="79"/>
      <c r="C426" s="107"/>
      <c r="D426" s="514">
        <v>4010</v>
      </c>
      <c r="E426" s="109" t="s">
        <v>173</v>
      </c>
      <c r="F426" s="715">
        <v>2216</v>
      </c>
      <c r="G426" s="83">
        <v>484.9</v>
      </c>
      <c r="H426" s="142">
        <f t="shared" si="119"/>
        <v>0.21881768953068592</v>
      </c>
      <c r="I426" s="85">
        <v>2216</v>
      </c>
      <c r="J426" s="86"/>
      <c r="K426" s="591">
        <f t="shared" si="114"/>
        <v>0</v>
      </c>
      <c r="L426" s="513"/>
      <c r="M426" s="505"/>
      <c r="N426" s="505"/>
      <c r="O426" s="506"/>
      <c r="P426" s="505"/>
      <c r="Q426" s="505"/>
      <c r="R426" s="506"/>
      <c r="S426" s="506"/>
      <c r="T426" s="506"/>
      <c r="U426" s="83"/>
      <c r="V426" s="506"/>
      <c r="W426" s="506">
        <f t="shared" ref="W426:W471" si="126">SUM(M426:V426)</f>
        <v>0</v>
      </c>
    </row>
    <row r="427" spans="1:23" x14ac:dyDescent="0.2">
      <c r="A427" s="79"/>
      <c r="B427" s="79"/>
      <c r="C427" s="253"/>
      <c r="D427" s="516">
        <v>4110</v>
      </c>
      <c r="E427" s="160" t="s">
        <v>174</v>
      </c>
      <c r="F427" s="704">
        <v>382</v>
      </c>
      <c r="G427" s="83">
        <v>83.5</v>
      </c>
      <c r="H427" s="142">
        <f t="shared" si="119"/>
        <v>0.21858638743455497</v>
      </c>
      <c r="I427" s="85">
        <v>382</v>
      </c>
      <c r="J427" s="86"/>
      <c r="K427" s="611">
        <f t="shared" si="114"/>
        <v>0</v>
      </c>
      <c r="L427" s="513"/>
      <c r="M427" s="505"/>
      <c r="N427" s="505"/>
      <c r="O427" s="506"/>
      <c r="P427" s="505"/>
      <c r="Q427" s="505"/>
      <c r="R427" s="506"/>
      <c r="S427" s="506"/>
      <c r="T427" s="506"/>
      <c r="U427" s="83"/>
      <c r="V427" s="506"/>
      <c r="W427" s="506">
        <f t="shared" si="126"/>
        <v>0</v>
      </c>
    </row>
    <row r="428" spans="1:23" x14ac:dyDescent="0.2">
      <c r="A428" s="79"/>
      <c r="B428" s="79"/>
      <c r="C428" s="206"/>
      <c r="D428" s="391">
        <v>4120</v>
      </c>
      <c r="E428" s="163" t="s">
        <v>175</v>
      </c>
      <c r="F428" s="680">
        <v>54</v>
      </c>
      <c r="G428" s="141">
        <v>11.88</v>
      </c>
      <c r="H428" s="142">
        <f t="shared" si="119"/>
        <v>0.22</v>
      </c>
      <c r="I428" s="143">
        <v>54</v>
      </c>
      <c r="J428" s="144"/>
      <c r="K428" s="591">
        <f t="shared" si="114"/>
        <v>0</v>
      </c>
      <c r="L428" s="513"/>
      <c r="M428" s="505"/>
      <c r="N428" s="505"/>
      <c r="O428" s="506"/>
      <c r="P428" s="505"/>
      <c r="Q428" s="505"/>
      <c r="R428" s="506"/>
      <c r="S428" s="506"/>
      <c r="T428" s="506"/>
      <c r="U428" s="83"/>
      <c r="V428" s="506"/>
      <c r="W428" s="506">
        <f t="shared" si="126"/>
        <v>0</v>
      </c>
    </row>
    <row r="429" spans="1:23" x14ac:dyDescent="0.2">
      <c r="A429" s="79"/>
      <c r="B429" s="79"/>
      <c r="C429" s="253"/>
      <c r="D429" s="516">
        <v>4210</v>
      </c>
      <c r="E429" s="160" t="s">
        <v>176</v>
      </c>
      <c r="F429" s="634">
        <v>1600</v>
      </c>
      <c r="G429" s="83">
        <v>927.07</v>
      </c>
      <c r="H429" s="142">
        <f t="shared" si="119"/>
        <v>0.57941874999999998</v>
      </c>
      <c r="I429" s="85">
        <v>1600</v>
      </c>
      <c r="J429" s="86">
        <v>2000</v>
      </c>
      <c r="K429" s="591">
        <f t="shared" si="114"/>
        <v>1.25</v>
      </c>
      <c r="L429" s="513"/>
      <c r="M429" s="505"/>
      <c r="N429" s="505"/>
      <c r="O429" s="506"/>
      <c r="P429" s="505"/>
      <c r="Q429" s="505"/>
      <c r="R429" s="506"/>
      <c r="S429" s="506"/>
      <c r="T429" s="506"/>
      <c r="U429" s="83">
        <v>2000</v>
      </c>
      <c r="V429" s="506"/>
      <c r="W429" s="506">
        <f t="shared" si="126"/>
        <v>2000</v>
      </c>
    </row>
    <row r="430" spans="1:23" x14ac:dyDescent="0.2">
      <c r="A430" s="79"/>
      <c r="B430" s="79"/>
      <c r="C430" s="303"/>
      <c r="D430" s="574">
        <v>4300</v>
      </c>
      <c r="E430" s="249" t="s">
        <v>177</v>
      </c>
      <c r="F430" s="530">
        <v>1858</v>
      </c>
      <c r="G430" s="141">
        <v>272.14999999999998</v>
      </c>
      <c r="H430" s="142">
        <f t="shared" si="119"/>
        <v>0.14647470398277718</v>
      </c>
      <c r="I430" s="143">
        <v>1858</v>
      </c>
      <c r="J430" s="144">
        <v>900</v>
      </c>
      <c r="K430" s="591">
        <f t="shared" si="114"/>
        <v>0.48439181916038754</v>
      </c>
      <c r="L430" s="604"/>
      <c r="M430" s="505"/>
      <c r="N430" s="505"/>
      <c r="O430" s="506"/>
      <c r="P430" s="505"/>
      <c r="Q430" s="505"/>
      <c r="R430" s="506"/>
      <c r="S430" s="506"/>
      <c r="T430" s="506"/>
      <c r="U430" s="141">
        <v>900</v>
      </c>
      <c r="V430" s="506"/>
      <c r="W430" s="506">
        <f t="shared" si="126"/>
        <v>900</v>
      </c>
    </row>
    <row r="431" spans="1:23" s="756" customFormat="1" ht="22.5" x14ac:dyDescent="0.2">
      <c r="A431" s="757">
        <v>853</v>
      </c>
      <c r="B431" s="145"/>
      <c r="C431" s="145"/>
      <c r="D431" s="192"/>
      <c r="E431" s="193" t="s">
        <v>307</v>
      </c>
      <c r="F431" s="758">
        <f>F432</f>
        <v>4000</v>
      </c>
      <c r="G431" s="758">
        <f>G432</f>
        <v>4000</v>
      </c>
      <c r="H431" s="195">
        <f t="shared" si="119"/>
        <v>1</v>
      </c>
      <c r="I431" s="231">
        <f>I432</f>
        <v>4000</v>
      </c>
      <c r="J431" s="233">
        <f>J432</f>
        <v>0</v>
      </c>
      <c r="K431" s="1132">
        <f>J431/F431</f>
        <v>0</v>
      </c>
      <c r="L431" s="1095"/>
      <c r="M431" s="759">
        <f t="shared" ref="M431:V432" si="127">M432</f>
        <v>0</v>
      </c>
      <c r="N431" s="759">
        <f t="shared" si="127"/>
        <v>0</v>
      </c>
      <c r="O431" s="759">
        <f t="shared" si="127"/>
        <v>0</v>
      </c>
      <c r="P431" s="759">
        <f t="shared" si="127"/>
        <v>0</v>
      </c>
      <c r="Q431" s="759">
        <f t="shared" si="127"/>
        <v>0</v>
      </c>
      <c r="R431" s="759">
        <f t="shared" si="127"/>
        <v>0</v>
      </c>
      <c r="S431" s="759">
        <f t="shared" si="127"/>
        <v>0</v>
      </c>
      <c r="T431" s="759">
        <f t="shared" si="127"/>
        <v>0</v>
      </c>
      <c r="U431" s="759">
        <f t="shared" si="127"/>
        <v>0</v>
      </c>
      <c r="V431" s="759">
        <f t="shared" si="127"/>
        <v>0</v>
      </c>
      <c r="W431" s="759">
        <f t="shared" si="126"/>
        <v>0</v>
      </c>
    </row>
    <row r="432" spans="1:23" ht="25.5" customHeight="1" x14ac:dyDescent="0.2">
      <c r="A432" s="79"/>
      <c r="B432" s="237">
        <v>85311</v>
      </c>
      <c r="C432" s="785"/>
      <c r="D432" s="296"/>
      <c r="E432" s="297" t="s">
        <v>308</v>
      </c>
      <c r="F432" s="298">
        <f>F433</f>
        <v>4000</v>
      </c>
      <c r="G432" s="300">
        <f>G433</f>
        <v>4000</v>
      </c>
      <c r="H432" s="299">
        <f t="shared" si="119"/>
        <v>1</v>
      </c>
      <c r="I432" s="300">
        <f>I433</f>
        <v>4000</v>
      </c>
      <c r="J432" s="301">
        <f>J433</f>
        <v>0</v>
      </c>
      <c r="K432" s="1098">
        <f>J432/F432</f>
        <v>0</v>
      </c>
      <c r="L432" s="1088"/>
      <c r="M432" s="570">
        <f t="shared" si="127"/>
        <v>0</v>
      </c>
      <c r="N432" s="570">
        <f t="shared" si="127"/>
        <v>0</v>
      </c>
      <c r="O432" s="570">
        <f t="shared" si="127"/>
        <v>0</v>
      </c>
      <c r="P432" s="570">
        <f t="shared" si="127"/>
        <v>0</v>
      </c>
      <c r="Q432" s="570">
        <f t="shared" si="127"/>
        <v>0</v>
      </c>
      <c r="R432" s="570">
        <f t="shared" si="127"/>
        <v>0</v>
      </c>
      <c r="S432" s="570">
        <f t="shared" si="127"/>
        <v>0</v>
      </c>
      <c r="T432" s="570">
        <f t="shared" si="127"/>
        <v>0</v>
      </c>
      <c r="U432" s="570">
        <f t="shared" si="127"/>
        <v>0</v>
      </c>
      <c r="V432" s="570">
        <f t="shared" si="127"/>
        <v>0</v>
      </c>
      <c r="W432" s="570">
        <f t="shared" si="126"/>
        <v>0</v>
      </c>
    </row>
    <row r="433" spans="1:23" ht="45" x14ac:dyDescent="0.2">
      <c r="A433" s="79"/>
      <c r="B433" s="79"/>
      <c r="C433" s="303"/>
      <c r="D433" s="574">
        <v>6300</v>
      </c>
      <c r="E433" s="557" t="s">
        <v>190</v>
      </c>
      <c r="F433" s="786">
        <v>4000</v>
      </c>
      <c r="G433" s="141">
        <v>4000</v>
      </c>
      <c r="H433" s="142">
        <f t="shared" si="119"/>
        <v>1</v>
      </c>
      <c r="I433" s="143">
        <v>4000</v>
      </c>
      <c r="J433" s="144">
        <v>0</v>
      </c>
      <c r="K433" s="591">
        <f>J433/F433</f>
        <v>0</v>
      </c>
      <c r="L433" s="604"/>
      <c r="M433" s="505"/>
      <c r="N433" s="505"/>
      <c r="O433" s="506"/>
      <c r="P433" s="505"/>
      <c r="Q433" s="505"/>
      <c r="R433" s="506"/>
      <c r="S433" s="506"/>
      <c r="T433" s="506"/>
      <c r="U433" s="506"/>
      <c r="V433" s="506"/>
      <c r="W433" s="506">
        <f t="shared" si="126"/>
        <v>0</v>
      </c>
    </row>
    <row r="434" spans="1:23" s="756" customFormat="1" x14ac:dyDescent="0.2">
      <c r="A434" s="531">
        <v>854</v>
      </c>
      <c r="B434" s="145"/>
      <c r="C434" s="145"/>
      <c r="D434" s="192"/>
      <c r="E434" s="193" t="s">
        <v>122</v>
      </c>
      <c r="F434" s="575">
        <f>F435+F447+F451</f>
        <v>791116</v>
      </c>
      <c r="G434" s="196">
        <f>G435+G447+G451</f>
        <v>611868.47</v>
      </c>
      <c r="H434" s="195">
        <f>G434/F434</f>
        <v>0.77342446619711902</v>
      </c>
      <c r="I434" s="196">
        <f>I435+I447+I451</f>
        <v>790695.7</v>
      </c>
      <c r="J434" s="197">
        <f>J435+J447+J451</f>
        <v>637069</v>
      </c>
      <c r="K434" s="1111">
        <f>J434/F434</f>
        <v>0.80527887187214009</v>
      </c>
      <c r="L434" s="1105"/>
      <c r="M434" s="576">
        <f t="shared" ref="M434:V434" si="128">M435+M447+M451</f>
        <v>0</v>
      </c>
      <c r="N434" s="576">
        <f t="shared" si="128"/>
        <v>0</v>
      </c>
      <c r="O434" s="576">
        <f t="shared" si="128"/>
        <v>0</v>
      </c>
      <c r="P434" s="576">
        <f t="shared" si="128"/>
        <v>0</v>
      </c>
      <c r="Q434" s="576">
        <f t="shared" si="128"/>
        <v>0</v>
      </c>
      <c r="R434" s="576">
        <f t="shared" si="128"/>
        <v>0</v>
      </c>
      <c r="S434" s="576">
        <f t="shared" si="128"/>
        <v>0</v>
      </c>
      <c r="T434" s="576">
        <f t="shared" si="128"/>
        <v>0</v>
      </c>
      <c r="U434" s="576">
        <f t="shared" si="128"/>
        <v>0</v>
      </c>
      <c r="V434" s="576">
        <f t="shared" si="128"/>
        <v>637069</v>
      </c>
      <c r="W434" s="576">
        <f t="shared" si="126"/>
        <v>637069</v>
      </c>
    </row>
    <row r="435" spans="1:23" x14ac:dyDescent="0.2">
      <c r="A435" s="35"/>
      <c r="B435" s="152">
        <v>85401</v>
      </c>
      <c r="C435" s="234"/>
      <c r="D435" s="71"/>
      <c r="E435" s="104" t="s">
        <v>309</v>
      </c>
      <c r="F435" s="308">
        <f>SUM(F436:F446)</f>
        <v>401875</v>
      </c>
      <c r="G435" s="156">
        <f>SUM(G436:G446)</f>
        <v>304638.02</v>
      </c>
      <c r="H435" s="155">
        <f>G435/F435</f>
        <v>0.75804172939346814</v>
      </c>
      <c r="I435" s="156">
        <f>SUM(I436:I446)</f>
        <v>401586.24999999994</v>
      </c>
      <c r="J435" s="157">
        <f>SUM(J436:J446)</f>
        <v>533509</v>
      </c>
      <c r="K435" s="1076">
        <f>J435/F435</f>
        <v>1.3275496111975116</v>
      </c>
      <c r="L435" s="1123"/>
      <c r="M435" s="572">
        <f t="shared" ref="M435:V435" si="129">SUM(M436:M446)</f>
        <v>0</v>
      </c>
      <c r="N435" s="572">
        <f t="shared" si="129"/>
        <v>0</v>
      </c>
      <c r="O435" s="572">
        <f t="shared" si="129"/>
        <v>0</v>
      </c>
      <c r="P435" s="572">
        <f t="shared" si="129"/>
        <v>0</v>
      </c>
      <c r="Q435" s="572">
        <f t="shared" si="129"/>
        <v>0</v>
      </c>
      <c r="R435" s="572">
        <f t="shared" si="129"/>
        <v>0</v>
      </c>
      <c r="S435" s="572">
        <f t="shared" si="129"/>
        <v>0</v>
      </c>
      <c r="T435" s="572">
        <f t="shared" si="129"/>
        <v>0</v>
      </c>
      <c r="U435" s="572">
        <f t="shared" si="129"/>
        <v>0</v>
      </c>
      <c r="V435" s="572">
        <f t="shared" si="129"/>
        <v>533509</v>
      </c>
      <c r="W435" s="572">
        <f t="shared" si="126"/>
        <v>533509</v>
      </c>
    </row>
    <row r="436" spans="1:23" ht="22.5" x14ac:dyDescent="0.2">
      <c r="A436" s="79"/>
      <c r="B436" s="79"/>
      <c r="C436" s="107"/>
      <c r="D436" s="514">
        <v>3020</v>
      </c>
      <c r="E436" s="109" t="s">
        <v>219</v>
      </c>
      <c r="F436" s="715">
        <v>778</v>
      </c>
      <c r="G436" s="83">
        <v>163</v>
      </c>
      <c r="H436" s="84">
        <f>G436/F436</f>
        <v>0.2095115681233933</v>
      </c>
      <c r="I436" s="85">
        <v>778</v>
      </c>
      <c r="J436" s="86">
        <v>1079</v>
      </c>
      <c r="K436" s="592">
        <f t="shared" si="114"/>
        <v>1.3868894601542416</v>
      </c>
      <c r="L436" s="513"/>
      <c r="M436" s="505"/>
      <c r="N436" s="505"/>
      <c r="O436" s="506"/>
      <c r="P436" s="505"/>
      <c r="Q436" s="505"/>
      <c r="R436" s="506"/>
      <c r="S436" s="506"/>
      <c r="T436" s="506"/>
      <c r="U436" s="506"/>
      <c r="V436" s="83">
        <v>1079</v>
      </c>
      <c r="W436" s="506">
        <f t="shared" si="126"/>
        <v>1079</v>
      </c>
    </row>
    <row r="437" spans="1:23" x14ac:dyDescent="0.2">
      <c r="A437" s="79"/>
      <c r="B437" s="79"/>
      <c r="C437" s="107"/>
      <c r="D437" s="514">
        <v>4010</v>
      </c>
      <c r="E437" s="109" t="s">
        <v>173</v>
      </c>
      <c r="F437" s="715">
        <v>281576</v>
      </c>
      <c r="G437" s="83">
        <v>211861.07</v>
      </c>
      <c r="H437" s="84">
        <f t="shared" ref="H437:H446" si="130">G437/F437</f>
        <v>0.7524116757109981</v>
      </c>
      <c r="I437" s="85">
        <v>281576</v>
      </c>
      <c r="J437" s="86">
        <v>381808</v>
      </c>
      <c r="K437" s="592">
        <f t="shared" si="114"/>
        <v>1.3559678381680256</v>
      </c>
      <c r="L437" s="513"/>
      <c r="M437" s="505"/>
      <c r="N437" s="505"/>
      <c r="O437" s="506"/>
      <c r="P437" s="505"/>
      <c r="Q437" s="505"/>
      <c r="R437" s="506"/>
      <c r="S437" s="506"/>
      <c r="T437" s="506"/>
      <c r="U437" s="506"/>
      <c r="V437" s="83">
        <v>381808</v>
      </c>
      <c r="W437" s="506">
        <f t="shared" si="126"/>
        <v>381808</v>
      </c>
    </row>
    <row r="438" spans="1:23" x14ac:dyDescent="0.2">
      <c r="A438" s="79"/>
      <c r="B438" s="79"/>
      <c r="C438" s="107"/>
      <c r="D438" s="514">
        <v>4040</v>
      </c>
      <c r="E438" s="109" t="s">
        <v>213</v>
      </c>
      <c r="F438" s="715">
        <v>19826</v>
      </c>
      <c r="G438" s="83">
        <v>19822.79</v>
      </c>
      <c r="H438" s="84">
        <f t="shared" si="130"/>
        <v>0.9998380913951378</v>
      </c>
      <c r="I438" s="85">
        <v>19822.79</v>
      </c>
      <c r="J438" s="86">
        <v>26500</v>
      </c>
      <c r="K438" s="592">
        <f t="shared" si="114"/>
        <v>1.3366286694239886</v>
      </c>
      <c r="L438" s="513"/>
      <c r="M438" s="505"/>
      <c r="N438" s="505"/>
      <c r="O438" s="506"/>
      <c r="P438" s="505"/>
      <c r="Q438" s="505"/>
      <c r="R438" s="506"/>
      <c r="S438" s="506"/>
      <c r="T438" s="506"/>
      <c r="U438" s="506"/>
      <c r="V438" s="83">
        <v>26500</v>
      </c>
      <c r="W438" s="506">
        <f t="shared" si="126"/>
        <v>26500</v>
      </c>
    </row>
    <row r="439" spans="1:23" x14ac:dyDescent="0.2">
      <c r="A439" s="79"/>
      <c r="B439" s="79"/>
      <c r="C439" s="107"/>
      <c r="D439" s="514">
        <v>4110</v>
      </c>
      <c r="E439" s="109" t="s">
        <v>174</v>
      </c>
      <c r="F439" s="715">
        <v>52393</v>
      </c>
      <c r="G439" s="83">
        <v>39051.269999999997</v>
      </c>
      <c r="H439" s="84">
        <f t="shared" si="130"/>
        <v>0.74535281430725475</v>
      </c>
      <c r="I439" s="85">
        <v>52393</v>
      </c>
      <c r="J439" s="86">
        <v>70300</v>
      </c>
      <c r="K439" s="592">
        <f t="shared" si="114"/>
        <v>1.3417822991621018</v>
      </c>
      <c r="L439" s="513"/>
      <c r="M439" s="505"/>
      <c r="N439" s="505"/>
      <c r="O439" s="506"/>
      <c r="P439" s="505"/>
      <c r="Q439" s="505"/>
      <c r="R439" s="506"/>
      <c r="S439" s="506"/>
      <c r="T439" s="506"/>
      <c r="U439" s="506"/>
      <c r="V439" s="83">
        <v>70300</v>
      </c>
      <c r="W439" s="506">
        <f t="shared" si="126"/>
        <v>70300</v>
      </c>
    </row>
    <row r="440" spans="1:23" x14ac:dyDescent="0.2">
      <c r="A440" s="79"/>
      <c r="B440" s="79"/>
      <c r="C440" s="253"/>
      <c r="D440" s="516">
        <v>4120</v>
      </c>
      <c r="E440" s="160" t="s">
        <v>175</v>
      </c>
      <c r="F440" s="704">
        <v>7466</v>
      </c>
      <c r="G440" s="83">
        <v>5108.78</v>
      </c>
      <c r="H440" s="84">
        <f t="shared" si="130"/>
        <v>0.6842727029199035</v>
      </c>
      <c r="I440" s="85">
        <v>7466</v>
      </c>
      <c r="J440" s="86">
        <v>9523</v>
      </c>
      <c r="K440" s="592">
        <f t="shared" si="114"/>
        <v>1.2755156710420574</v>
      </c>
      <c r="L440" s="513"/>
      <c r="M440" s="505"/>
      <c r="N440" s="505"/>
      <c r="O440" s="506"/>
      <c r="P440" s="505"/>
      <c r="Q440" s="505"/>
      <c r="R440" s="506"/>
      <c r="S440" s="506"/>
      <c r="T440" s="506"/>
      <c r="U440" s="506"/>
      <c r="V440" s="83">
        <v>9523</v>
      </c>
      <c r="W440" s="506">
        <f t="shared" si="126"/>
        <v>9523</v>
      </c>
    </row>
    <row r="441" spans="1:23" x14ac:dyDescent="0.2">
      <c r="A441" s="79"/>
      <c r="B441" s="79"/>
      <c r="C441" s="303"/>
      <c r="D441" s="574">
        <v>4210</v>
      </c>
      <c r="E441" s="249" t="s">
        <v>176</v>
      </c>
      <c r="F441" s="786">
        <v>10300</v>
      </c>
      <c r="G441" s="141">
        <v>2907.48</v>
      </c>
      <c r="H441" s="84">
        <f t="shared" si="130"/>
        <v>0.28227961165048543</v>
      </c>
      <c r="I441" s="143">
        <v>10242.07</v>
      </c>
      <c r="J441" s="144">
        <v>10400</v>
      </c>
      <c r="K441" s="592">
        <f t="shared" si="114"/>
        <v>1.0097087378640777</v>
      </c>
      <c r="L441" s="604"/>
      <c r="M441" s="505"/>
      <c r="N441" s="505"/>
      <c r="O441" s="506"/>
      <c r="P441" s="505"/>
      <c r="Q441" s="505"/>
      <c r="R441" s="506"/>
      <c r="S441" s="506"/>
      <c r="T441" s="506"/>
      <c r="U441" s="506"/>
      <c r="V441" s="141">
        <v>10400</v>
      </c>
      <c r="W441" s="506">
        <f t="shared" si="126"/>
        <v>10400</v>
      </c>
    </row>
    <row r="442" spans="1:23" ht="22.5" x14ac:dyDescent="0.2">
      <c r="A442" s="79"/>
      <c r="B442" s="79"/>
      <c r="C442" s="253"/>
      <c r="D442" s="516">
        <v>4240</v>
      </c>
      <c r="E442" s="160" t="s">
        <v>232</v>
      </c>
      <c r="F442" s="704">
        <v>6900</v>
      </c>
      <c r="G442" s="83">
        <v>5139.09</v>
      </c>
      <c r="H442" s="84">
        <f t="shared" si="130"/>
        <v>0.74479565217391308</v>
      </c>
      <c r="I442" s="85">
        <v>6899.49</v>
      </c>
      <c r="J442" s="86">
        <v>6900</v>
      </c>
      <c r="K442" s="592">
        <f t="shared" si="114"/>
        <v>1</v>
      </c>
      <c r="L442" s="513"/>
      <c r="M442" s="505"/>
      <c r="N442" s="505"/>
      <c r="O442" s="506"/>
      <c r="P442" s="505"/>
      <c r="Q442" s="505"/>
      <c r="R442" s="506"/>
      <c r="S442" s="506"/>
      <c r="T442" s="506"/>
      <c r="U442" s="506"/>
      <c r="V442" s="83">
        <v>6900</v>
      </c>
      <c r="W442" s="506">
        <f t="shared" si="126"/>
        <v>6900</v>
      </c>
    </row>
    <row r="443" spans="1:23" x14ac:dyDescent="0.2">
      <c r="A443" s="79"/>
      <c r="B443" s="79"/>
      <c r="C443" s="206"/>
      <c r="D443" s="391">
        <v>4260</v>
      </c>
      <c r="E443" s="163" t="s">
        <v>185</v>
      </c>
      <c r="F443" s="680">
        <v>6000</v>
      </c>
      <c r="G443" s="141">
        <v>4342.01</v>
      </c>
      <c r="H443" s="84">
        <f t="shared" si="130"/>
        <v>0.72366833333333336</v>
      </c>
      <c r="I443" s="143">
        <v>5995.01</v>
      </c>
      <c r="J443" s="144">
        <v>6000</v>
      </c>
      <c r="K443" s="592">
        <f t="shared" si="114"/>
        <v>1</v>
      </c>
      <c r="L443" s="604"/>
      <c r="M443" s="505"/>
      <c r="N443" s="505"/>
      <c r="O443" s="506"/>
      <c r="P443" s="505"/>
      <c r="Q443" s="505"/>
      <c r="R443" s="506"/>
      <c r="S443" s="506"/>
      <c r="T443" s="506"/>
      <c r="U443" s="506"/>
      <c r="V443" s="141">
        <v>6000</v>
      </c>
      <c r="W443" s="506">
        <f t="shared" si="126"/>
        <v>6000</v>
      </c>
    </row>
    <row r="444" spans="1:23" x14ac:dyDescent="0.2">
      <c r="A444" s="79"/>
      <c r="B444" s="79"/>
      <c r="C444" s="303"/>
      <c r="D444" s="574">
        <v>4270</v>
      </c>
      <c r="E444" s="249" t="s">
        <v>192</v>
      </c>
      <c r="F444" s="786">
        <v>1000</v>
      </c>
      <c r="G444" s="141">
        <v>935.73</v>
      </c>
      <c r="H444" s="84">
        <f t="shared" si="130"/>
        <v>0.93573000000000006</v>
      </c>
      <c r="I444" s="143">
        <v>935.79</v>
      </c>
      <c r="J444" s="144">
        <v>2100</v>
      </c>
      <c r="K444" s="592">
        <f t="shared" si="114"/>
        <v>2.1</v>
      </c>
      <c r="L444" s="604"/>
      <c r="M444" s="505"/>
      <c r="N444" s="505"/>
      <c r="O444" s="506"/>
      <c r="P444" s="505"/>
      <c r="Q444" s="505"/>
      <c r="R444" s="506"/>
      <c r="S444" s="506"/>
      <c r="T444" s="506"/>
      <c r="U444" s="506"/>
      <c r="V444" s="141">
        <v>2100</v>
      </c>
      <c r="W444" s="506">
        <f t="shared" si="126"/>
        <v>2100</v>
      </c>
    </row>
    <row r="445" spans="1:23" x14ac:dyDescent="0.2">
      <c r="A445" s="79"/>
      <c r="B445" s="79"/>
      <c r="C445" s="107"/>
      <c r="D445" s="514">
        <v>4300</v>
      </c>
      <c r="E445" s="109" t="s">
        <v>177</v>
      </c>
      <c r="F445" s="715">
        <v>1900</v>
      </c>
      <c r="G445" s="83">
        <v>1570.8</v>
      </c>
      <c r="H445" s="84">
        <f t="shared" si="130"/>
        <v>0.8267368421052631</v>
      </c>
      <c r="I445" s="85">
        <v>1742.1</v>
      </c>
      <c r="J445" s="86">
        <v>2800</v>
      </c>
      <c r="K445" s="592">
        <f t="shared" si="114"/>
        <v>1.4736842105263157</v>
      </c>
      <c r="L445" s="513"/>
      <c r="M445" s="505"/>
      <c r="N445" s="505"/>
      <c r="O445" s="506"/>
      <c r="P445" s="505"/>
      <c r="Q445" s="505"/>
      <c r="R445" s="506"/>
      <c r="S445" s="506"/>
      <c r="T445" s="506"/>
      <c r="U445" s="506"/>
      <c r="V445" s="83">
        <v>2800</v>
      </c>
      <c r="W445" s="506">
        <f t="shared" si="126"/>
        <v>2800</v>
      </c>
    </row>
    <row r="446" spans="1:23" ht="22.5" x14ac:dyDescent="0.2">
      <c r="A446" s="79"/>
      <c r="B446" s="206"/>
      <c r="C446" s="253"/>
      <c r="D446" s="516">
        <v>4440</v>
      </c>
      <c r="E446" s="160" t="s">
        <v>242</v>
      </c>
      <c r="F446" s="704">
        <v>13736</v>
      </c>
      <c r="G446" s="83">
        <v>13736</v>
      </c>
      <c r="H446" s="84">
        <f t="shared" si="130"/>
        <v>1</v>
      </c>
      <c r="I446" s="85">
        <v>13736</v>
      </c>
      <c r="J446" s="86">
        <v>16099</v>
      </c>
      <c r="K446" s="601">
        <f t="shared" ref="K446:K450" si="131">J446/F446</f>
        <v>1.1720297029702971</v>
      </c>
      <c r="L446" s="513"/>
      <c r="M446" s="505"/>
      <c r="N446" s="505"/>
      <c r="O446" s="506"/>
      <c r="P446" s="505"/>
      <c r="Q446" s="505"/>
      <c r="R446" s="506"/>
      <c r="S446" s="506"/>
      <c r="T446" s="506"/>
      <c r="U446" s="506"/>
      <c r="V446" s="83">
        <v>16099</v>
      </c>
      <c r="W446" s="506">
        <f t="shared" si="126"/>
        <v>16099</v>
      </c>
    </row>
    <row r="447" spans="1:23" x14ac:dyDescent="0.2">
      <c r="A447" s="79"/>
      <c r="B447" s="152">
        <v>85415</v>
      </c>
      <c r="C447" s="234"/>
      <c r="D447" s="71"/>
      <c r="E447" s="568" t="s">
        <v>123</v>
      </c>
      <c r="F447" s="1143">
        <f>SUM(F448:F450)</f>
        <v>386675</v>
      </c>
      <c r="G447" s="1143">
        <f>SUM(G448:G450)</f>
        <v>306510.45</v>
      </c>
      <c r="H447" s="746">
        <f t="shared" ref="H447:H450" si="132">G447/F447</f>
        <v>0.79268235598370729</v>
      </c>
      <c r="I447" s="156">
        <f>SUM(I448:I450)</f>
        <v>386674.45</v>
      </c>
      <c r="J447" s="157">
        <f>SUM(J448:J450)</f>
        <v>100000</v>
      </c>
      <c r="K447" s="1144">
        <f t="shared" si="131"/>
        <v>0.25861511605353332</v>
      </c>
      <c r="L447" s="1080"/>
      <c r="M447" s="510">
        <f t="shared" ref="M447:V447" si="133">SUM(M448:M450)</f>
        <v>0</v>
      </c>
      <c r="N447" s="510">
        <f t="shared" si="133"/>
        <v>0</v>
      </c>
      <c r="O447" s="510">
        <f t="shared" si="133"/>
        <v>0</v>
      </c>
      <c r="P447" s="510">
        <f t="shared" si="133"/>
        <v>0</v>
      </c>
      <c r="Q447" s="510">
        <f t="shared" si="133"/>
        <v>0</v>
      </c>
      <c r="R447" s="510">
        <f t="shared" si="133"/>
        <v>0</v>
      </c>
      <c r="S447" s="510">
        <f t="shared" si="133"/>
        <v>0</v>
      </c>
      <c r="T447" s="510">
        <f t="shared" si="133"/>
        <v>0</v>
      </c>
      <c r="U447" s="510">
        <f t="shared" si="133"/>
        <v>0</v>
      </c>
      <c r="V447" s="510">
        <f t="shared" si="133"/>
        <v>100000</v>
      </c>
      <c r="W447" s="510">
        <f t="shared" si="126"/>
        <v>100000</v>
      </c>
    </row>
    <row r="448" spans="1:23" ht="56.25" x14ac:dyDescent="0.2">
      <c r="A448" s="79"/>
      <c r="B448" s="79"/>
      <c r="C448" s="79"/>
      <c r="D448" s="616">
        <v>2910</v>
      </c>
      <c r="E448" s="163" t="s">
        <v>297</v>
      </c>
      <c r="F448" s="631">
        <v>518</v>
      </c>
      <c r="G448" s="141">
        <v>517.45000000000005</v>
      </c>
      <c r="H448" s="142">
        <f t="shared" si="132"/>
        <v>0.99893822393822407</v>
      </c>
      <c r="I448" s="143">
        <v>517.45000000000005</v>
      </c>
      <c r="J448" s="144">
        <v>0</v>
      </c>
      <c r="K448" s="592">
        <f t="shared" si="131"/>
        <v>0</v>
      </c>
      <c r="L448" s="604"/>
      <c r="M448" s="505"/>
      <c r="N448" s="505"/>
      <c r="O448" s="506"/>
      <c r="P448" s="505"/>
      <c r="Q448" s="505"/>
      <c r="R448" s="506"/>
      <c r="S448" s="506"/>
      <c r="T448" s="506"/>
      <c r="U448" s="506"/>
      <c r="V448" s="506"/>
      <c r="W448" s="506">
        <f t="shared" si="126"/>
        <v>0</v>
      </c>
    </row>
    <row r="449" spans="1:23" x14ac:dyDescent="0.2">
      <c r="A449" s="79"/>
      <c r="B449" s="79"/>
      <c r="C449" s="107"/>
      <c r="D449" s="514">
        <v>3240</v>
      </c>
      <c r="E449" s="249" t="s">
        <v>270</v>
      </c>
      <c r="F449" s="250">
        <v>340054</v>
      </c>
      <c r="G449" s="83">
        <v>305993</v>
      </c>
      <c r="H449" s="84">
        <f t="shared" si="132"/>
        <v>0.89983649655642928</v>
      </c>
      <c r="I449" s="85">
        <v>340054</v>
      </c>
      <c r="J449" s="86">
        <v>100000</v>
      </c>
      <c r="K449" s="592">
        <f t="shared" si="131"/>
        <v>0.29407094167396941</v>
      </c>
      <c r="L449" s="513"/>
      <c r="M449" s="505"/>
      <c r="N449" s="505"/>
      <c r="O449" s="506"/>
      <c r="P449" s="505"/>
      <c r="Q449" s="505"/>
      <c r="R449" s="506"/>
      <c r="S449" s="506"/>
      <c r="T449" s="506"/>
      <c r="U449" s="506"/>
      <c r="V449" s="506">
        <v>100000</v>
      </c>
      <c r="W449" s="506">
        <f t="shared" si="126"/>
        <v>100000</v>
      </c>
    </row>
    <row r="450" spans="1:23" x14ac:dyDescent="0.2">
      <c r="A450" s="79"/>
      <c r="B450" s="79"/>
      <c r="C450" s="107"/>
      <c r="D450" s="514">
        <v>3260</v>
      </c>
      <c r="E450" s="109" t="s">
        <v>310</v>
      </c>
      <c r="F450" s="110">
        <v>46103</v>
      </c>
      <c r="G450" s="83">
        <v>0</v>
      </c>
      <c r="H450" s="84">
        <f t="shared" si="132"/>
        <v>0</v>
      </c>
      <c r="I450" s="85">
        <v>46103</v>
      </c>
      <c r="J450" s="86">
        <v>0</v>
      </c>
      <c r="K450" s="592">
        <f t="shared" si="131"/>
        <v>0</v>
      </c>
      <c r="L450" s="513"/>
      <c r="M450" s="505"/>
      <c r="N450" s="505"/>
      <c r="O450" s="506"/>
      <c r="P450" s="505"/>
      <c r="Q450" s="505"/>
      <c r="R450" s="506"/>
      <c r="S450" s="506"/>
      <c r="T450" s="506"/>
      <c r="U450" s="506"/>
      <c r="V450" s="506"/>
      <c r="W450" s="506">
        <f t="shared" si="126"/>
        <v>0</v>
      </c>
    </row>
    <row r="451" spans="1:23" x14ac:dyDescent="0.2">
      <c r="A451" s="79"/>
      <c r="B451" s="310">
        <v>85446</v>
      </c>
      <c r="C451" s="311"/>
      <c r="D451" s="312"/>
      <c r="E451" s="313" t="s">
        <v>288</v>
      </c>
      <c r="F451" s="388">
        <f>SUM(F452:F452)</f>
        <v>2566</v>
      </c>
      <c r="G451" s="388">
        <f>SUM(G452:G452)</f>
        <v>720</v>
      </c>
      <c r="H451" s="223">
        <f t="shared" ref="H451:H456" si="134">G451/F451</f>
        <v>0.28059236165237722</v>
      </c>
      <c r="I451" s="388">
        <f>SUM(I452:I452)</f>
        <v>2435</v>
      </c>
      <c r="J451" s="389">
        <f>J452</f>
        <v>3560</v>
      </c>
      <c r="K451" s="1086">
        <f t="shared" ref="K451:K457" si="135">J451/F451</f>
        <v>1.387373343725643</v>
      </c>
      <c r="L451" s="1080"/>
      <c r="M451" s="510">
        <f t="shared" ref="M451:V451" si="136">M452</f>
        <v>0</v>
      </c>
      <c r="N451" s="510">
        <f t="shared" si="136"/>
        <v>0</v>
      </c>
      <c r="O451" s="510">
        <f t="shared" si="136"/>
        <v>0</v>
      </c>
      <c r="P451" s="510">
        <f t="shared" si="136"/>
        <v>0</v>
      </c>
      <c r="Q451" s="510">
        <f t="shared" si="136"/>
        <v>0</v>
      </c>
      <c r="R451" s="510">
        <f t="shared" si="136"/>
        <v>0</v>
      </c>
      <c r="S451" s="510">
        <f t="shared" si="136"/>
        <v>0</v>
      </c>
      <c r="T451" s="510">
        <f t="shared" si="136"/>
        <v>0</v>
      </c>
      <c r="U451" s="510">
        <f t="shared" si="136"/>
        <v>0</v>
      </c>
      <c r="V451" s="510">
        <f t="shared" si="136"/>
        <v>3560</v>
      </c>
      <c r="W451" s="510">
        <f t="shared" si="126"/>
        <v>3560</v>
      </c>
    </row>
    <row r="452" spans="1:23" ht="22.5" x14ac:dyDescent="0.2">
      <c r="A452" s="79"/>
      <c r="B452" s="583"/>
      <c r="C452" s="589"/>
      <c r="D452" s="616">
        <v>4700</v>
      </c>
      <c r="E452" s="169" t="s">
        <v>181</v>
      </c>
      <c r="F452" s="787">
        <v>2566</v>
      </c>
      <c r="G452" s="141">
        <v>720</v>
      </c>
      <c r="H452" s="142">
        <f t="shared" si="134"/>
        <v>0.28059236165237722</v>
      </c>
      <c r="I452" s="143">
        <v>2435</v>
      </c>
      <c r="J452" s="144">
        <v>3560</v>
      </c>
      <c r="K452" s="591">
        <f t="shared" si="135"/>
        <v>1.387373343725643</v>
      </c>
      <c r="L452" s="604"/>
      <c r="M452" s="505"/>
      <c r="N452" s="505"/>
      <c r="O452" s="506"/>
      <c r="P452" s="505"/>
      <c r="Q452" s="505"/>
      <c r="R452" s="506"/>
      <c r="S452" s="506"/>
      <c r="T452" s="506"/>
      <c r="U452" s="506"/>
      <c r="V452" s="506">
        <v>3560</v>
      </c>
      <c r="W452" s="506">
        <f t="shared" si="126"/>
        <v>3560</v>
      </c>
    </row>
    <row r="453" spans="1:23" s="756" customFormat="1" ht="22.5" x14ac:dyDescent="0.2">
      <c r="A453" s="531">
        <v>900</v>
      </c>
      <c r="B453" s="100"/>
      <c r="C453" s="100"/>
      <c r="D453" s="112"/>
      <c r="E453" s="113" t="s">
        <v>125</v>
      </c>
      <c r="F453" s="788">
        <f>F454+F457+F462+F464+F468+F472+F476+F478</f>
        <v>5335028</v>
      </c>
      <c r="G453" s="115">
        <f>G454+G457+G462+G464+G468+G472+G476+G478</f>
        <v>4117263.14</v>
      </c>
      <c r="H453" s="116">
        <f t="shared" si="134"/>
        <v>0.77174161785092787</v>
      </c>
      <c r="I453" s="115">
        <f>I454+I457+I462+I464+I468+I472+I476+I478</f>
        <v>5250721.6500000004</v>
      </c>
      <c r="J453" s="117">
        <f>J454+J457+J462+J464+J468+J472+J476+J478</f>
        <v>3367528.27</v>
      </c>
      <c r="K453" s="1126">
        <f t="shared" si="135"/>
        <v>0.63121098333504533</v>
      </c>
      <c r="L453" s="1117"/>
      <c r="M453" s="519">
        <f t="shared" ref="M453:V453" si="137">M454+M457+M462+M464+M468+M472+M476+M478</f>
        <v>9252.27</v>
      </c>
      <c r="N453" s="519">
        <f t="shared" si="137"/>
        <v>225000</v>
      </c>
      <c r="O453" s="519">
        <f t="shared" si="137"/>
        <v>1485176</v>
      </c>
      <c r="P453" s="519">
        <f t="shared" si="137"/>
        <v>0</v>
      </c>
      <c r="Q453" s="519">
        <f t="shared" si="137"/>
        <v>0</v>
      </c>
      <c r="R453" s="519">
        <f t="shared" si="137"/>
        <v>116600</v>
      </c>
      <c r="S453" s="519">
        <f t="shared" si="137"/>
        <v>0</v>
      </c>
      <c r="T453" s="519">
        <f t="shared" si="137"/>
        <v>1531500</v>
      </c>
      <c r="U453" s="519">
        <f t="shared" si="137"/>
        <v>0</v>
      </c>
      <c r="V453" s="519">
        <f t="shared" si="137"/>
        <v>0</v>
      </c>
      <c r="W453" s="519">
        <f t="shared" si="126"/>
        <v>3367528.27</v>
      </c>
    </row>
    <row r="454" spans="1:23" x14ac:dyDescent="0.2">
      <c r="A454" s="35"/>
      <c r="B454" s="310">
        <v>90001</v>
      </c>
      <c r="C454" s="311"/>
      <c r="D454" s="312"/>
      <c r="E454" s="313" t="s">
        <v>126</v>
      </c>
      <c r="F454" s="789">
        <f>SUM(F455:F456)</f>
        <v>48200</v>
      </c>
      <c r="G454" s="789">
        <f>SUM(G455:G456)</f>
        <v>41690</v>
      </c>
      <c r="H454" s="315">
        <f t="shared" si="134"/>
        <v>0.86493775933609962</v>
      </c>
      <c r="I454" s="388">
        <f>SUM(I455:I456)</f>
        <v>48000</v>
      </c>
      <c r="J454" s="389">
        <f>SUM(J455:J456)</f>
        <v>80000</v>
      </c>
      <c r="K454" s="1086">
        <f t="shared" si="135"/>
        <v>1.6597510373443984</v>
      </c>
      <c r="L454" s="1089"/>
      <c r="M454" s="617">
        <f t="shared" ref="M454:V454" si="138">SUM(M455:M456)</f>
        <v>0</v>
      </c>
      <c r="N454" s="617">
        <f t="shared" si="138"/>
        <v>30000</v>
      </c>
      <c r="O454" s="617">
        <f t="shared" si="138"/>
        <v>0</v>
      </c>
      <c r="P454" s="617">
        <f t="shared" si="138"/>
        <v>0</v>
      </c>
      <c r="Q454" s="617">
        <f t="shared" si="138"/>
        <v>0</v>
      </c>
      <c r="R454" s="617">
        <f t="shared" si="138"/>
        <v>0</v>
      </c>
      <c r="S454" s="617">
        <f t="shared" si="138"/>
        <v>0</v>
      </c>
      <c r="T454" s="617">
        <f t="shared" si="138"/>
        <v>50000</v>
      </c>
      <c r="U454" s="617">
        <f t="shared" si="138"/>
        <v>0</v>
      </c>
      <c r="V454" s="617">
        <f t="shared" si="138"/>
        <v>0</v>
      </c>
      <c r="W454" s="617">
        <f t="shared" si="126"/>
        <v>80000</v>
      </c>
    </row>
    <row r="455" spans="1:23" x14ac:dyDescent="0.2">
      <c r="A455" s="35"/>
      <c r="B455" s="1188"/>
      <c r="C455" s="394"/>
      <c r="D455" s="574">
        <v>4210</v>
      </c>
      <c r="E455" s="249" t="s">
        <v>176</v>
      </c>
      <c r="F455" s="790">
        <v>38200</v>
      </c>
      <c r="G455" s="321">
        <v>38000</v>
      </c>
      <c r="H455" s="322">
        <f t="shared" si="134"/>
        <v>0.99476439790575921</v>
      </c>
      <c r="I455" s="323">
        <v>38000</v>
      </c>
      <c r="J455" s="324">
        <v>10000</v>
      </c>
      <c r="K455" s="43">
        <f t="shared" si="135"/>
        <v>0.26178010471204188</v>
      </c>
      <c r="L455" s="679" t="s">
        <v>311</v>
      </c>
      <c r="M455" s="505"/>
      <c r="N455" s="505">
        <v>10000</v>
      </c>
      <c r="O455" s="506"/>
      <c r="P455" s="505"/>
      <c r="Q455" s="505"/>
      <c r="R455" s="506"/>
      <c r="S455" s="506"/>
      <c r="T455" s="506"/>
      <c r="U455" s="506"/>
      <c r="V455" s="506"/>
      <c r="W455" s="506">
        <f t="shared" si="126"/>
        <v>10000</v>
      </c>
    </row>
    <row r="456" spans="1:23" ht="48.75" x14ac:dyDescent="0.2">
      <c r="A456" s="79"/>
      <c r="B456" s="1186"/>
      <c r="C456" s="303"/>
      <c r="D456" s="574">
        <v>4300</v>
      </c>
      <c r="E456" s="249" t="s">
        <v>177</v>
      </c>
      <c r="F456" s="530">
        <v>10000</v>
      </c>
      <c r="G456" s="141">
        <v>3690</v>
      </c>
      <c r="H456" s="322">
        <f t="shared" si="134"/>
        <v>0.36899999999999999</v>
      </c>
      <c r="I456" s="143">
        <v>10000</v>
      </c>
      <c r="J456" s="144">
        <v>70000</v>
      </c>
      <c r="K456" s="43">
        <f t="shared" si="135"/>
        <v>7</v>
      </c>
      <c r="L456" s="604" t="s">
        <v>312</v>
      </c>
      <c r="M456" s="505"/>
      <c r="N456" s="505">
        <v>20000</v>
      </c>
      <c r="O456" s="506"/>
      <c r="P456" s="505"/>
      <c r="Q456" s="505"/>
      <c r="R456" s="506"/>
      <c r="S456" s="506"/>
      <c r="T456" s="506">
        <v>50000</v>
      </c>
      <c r="U456" s="506"/>
      <c r="V456" s="506"/>
      <c r="W456" s="506">
        <f t="shared" si="126"/>
        <v>70000</v>
      </c>
    </row>
    <row r="457" spans="1:23" x14ac:dyDescent="0.2">
      <c r="A457" s="79"/>
      <c r="B457" s="310">
        <v>90002</v>
      </c>
      <c r="C457" s="311"/>
      <c r="D457" s="312"/>
      <c r="E457" s="313" t="s">
        <v>128</v>
      </c>
      <c r="F457" s="399">
        <f>SUM(F458:F461)</f>
        <v>1560155</v>
      </c>
      <c r="G457" s="388">
        <f>SUM(G458:G461)</f>
        <v>957938.58</v>
      </c>
      <c r="H457" s="223">
        <f t="shared" ref="H457:H486" si="139">G457/F457</f>
        <v>0.61400218568026887</v>
      </c>
      <c r="I457" s="388">
        <f>SUM(I458:I461)</f>
        <v>1532157.17</v>
      </c>
      <c r="J457" s="389">
        <f>SUM(J458:J461)</f>
        <v>1565176</v>
      </c>
      <c r="K457" s="1086">
        <f t="shared" si="135"/>
        <v>1.0032182699795853</v>
      </c>
      <c r="L457" s="1089"/>
      <c r="M457" s="617">
        <f t="shared" ref="M457:V457" si="140">SUM(M458:M461)</f>
        <v>0</v>
      </c>
      <c r="N457" s="617">
        <f t="shared" si="140"/>
        <v>80000</v>
      </c>
      <c r="O457" s="617">
        <f t="shared" si="140"/>
        <v>1485176</v>
      </c>
      <c r="P457" s="617">
        <f t="shared" si="140"/>
        <v>0</v>
      </c>
      <c r="Q457" s="617">
        <f t="shared" si="140"/>
        <v>0</v>
      </c>
      <c r="R457" s="617">
        <f t="shared" si="140"/>
        <v>0</v>
      </c>
      <c r="S457" s="617">
        <f t="shared" si="140"/>
        <v>0</v>
      </c>
      <c r="T457" s="617">
        <f t="shared" si="140"/>
        <v>0</v>
      </c>
      <c r="U457" s="617">
        <f t="shared" si="140"/>
        <v>0</v>
      </c>
      <c r="V457" s="617">
        <f t="shared" si="140"/>
        <v>0</v>
      </c>
      <c r="W457" s="617">
        <f t="shared" si="126"/>
        <v>1565176</v>
      </c>
    </row>
    <row r="458" spans="1:23" ht="45" x14ac:dyDescent="0.2">
      <c r="A458" s="79"/>
      <c r="B458" s="79"/>
      <c r="C458" s="79"/>
      <c r="D458" s="616">
        <v>2320</v>
      </c>
      <c r="E458" s="169" t="s">
        <v>283</v>
      </c>
      <c r="F458" s="326">
        <v>30000</v>
      </c>
      <c r="G458" s="141">
        <v>30000</v>
      </c>
      <c r="H458" s="142">
        <f t="shared" si="139"/>
        <v>1</v>
      </c>
      <c r="I458" s="143">
        <v>30000</v>
      </c>
      <c r="J458" s="144">
        <v>30000</v>
      </c>
      <c r="K458" s="591">
        <f t="shared" ref="K458:K491" si="141">J458/F458</f>
        <v>1</v>
      </c>
      <c r="L458" s="513" t="s">
        <v>313</v>
      </c>
      <c r="M458" s="505"/>
      <c r="N458" s="505">
        <v>30000</v>
      </c>
      <c r="O458" s="506"/>
      <c r="P458" s="505"/>
      <c r="Q458" s="505"/>
      <c r="R458" s="506"/>
      <c r="S458" s="506"/>
      <c r="T458" s="506"/>
      <c r="U458" s="506"/>
      <c r="V458" s="506"/>
      <c r="W458" s="506">
        <f t="shared" si="126"/>
        <v>30000</v>
      </c>
    </row>
    <row r="459" spans="1:23" ht="19.5" x14ac:dyDescent="0.2">
      <c r="A459" s="79"/>
      <c r="B459" s="79"/>
      <c r="C459" s="253"/>
      <c r="D459" s="516">
        <v>4210</v>
      </c>
      <c r="E459" s="160" t="s">
        <v>176</v>
      </c>
      <c r="F459" s="161">
        <v>25000</v>
      </c>
      <c r="G459" s="83">
        <v>18454.96</v>
      </c>
      <c r="H459" s="142">
        <f t="shared" si="139"/>
        <v>0.73819839999999992</v>
      </c>
      <c r="I459" s="85">
        <v>25000</v>
      </c>
      <c r="J459" s="86">
        <f>20000+10000</f>
        <v>30000</v>
      </c>
      <c r="K459" s="591">
        <f t="shared" si="141"/>
        <v>1.2</v>
      </c>
      <c r="L459" s="513" t="s">
        <v>314</v>
      </c>
      <c r="M459" s="505"/>
      <c r="N459" s="505">
        <v>20000</v>
      </c>
      <c r="O459" s="506">
        <v>10000</v>
      </c>
      <c r="P459" s="505"/>
      <c r="Q459" s="505"/>
      <c r="R459" s="506"/>
      <c r="S459" s="506"/>
      <c r="T459" s="506"/>
      <c r="U459" s="506"/>
      <c r="V459" s="506"/>
      <c r="W459" s="506">
        <f t="shared" si="126"/>
        <v>30000</v>
      </c>
    </row>
    <row r="460" spans="1:23" ht="78" x14ac:dyDescent="0.2">
      <c r="A460" s="79"/>
      <c r="B460" s="79"/>
      <c r="C460" s="303"/>
      <c r="D460" s="574">
        <v>4300</v>
      </c>
      <c r="E460" s="249" t="s">
        <v>177</v>
      </c>
      <c r="F460" s="326">
        <v>1503155</v>
      </c>
      <c r="G460" s="141">
        <v>909483.62</v>
      </c>
      <c r="H460" s="142">
        <f t="shared" si="139"/>
        <v>0.60504979193762454</v>
      </c>
      <c r="I460" s="143">
        <v>1477157.17</v>
      </c>
      <c r="J460" s="144">
        <v>1502000</v>
      </c>
      <c r="K460" s="591">
        <f t="shared" si="141"/>
        <v>0.99923161616732803</v>
      </c>
      <c r="L460" s="513" t="s">
        <v>315</v>
      </c>
      <c r="M460" s="505"/>
      <c r="N460" s="505">
        <v>30000</v>
      </c>
      <c r="O460" s="506">
        <v>1472000</v>
      </c>
      <c r="P460" s="505"/>
      <c r="Q460" s="505"/>
      <c r="R460" s="506"/>
      <c r="S460" s="506"/>
      <c r="T460" s="506"/>
      <c r="U460" s="506"/>
      <c r="V460" s="506"/>
      <c r="W460" s="506">
        <f t="shared" si="126"/>
        <v>1502000</v>
      </c>
    </row>
    <row r="461" spans="1:23" ht="19.5" x14ac:dyDescent="0.2">
      <c r="A461" s="79"/>
      <c r="B461" s="79"/>
      <c r="C461" s="80"/>
      <c r="D461" s="511">
        <v>4430</v>
      </c>
      <c r="E461" s="227" t="s">
        <v>180</v>
      </c>
      <c r="F461" s="181">
        <v>2000</v>
      </c>
      <c r="G461" s="83">
        <v>0</v>
      </c>
      <c r="H461" s="142">
        <f t="shared" si="139"/>
        <v>0</v>
      </c>
      <c r="I461" s="85">
        <v>0</v>
      </c>
      <c r="J461" s="86">
        <v>3176</v>
      </c>
      <c r="K461" s="591">
        <f t="shared" si="141"/>
        <v>1.5880000000000001</v>
      </c>
      <c r="L461" s="513" t="s">
        <v>316</v>
      </c>
      <c r="M461" s="505"/>
      <c r="N461" s="505"/>
      <c r="O461" s="506">
        <v>3176</v>
      </c>
      <c r="P461" s="505"/>
      <c r="Q461" s="505"/>
      <c r="R461" s="506"/>
      <c r="S461" s="506"/>
      <c r="T461" s="506"/>
      <c r="U461" s="506"/>
      <c r="V461" s="506"/>
      <c r="W461" s="506">
        <f t="shared" si="126"/>
        <v>3176</v>
      </c>
    </row>
    <row r="462" spans="1:23" x14ac:dyDescent="0.2">
      <c r="A462" s="79"/>
      <c r="B462" s="118">
        <v>90003</v>
      </c>
      <c r="C462" s="70"/>
      <c r="D462" s="103"/>
      <c r="E462" s="72" t="s">
        <v>317</v>
      </c>
      <c r="F462" s="308">
        <f>SUM(F463)</f>
        <v>315000</v>
      </c>
      <c r="G462" s="75">
        <f>SUM(G463)</f>
        <v>184690.68</v>
      </c>
      <c r="H462" s="223">
        <f t="shared" si="139"/>
        <v>0.58631961904761898</v>
      </c>
      <c r="I462" s="75">
        <f>SUM(I463)</f>
        <v>307216.62</v>
      </c>
      <c r="J462" s="76">
        <f>SUM(J463)</f>
        <v>344000</v>
      </c>
      <c r="K462" s="1084">
        <f>J462/F462</f>
        <v>1.092063492063492</v>
      </c>
      <c r="L462" s="1080"/>
      <c r="M462" s="510">
        <f t="shared" ref="M462:V462" si="142">SUM(M463)</f>
        <v>0</v>
      </c>
      <c r="N462" s="510">
        <f t="shared" si="142"/>
        <v>0</v>
      </c>
      <c r="O462" s="510">
        <f t="shared" si="142"/>
        <v>0</v>
      </c>
      <c r="P462" s="510">
        <f t="shared" si="142"/>
        <v>0</v>
      </c>
      <c r="Q462" s="510">
        <f t="shared" si="142"/>
        <v>0</v>
      </c>
      <c r="R462" s="510">
        <f t="shared" si="142"/>
        <v>0</v>
      </c>
      <c r="S462" s="510">
        <f t="shared" si="142"/>
        <v>0</v>
      </c>
      <c r="T462" s="510">
        <f t="shared" si="142"/>
        <v>344000</v>
      </c>
      <c r="U462" s="510">
        <f t="shared" si="142"/>
        <v>0</v>
      </c>
      <c r="V462" s="510">
        <f t="shared" si="142"/>
        <v>0</v>
      </c>
      <c r="W462" s="510">
        <f t="shared" si="126"/>
        <v>344000</v>
      </c>
    </row>
    <row r="463" spans="1:23" x14ac:dyDescent="0.2">
      <c r="A463" s="79"/>
      <c r="B463" s="79"/>
      <c r="C463" s="107"/>
      <c r="D463" s="514">
        <v>4300</v>
      </c>
      <c r="E463" s="109" t="s">
        <v>177</v>
      </c>
      <c r="F463" s="251">
        <v>315000</v>
      </c>
      <c r="G463" s="83">
        <v>184690.68</v>
      </c>
      <c r="H463" s="84">
        <f t="shared" si="139"/>
        <v>0.58631961904761898</v>
      </c>
      <c r="I463" s="85">
        <v>307216.62</v>
      </c>
      <c r="J463" s="86">
        <v>344000</v>
      </c>
      <c r="K463" s="592">
        <f t="shared" si="141"/>
        <v>1.092063492063492</v>
      </c>
      <c r="L463" s="513" t="s">
        <v>164</v>
      </c>
      <c r="M463" s="505"/>
      <c r="N463" s="505"/>
      <c r="O463" s="506"/>
      <c r="P463" s="505"/>
      <c r="Q463" s="505"/>
      <c r="R463" s="506"/>
      <c r="S463" s="506"/>
      <c r="T463" s="506">
        <v>344000</v>
      </c>
      <c r="U463" s="506"/>
      <c r="V463" s="506"/>
      <c r="W463" s="506">
        <f t="shared" si="126"/>
        <v>344000</v>
      </c>
    </row>
    <row r="464" spans="1:23" x14ac:dyDescent="0.2">
      <c r="A464" s="79"/>
      <c r="B464" s="310">
        <v>90004</v>
      </c>
      <c r="C464" s="311"/>
      <c r="D464" s="312"/>
      <c r="E464" s="313" t="s">
        <v>318</v>
      </c>
      <c r="F464" s="399">
        <f>SUM(F465:F467)</f>
        <v>87843</v>
      </c>
      <c r="G464" s="388">
        <f>SUM(G465:G467)</f>
        <v>37155.49</v>
      </c>
      <c r="H464" s="223">
        <f t="shared" si="139"/>
        <v>0.42297610509659278</v>
      </c>
      <c r="I464" s="388">
        <f>SUM(I465:I467)</f>
        <v>85699.3</v>
      </c>
      <c r="J464" s="389">
        <f>SUM(J465:J467)</f>
        <v>182252.27000000002</v>
      </c>
      <c r="K464" s="1086">
        <f t="shared" ref="K464:V464" si="143">SUM(K465:K467)</f>
        <v>5.1988914254112917</v>
      </c>
      <c r="L464" s="1089"/>
      <c r="M464" s="617">
        <f t="shared" si="143"/>
        <v>9252.27</v>
      </c>
      <c r="N464" s="617">
        <f t="shared" si="143"/>
        <v>100000</v>
      </c>
      <c r="O464" s="617">
        <f t="shared" si="143"/>
        <v>0</v>
      </c>
      <c r="P464" s="617">
        <f t="shared" si="143"/>
        <v>0</v>
      </c>
      <c r="Q464" s="617">
        <f t="shared" si="143"/>
        <v>0</v>
      </c>
      <c r="R464" s="617">
        <f t="shared" si="143"/>
        <v>0</v>
      </c>
      <c r="S464" s="617">
        <f t="shared" si="143"/>
        <v>0</v>
      </c>
      <c r="T464" s="617">
        <f t="shared" si="143"/>
        <v>73000</v>
      </c>
      <c r="U464" s="617">
        <f t="shared" si="143"/>
        <v>0</v>
      </c>
      <c r="V464" s="617">
        <f t="shared" si="143"/>
        <v>0</v>
      </c>
      <c r="W464" s="617">
        <f t="shared" si="126"/>
        <v>182252.27000000002</v>
      </c>
    </row>
    <row r="465" spans="1:23" ht="29.25" x14ac:dyDescent="0.2">
      <c r="A465" s="79"/>
      <c r="B465" s="79"/>
      <c r="C465" s="427"/>
      <c r="D465" s="609">
        <v>4210</v>
      </c>
      <c r="E465" s="166" t="s">
        <v>176</v>
      </c>
      <c r="F465" s="167">
        <v>47343</v>
      </c>
      <c r="G465" s="83">
        <v>28437.3</v>
      </c>
      <c r="H465" s="84">
        <f t="shared" si="139"/>
        <v>0.6006653570749636</v>
      </c>
      <c r="I465" s="85">
        <v>47141.5</v>
      </c>
      <c r="J465" s="86">
        <v>99552.27</v>
      </c>
      <c r="K465" s="581">
        <f t="shared" si="141"/>
        <v>2.102787529307395</v>
      </c>
      <c r="L465" s="513" t="s">
        <v>319</v>
      </c>
      <c r="M465" s="505">
        <v>8552.27</v>
      </c>
      <c r="N465" s="505">
        <v>50000</v>
      </c>
      <c r="O465" s="506"/>
      <c r="P465" s="505"/>
      <c r="Q465" s="505"/>
      <c r="R465" s="506"/>
      <c r="S465" s="506"/>
      <c r="T465" s="506">
        <v>41000</v>
      </c>
      <c r="U465" s="506"/>
      <c r="V465" s="506"/>
      <c r="W465" s="506">
        <f t="shared" si="126"/>
        <v>99552.27</v>
      </c>
    </row>
    <row r="466" spans="1:23" ht="19.5" x14ac:dyDescent="0.2">
      <c r="A466" s="79"/>
      <c r="B466" s="79"/>
      <c r="C466" s="427"/>
      <c r="D466" s="609">
        <v>4260</v>
      </c>
      <c r="E466" s="166" t="s">
        <v>185</v>
      </c>
      <c r="F466" s="167">
        <v>2000</v>
      </c>
      <c r="G466" s="83">
        <v>57.8</v>
      </c>
      <c r="H466" s="84">
        <f t="shared" si="139"/>
        <v>2.8899999999999999E-2</v>
      </c>
      <c r="I466" s="85">
        <v>57.8</v>
      </c>
      <c r="J466" s="86">
        <v>2000</v>
      </c>
      <c r="K466" s="581">
        <f t="shared" si="141"/>
        <v>1</v>
      </c>
      <c r="L466" s="604" t="s">
        <v>320</v>
      </c>
      <c r="M466" s="505"/>
      <c r="N466" s="505"/>
      <c r="O466" s="506"/>
      <c r="P466" s="505"/>
      <c r="Q466" s="505"/>
      <c r="R466" s="506"/>
      <c r="S466" s="506"/>
      <c r="T466" s="506">
        <v>2000</v>
      </c>
      <c r="U466" s="506"/>
      <c r="V466" s="506"/>
      <c r="W466" s="506">
        <f t="shared" si="126"/>
        <v>2000</v>
      </c>
    </row>
    <row r="467" spans="1:23" ht="78" x14ac:dyDescent="0.2">
      <c r="A467" s="79"/>
      <c r="B467" s="206"/>
      <c r="C467" s="206"/>
      <c r="D467" s="391">
        <v>4300</v>
      </c>
      <c r="E467" s="163" t="s">
        <v>177</v>
      </c>
      <c r="F467" s="254">
        <v>38500</v>
      </c>
      <c r="G467" s="141">
        <v>8660.39</v>
      </c>
      <c r="H467" s="142">
        <f t="shared" si="139"/>
        <v>0.22494519480519479</v>
      </c>
      <c r="I467" s="143">
        <v>38500</v>
      </c>
      <c r="J467" s="144">
        <v>80700</v>
      </c>
      <c r="K467" s="611">
        <f t="shared" si="141"/>
        <v>2.0961038961038962</v>
      </c>
      <c r="L467" s="604" t="s">
        <v>321</v>
      </c>
      <c r="M467" s="505">
        <v>700</v>
      </c>
      <c r="N467" s="505">
        <v>50000</v>
      </c>
      <c r="O467" s="506"/>
      <c r="P467" s="505"/>
      <c r="Q467" s="505"/>
      <c r="R467" s="506"/>
      <c r="S467" s="506"/>
      <c r="T467" s="506">
        <v>30000</v>
      </c>
      <c r="U467" s="506"/>
      <c r="V467" s="506"/>
      <c r="W467" s="506">
        <f t="shared" si="126"/>
        <v>80700</v>
      </c>
    </row>
    <row r="468" spans="1:23" x14ac:dyDescent="0.2">
      <c r="A468" s="79"/>
      <c r="B468" s="152">
        <v>90013</v>
      </c>
      <c r="C468" s="234"/>
      <c r="D468" s="71"/>
      <c r="E468" s="104" t="s">
        <v>322</v>
      </c>
      <c r="F468" s="235">
        <f>SUM(F469:F471)</f>
        <v>85000</v>
      </c>
      <c r="G468" s="156">
        <f>SUM(G469:G471)</f>
        <v>80300</v>
      </c>
      <c r="H468" s="746">
        <f t="shared" si="139"/>
        <v>0.94470588235294117</v>
      </c>
      <c r="I468" s="156">
        <f>SUM(I469:I471)</f>
        <v>80300</v>
      </c>
      <c r="J468" s="157">
        <f>SUM(J469:J471)</f>
        <v>116600</v>
      </c>
      <c r="K468" s="1076">
        <f>J468/F468</f>
        <v>1.371764705882353</v>
      </c>
      <c r="L468" s="1123"/>
      <c r="M468" s="572">
        <f t="shared" ref="M468:V468" si="144">SUM(M469:M471)</f>
        <v>0</v>
      </c>
      <c r="N468" s="572">
        <f t="shared" si="144"/>
        <v>0</v>
      </c>
      <c r="O468" s="572">
        <f t="shared" si="144"/>
        <v>0</v>
      </c>
      <c r="P468" s="572"/>
      <c r="Q468" s="572"/>
      <c r="R468" s="572">
        <f t="shared" si="144"/>
        <v>116600</v>
      </c>
      <c r="S468" s="572">
        <f t="shared" si="144"/>
        <v>0</v>
      </c>
      <c r="T468" s="572">
        <f t="shared" si="144"/>
        <v>0</v>
      </c>
      <c r="U468" s="572">
        <f t="shared" si="144"/>
        <v>0</v>
      </c>
      <c r="V468" s="572">
        <f t="shared" si="144"/>
        <v>0</v>
      </c>
      <c r="W468" s="572">
        <f t="shared" si="126"/>
        <v>116600</v>
      </c>
    </row>
    <row r="469" spans="1:23" ht="45" x14ac:dyDescent="0.2">
      <c r="A469" s="79"/>
      <c r="B469" s="79"/>
      <c r="C469" s="80"/>
      <c r="D469" s="511">
        <v>2310</v>
      </c>
      <c r="E469" s="37" t="s">
        <v>323</v>
      </c>
      <c r="F469" s="82">
        <v>80000</v>
      </c>
      <c r="G469" s="83">
        <v>80000</v>
      </c>
      <c r="H469" s="84">
        <f t="shared" si="139"/>
        <v>1</v>
      </c>
      <c r="I469" s="85">
        <v>80000</v>
      </c>
      <c r="J469" s="86">
        <v>111600</v>
      </c>
      <c r="K469" s="592">
        <f>J469/F469</f>
        <v>1.395</v>
      </c>
      <c r="L469" s="513" t="s">
        <v>324</v>
      </c>
      <c r="M469" s="505"/>
      <c r="N469" s="505"/>
      <c r="O469" s="506"/>
      <c r="P469" s="505"/>
      <c r="Q469" s="505"/>
      <c r="R469" s="506">
        <v>111600</v>
      </c>
      <c r="S469" s="506"/>
      <c r="T469" s="506"/>
      <c r="U469" s="506"/>
      <c r="V469" s="506"/>
      <c r="W469" s="506">
        <f t="shared" si="126"/>
        <v>111600</v>
      </c>
    </row>
    <row r="470" spans="1:23" x14ac:dyDescent="0.2">
      <c r="A470" s="79"/>
      <c r="B470" s="79"/>
      <c r="C470" s="80"/>
      <c r="D470" s="511">
        <v>4210</v>
      </c>
      <c r="E470" s="37" t="s">
        <v>176</v>
      </c>
      <c r="F470" s="82">
        <v>1000</v>
      </c>
      <c r="G470" s="83">
        <v>0</v>
      </c>
      <c r="H470" s="84">
        <f t="shared" si="139"/>
        <v>0</v>
      </c>
      <c r="I470" s="85">
        <v>0</v>
      </c>
      <c r="J470" s="86">
        <v>1000</v>
      </c>
      <c r="K470" s="592">
        <f t="shared" ref="K470:K471" si="145">J470/F470</f>
        <v>1</v>
      </c>
      <c r="L470" s="513" t="s">
        <v>325</v>
      </c>
      <c r="M470" s="505"/>
      <c r="N470" s="505"/>
      <c r="O470" s="506"/>
      <c r="P470" s="505"/>
      <c r="Q470" s="505"/>
      <c r="R470" s="506">
        <v>1000</v>
      </c>
      <c r="S470" s="506"/>
      <c r="T470" s="506"/>
      <c r="U470" s="506"/>
      <c r="V470" s="506"/>
      <c r="W470" s="506">
        <f t="shared" si="126"/>
        <v>1000</v>
      </c>
    </row>
    <row r="471" spans="1:23" x14ac:dyDescent="0.2">
      <c r="A471" s="79"/>
      <c r="B471" s="79"/>
      <c r="C471" s="107"/>
      <c r="D471" s="514">
        <v>4300</v>
      </c>
      <c r="E471" s="109" t="s">
        <v>177</v>
      </c>
      <c r="F471" s="110">
        <v>4000</v>
      </c>
      <c r="G471" s="83">
        <v>300</v>
      </c>
      <c r="H471" s="84">
        <f t="shared" si="139"/>
        <v>7.4999999999999997E-2</v>
      </c>
      <c r="I471" s="85">
        <v>300</v>
      </c>
      <c r="J471" s="86">
        <v>4000</v>
      </c>
      <c r="K471" s="592">
        <f t="shared" si="145"/>
        <v>1</v>
      </c>
      <c r="L471" s="513" t="s">
        <v>325</v>
      </c>
      <c r="M471" s="505"/>
      <c r="N471" s="505"/>
      <c r="O471" s="506"/>
      <c r="P471" s="505"/>
      <c r="Q471" s="505"/>
      <c r="R471" s="506">
        <v>4000</v>
      </c>
      <c r="S471" s="506"/>
      <c r="T471" s="506"/>
      <c r="U471" s="506"/>
      <c r="V471" s="506"/>
      <c r="W471" s="506">
        <f t="shared" si="126"/>
        <v>4000</v>
      </c>
    </row>
    <row r="472" spans="1:23" x14ac:dyDescent="0.2">
      <c r="A472" s="79"/>
      <c r="B472" s="118">
        <v>90015</v>
      </c>
      <c r="C472" s="70"/>
      <c r="D472" s="103"/>
      <c r="E472" s="72" t="s">
        <v>326</v>
      </c>
      <c r="F472" s="399">
        <f>SUM(F473:F475)</f>
        <v>859617</v>
      </c>
      <c r="G472" s="388">
        <f>SUM(G473:G475)</f>
        <v>473471.54000000004</v>
      </c>
      <c r="H472" s="791">
        <f t="shared" si="139"/>
        <v>0.55079359761382107</v>
      </c>
      <c r="I472" s="75">
        <f>SUM(I473:I475)</f>
        <v>834664.1100000001</v>
      </c>
      <c r="J472" s="76">
        <f>SUM(J473:J475)</f>
        <v>1000000</v>
      </c>
      <c r="K472" s="1084">
        <f>J472/F472</f>
        <v>1.1633087758850744</v>
      </c>
      <c r="L472" s="1080"/>
      <c r="M472" s="510">
        <f t="shared" ref="M472:V472" si="146">SUM(M473:M475)</f>
        <v>0</v>
      </c>
      <c r="N472" s="510">
        <f t="shared" si="146"/>
        <v>0</v>
      </c>
      <c r="O472" s="510">
        <f t="shared" si="146"/>
        <v>0</v>
      </c>
      <c r="P472" s="510">
        <f t="shared" si="146"/>
        <v>0</v>
      </c>
      <c r="Q472" s="510">
        <f t="shared" si="146"/>
        <v>0</v>
      </c>
      <c r="R472" s="510">
        <f t="shared" si="146"/>
        <v>0</v>
      </c>
      <c r="S472" s="510">
        <f t="shared" si="146"/>
        <v>0</v>
      </c>
      <c r="T472" s="510">
        <f t="shared" si="146"/>
        <v>1000000</v>
      </c>
      <c r="U472" s="510">
        <f t="shared" si="146"/>
        <v>0</v>
      </c>
      <c r="V472" s="510">
        <f t="shared" si="146"/>
        <v>0</v>
      </c>
      <c r="W472" s="510">
        <f>SUM(M472:V472)</f>
        <v>1000000</v>
      </c>
    </row>
    <row r="473" spans="1:23" x14ac:dyDescent="0.2">
      <c r="A473" s="79"/>
      <c r="B473" s="79"/>
      <c r="C473" s="107"/>
      <c r="D473" s="514">
        <v>4260</v>
      </c>
      <c r="E473" s="109" t="s">
        <v>185</v>
      </c>
      <c r="F473" s="250">
        <v>550000</v>
      </c>
      <c r="G473" s="141">
        <v>324389.76000000001</v>
      </c>
      <c r="H473" s="142">
        <f t="shared" si="139"/>
        <v>0.58979956363636366</v>
      </c>
      <c r="I473" s="85">
        <v>542519.68000000005</v>
      </c>
      <c r="J473" s="86">
        <v>600000</v>
      </c>
      <c r="K473" s="592">
        <f>J473/F473</f>
        <v>1.0909090909090908</v>
      </c>
      <c r="L473" s="513" t="s">
        <v>164</v>
      </c>
      <c r="M473" s="505"/>
      <c r="N473" s="505"/>
      <c r="O473" s="506"/>
      <c r="P473" s="505"/>
      <c r="Q473" s="505"/>
      <c r="R473" s="506"/>
      <c r="S473" s="506"/>
      <c r="T473" s="506">
        <v>600000</v>
      </c>
      <c r="U473" s="506"/>
      <c r="V473" s="506"/>
      <c r="W473" s="506">
        <f>SUM(M473:V473)</f>
        <v>600000</v>
      </c>
    </row>
    <row r="474" spans="1:23" ht="19.5" x14ac:dyDescent="0.2">
      <c r="A474" s="79"/>
      <c r="B474" s="79"/>
      <c r="C474" s="253"/>
      <c r="D474" s="516">
        <v>4300</v>
      </c>
      <c r="E474" s="160" t="s">
        <v>177</v>
      </c>
      <c r="F474" s="185">
        <v>302617</v>
      </c>
      <c r="G474" s="83">
        <v>149081.78</v>
      </c>
      <c r="H474" s="142">
        <f t="shared" si="139"/>
        <v>0.49264178813483711</v>
      </c>
      <c r="I474" s="85">
        <v>292144.43</v>
      </c>
      <c r="J474" s="86">
        <v>300000</v>
      </c>
      <c r="K474" s="592">
        <f t="shared" ref="K474:K475" si="147">J474/F474</f>
        <v>0.99135210513619521</v>
      </c>
      <c r="L474" s="513" t="s">
        <v>327</v>
      </c>
      <c r="M474" s="505"/>
      <c r="N474" s="505"/>
      <c r="O474" s="506"/>
      <c r="P474" s="505"/>
      <c r="Q474" s="505"/>
      <c r="R474" s="506"/>
      <c r="S474" s="506"/>
      <c r="T474" s="506">
        <v>300000</v>
      </c>
      <c r="U474" s="506"/>
      <c r="V474" s="506"/>
      <c r="W474" s="506">
        <f t="shared" ref="W474:W475" si="148">SUM(M474:V474)</f>
        <v>300000</v>
      </c>
    </row>
    <row r="475" spans="1:23" x14ac:dyDescent="0.2">
      <c r="A475" s="79"/>
      <c r="B475" s="79"/>
      <c r="C475" s="206"/>
      <c r="D475" s="391">
        <v>6050</v>
      </c>
      <c r="E475" s="163" t="s">
        <v>182</v>
      </c>
      <c r="F475" s="792">
        <v>7000</v>
      </c>
      <c r="G475" s="209">
        <v>0</v>
      </c>
      <c r="H475" s="142">
        <f t="shared" si="139"/>
        <v>0</v>
      </c>
      <c r="I475" s="209">
        <v>0</v>
      </c>
      <c r="J475" s="144">
        <v>100000</v>
      </c>
      <c r="K475" s="592">
        <f t="shared" si="147"/>
        <v>14.285714285714286</v>
      </c>
      <c r="L475" s="604"/>
      <c r="M475" s="505"/>
      <c r="N475" s="505"/>
      <c r="O475" s="506"/>
      <c r="P475" s="505"/>
      <c r="Q475" s="505"/>
      <c r="R475" s="506"/>
      <c r="S475" s="506"/>
      <c r="T475" s="506">
        <v>100000</v>
      </c>
      <c r="U475" s="506"/>
      <c r="V475" s="506"/>
      <c r="W475" s="506">
        <f t="shared" si="148"/>
        <v>100000</v>
      </c>
    </row>
    <row r="476" spans="1:23" ht="33.75" x14ac:dyDescent="0.2">
      <c r="A476" s="79"/>
      <c r="B476" s="237">
        <v>90019</v>
      </c>
      <c r="C476" s="548"/>
      <c r="D476" s="199"/>
      <c r="E476" s="350" t="s">
        <v>131</v>
      </c>
      <c r="F476" s="351">
        <f>F477</f>
        <v>10000</v>
      </c>
      <c r="G476" s="203">
        <f>G477</f>
        <v>0</v>
      </c>
      <c r="H476" s="746">
        <f t="shared" si="139"/>
        <v>0</v>
      </c>
      <c r="I476" s="203">
        <f>I477</f>
        <v>7844</v>
      </c>
      <c r="J476" s="205">
        <f>J477</f>
        <v>10000</v>
      </c>
      <c r="K476" s="1112">
        <f>J476/F476</f>
        <v>1</v>
      </c>
      <c r="L476" s="1106" t="str">
        <f t="shared" ref="L476:V476" si="149">L477</f>
        <v>OŚ</v>
      </c>
      <c r="M476" s="685">
        <f t="shared" si="149"/>
        <v>0</v>
      </c>
      <c r="N476" s="685">
        <f t="shared" si="149"/>
        <v>10000</v>
      </c>
      <c r="O476" s="685">
        <f t="shared" si="149"/>
        <v>0</v>
      </c>
      <c r="P476" s="685">
        <f t="shared" si="149"/>
        <v>0</v>
      </c>
      <c r="Q476" s="685">
        <f t="shared" si="149"/>
        <v>0</v>
      </c>
      <c r="R476" s="685">
        <f t="shared" si="149"/>
        <v>0</v>
      </c>
      <c r="S476" s="685">
        <f t="shared" si="149"/>
        <v>0</v>
      </c>
      <c r="T476" s="685">
        <f t="shared" si="149"/>
        <v>0</v>
      </c>
      <c r="U476" s="685">
        <f t="shared" si="149"/>
        <v>0</v>
      </c>
      <c r="V476" s="685">
        <f t="shared" si="149"/>
        <v>0</v>
      </c>
      <c r="W476" s="685">
        <f>SUM(M476:V476)</f>
        <v>10000</v>
      </c>
    </row>
    <row r="477" spans="1:23" x14ac:dyDescent="0.2">
      <c r="A477" s="79"/>
      <c r="B477" s="79"/>
      <c r="C477" s="303"/>
      <c r="D477" s="574">
        <v>4430</v>
      </c>
      <c r="E477" s="249" t="s">
        <v>180</v>
      </c>
      <c r="F477" s="573">
        <v>10000</v>
      </c>
      <c r="G477" s="141">
        <v>0</v>
      </c>
      <c r="H477" s="142">
        <f t="shared" si="139"/>
        <v>0</v>
      </c>
      <c r="I477" s="143">
        <v>7844</v>
      </c>
      <c r="J477" s="144">
        <v>10000</v>
      </c>
      <c r="K477" s="591">
        <f>J477/F477</f>
        <v>1</v>
      </c>
      <c r="L477" s="604" t="s">
        <v>313</v>
      </c>
      <c r="M477" s="505"/>
      <c r="N477" s="505">
        <v>10000</v>
      </c>
      <c r="O477" s="506"/>
      <c r="P477" s="505"/>
      <c r="Q477" s="505"/>
      <c r="R477" s="506"/>
      <c r="S477" s="506"/>
      <c r="T477" s="506"/>
      <c r="U477" s="506"/>
      <c r="V477" s="506"/>
      <c r="W477" s="506">
        <f>SUM(M477:V477)</f>
        <v>10000</v>
      </c>
    </row>
    <row r="478" spans="1:23" x14ac:dyDescent="0.2">
      <c r="A478" s="79"/>
      <c r="B478" s="310">
        <v>90095</v>
      </c>
      <c r="C478" s="311"/>
      <c r="D478" s="312"/>
      <c r="E478" s="313" t="s">
        <v>23</v>
      </c>
      <c r="F478" s="399">
        <f>SUM(F479:F486)</f>
        <v>2369213</v>
      </c>
      <c r="G478" s="399">
        <f>SUM(G479:G486)</f>
        <v>2342016.85</v>
      </c>
      <c r="H478" s="223">
        <f t="shared" si="139"/>
        <v>0.98852101942712622</v>
      </c>
      <c r="I478" s="388">
        <f>SUM(I479:I486)</f>
        <v>2354840.4500000002</v>
      </c>
      <c r="J478" s="389">
        <f>SUM(J479:J486)</f>
        <v>69500</v>
      </c>
      <c r="K478" s="1086">
        <f>J478/F478</f>
        <v>2.9334635594182541E-2</v>
      </c>
      <c r="L478" s="1089"/>
      <c r="M478" s="617">
        <f t="shared" ref="M478:V478" si="150">SUM(M479:M486)</f>
        <v>0</v>
      </c>
      <c r="N478" s="617">
        <f t="shared" si="150"/>
        <v>5000</v>
      </c>
      <c r="O478" s="617">
        <f t="shared" si="150"/>
        <v>0</v>
      </c>
      <c r="P478" s="617">
        <f t="shared" si="150"/>
        <v>0</v>
      </c>
      <c r="Q478" s="617">
        <f t="shared" si="150"/>
        <v>0</v>
      </c>
      <c r="R478" s="617">
        <f t="shared" si="150"/>
        <v>0</v>
      </c>
      <c r="S478" s="617">
        <f t="shared" si="150"/>
        <v>0</v>
      </c>
      <c r="T478" s="617">
        <f t="shared" si="150"/>
        <v>64500</v>
      </c>
      <c r="U478" s="617">
        <f t="shared" si="150"/>
        <v>0</v>
      </c>
      <c r="V478" s="617">
        <f t="shared" si="150"/>
        <v>0</v>
      </c>
      <c r="W478" s="617">
        <f>SUM(M478:V478)</f>
        <v>69500</v>
      </c>
    </row>
    <row r="479" spans="1:23" x14ac:dyDescent="0.2">
      <c r="A479" s="79"/>
      <c r="B479" s="79"/>
      <c r="C479" s="303"/>
      <c r="D479" s="574">
        <v>4210</v>
      </c>
      <c r="E479" s="249" t="s">
        <v>176</v>
      </c>
      <c r="F479" s="573">
        <v>2000</v>
      </c>
      <c r="G479" s="141">
        <v>0</v>
      </c>
      <c r="H479" s="142">
        <f t="shared" si="139"/>
        <v>0</v>
      </c>
      <c r="I479" s="143">
        <v>1400</v>
      </c>
      <c r="J479" s="144">
        <v>5000</v>
      </c>
      <c r="K479" s="591">
        <f>J479/F479</f>
        <v>2.5</v>
      </c>
      <c r="L479" s="513" t="s">
        <v>313</v>
      </c>
      <c r="M479" s="505"/>
      <c r="N479" s="505">
        <v>5000</v>
      </c>
      <c r="O479" s="506"/>
      <c r="P479" s="505"/>
      <c r="Q479" s="505"/>
      <c r="R479" s="506"/>
      <c r="S479" s="506"/>
      <c r="T479" s="506"/>
      <c r="U479" s="506"/>
      <c r="V479" s="506"/>
      <c r="W479" s="506">
        <f>SUM(M479:V479)</f>
        <v>5000</v>
      </c>
    </row>
    <row r="480" spans="1:23" ht="29.25" x14ac:dyDescent="0.2">
      <c r="A480" s="79"/>
      <c r="B480" s="79"/>
      <c r="C480" s="253"/>
      <c r="D480" s="516">
        <v>4260</v>
      </c>
      <c r="E480" s="160" t="s">
        <v>185</v>
      </c>
      <c r="F480" s="161">
        <v>34000</v>
      </c>
      <c r="G480" s="83">
        <v>17368.29</v>
      </c>
      <c r="H480" s="142">
        <f t="shared" si="139"/>
        <v>0.51083205882352944</v>
      </c>
      <c r="I480" s="85">
        <v>27463.49</v>
      </c>
      <c r="J480" s="86">
        <f>28000+15000</f>
        <v>43000</v>
      </c>
      <c r="K480" s="591">
        <f t="shared" ref="K480:K486" si="151">J480/F480</f>
        <v>1.2647058823529411</v>
      </c>
      <c r="L480" s="513" t="s">
        <v>328</v>
      </c>
      <c r="M480" s="505"/>
      <c r="N480" s="505"/>
      <c r="O480" s="506"/>
      <c r="P480" s="505"/>
      <c r="Q480" s="505"/>
      <c r="R480" s="506"/>
      <c r="S480" s="506"/>
      <c r="T480" s="506">
        <v>43000</v>
      </c>
      <c r="U480" s="506"/>
      <c r="V480" s="506"/>
      <c r="W480" s="506">
        <f t="shared" ref="W480:W486" si="152">SUM(M480:V480)</f>
        <v>43000</v>
      </c>
    </row>
    <row r="481" spans="1:23" ht="19.5" x14ac:dyDescent="0.2">
      <c r="A481" s="79"/>
      <c r="B481" s="79"/>
      <c r="C481" s="427"/>
      <c r="D481" s="609">
        <v>4270</v>
      </c>
      <c r="E481" s="166" t="s">
        <v>192</v>
      </c>
      <c r="F481" s="666">
        <v>0</v>
      </c>
      <c r="G481" s="141">
        <v>0</v>
      </c>
      <c r="H481" s="142">
        <v>0</v>
      </c>
      <c r="I481" s="143">
        <v>0</v>
      </c>
      <c r="J481" s="144">
        <v>10000</v>
      </c>
      <c r="K481" s="591">
        <v>0</v>
      </c>
      <c r="L481" s="604" t="s">
        <v>329</v>
      </c>
      <c r="M481" s="505"/>
      <c r="N481" s="505"/>
      <c r="O481" s="506"/>
      <c r="P481" s="505"/>
      <c r="Q481" s="505"/>
      <c r="R481" s="506"/>
      <c r="S481" s="506"/>
      <c r="T481" s="506">
        <v>10000</v>
      </c>
      <c r="U481" s="506"/>
      <c r="V481" s="506"/>
      <c r="W481" s="506">
        <f t="shared" si="152"/>
        <v>10000</v>
      </c>
    </row>
    <row r="482" spans="1:23" ht="29.25" x14ac:dyDescent="0.2">
      <c r="A482" s="79"/>
      <c r="B482" s="79"/>
      <c r="C482" s="303"/>
      <c r="D482" s="574">
        <v>4300</v>
      </c>
      <c r="E482" s="249" t="s">
        <v>177</v>
      </c>
      <c r="F482" s="573">
        <v>3400</v>
      </c>
      <c r="G482" s="141">
        <v>0</v>
      </c>
      <c r="H482" s="142">
        <f t="shared" si="139"/>
        <v>0</v>
      </c>
      <c r="I482" s="143">
        <v>1328.4</v>
      </c>
      <c r="J482" s="144">
        <f>1500</f>
        <v>1500</v>
      </c>
      <c r="K482" s="591">
        <f t="shared" si="151"/>
        <v>0.44117647058823528</v>
      </c>
      <c r="L482" s="604" t="s">
        <v>330</v>
      </c>
      <c r="M482" s="505"/>
      <c r="N482" s="505"/>
      <c r="O482" s="506"/>
      <c r="P482" s="505"/>
      <c r="Q482" s="505"/>
      <c r="R482" s="506"/>
      <c r="S482" s="506"/>
      <c r="T482" s="506">
        <v>1500</v>
      </c>
      <c r="U482" s="506"/>
      <c r="V482" s="506"/>
      <c r="W482" s="506">
        <f t="shared" si="152"/>
        <v>1500</v>
      </c>
    </row>
    <row r="483" spans="1:23" ht="19.5" x14ac:dyDescent="0.2">
      <c r="A483" s="79"/>
      <c r="B483" s="79"/>
      <c r="C483" s="79"/>
      <c r="D483" s="616">
        <v>4430</v>
      </c>
      <c r="E483" s="169" t="s">
        <v>331</v>
      </c>
      <c r="F483" s="326">
        <v>0</v>
      </c>
      <c r="G483" s="141">
        <v>0</v>
      </c>
      <c r="H483" s="142">
        <v>0</v>
      </c>
      <c r="I483" s="143">
        <v>0</v>
      </c>
      <c r="J483" s="144">
        <v>10000</v>
      </c>
      <c r="K483" s="591">
        <v>0</v>
      </c>
      <c r="L483" s="604" t="s">
        <v>332</v>
      </c>
      <c r="M483" s="505"/>
      <c r="N483" s="505"/>
      <c r="O483" s="506"/>
      <c r="P483" s="505"/>
      <c r="Q483" s="505"/>
      <c r="R483" s="506"/>
      <c r="S483" s="506"/>
      <c r="T483" s="506">
        <v>10000</v>
      </c>
      <c r="U483" s="506"/>
      <c r="V483" s="506"/>
      <c r="W483" s="506">
        <f t="shared" si="152"/>
        <v>10000</v>
      </c>
    </row>
    <row r="484" spans="1:23" x14ac:dyDescent="0.2">
      <c r="A484" s="79"/>
      <c r="B484" s="675"/>
      <c r="C484" s="253"/>
      <c r="D484" s="516">
        <v>6050</v>
      </c>
      <c r="E484" s="160" t="s">
        <v>182</v>
      </c>
      <c r="F484" s="161">
        <v>50000</v>
      </c>
      <c r="G484" s="83">
        <v>46691</v>
      </c>
      <c r="H484" s="84">
        <f t="shared" si="139"/>
        <v>0.93381999999999998</v>
      </c>
      <c r="I484" s="85">
        <v>46691</v>
      </c>
      <c r="J484" s="86">
        <v>0</v>
      </c>
      <c r="K484" s="611">
        <f t="shared" si="151"/>
        <v>0</v>
      </c>
      <c r="L484" s="513"/>
      <c r="M484" s="505"/>
      <c r="N484" s="505"/>
      <c r="O484" s="506"/>
      <c r="P484" s="505"/>
      <c r="Q484" s="505"/>
      <c r="R484" s="506"/>
      <c r="S484" s="506"/>
      <c r="T484" s="506"/>
      <c r="U484" s="506"/>
      <c r="V484" s="506"/>
      <c r="W484" s="506">
        <f t="shared" si="152"/>
        <v>0</v>
      </c>
    </row>
    <row r="485" spans="1:23" x14ac:dyDescent="0.2">
      <c r="A485" s="79"/>
      <c r="B485" s="79"/>
      <c r="C485" s="303"/>
      <c r="D485" s="574">
        <v>6058</v>
      </c>
      <c r="E485" s="249" t="s">
        <v>182</v>
      </c>
      <c r="F485" s="573">
        <v>983671</v>
      </c>
      <c r="G485" s="141">
        <v>981827.84</v>
      </c>
      <c r="H485" s="142">
        <f t="shared" si="139"/>
        <v>0.99812624342895129</v>
      </c>
      <c r="I485" s="143">
        <v>981827.84</v>
      </c>
      <c r="J485" s="144">
        <v>0</v>
      </c>
      <c r="K485" s="591">
        <f t="shared" si="151"/>
        <v>0</v>
      </c>
      <c r="L485" s="513"/>
      <c r="M485" s="505"/>
      <c r="N485" s="505"/>
      <c r="O485" s="506"/>
      <c r="P485" s="505"/>
      <c r="Q485" s="505"/>
      <c r="R485" s="506"/>
      <c r="S485" s="506"/>
      <c r="T485" s="506"/>
      <c r="U485" s="506"/>
      <c r="V485" s="506"/>
      <c r="W485" s="506">
        <f t="shared" si="152"/>
        <v>0</v>
      </c>
    </row>
    <row r="486" spans="1:23" x14ac:dyDescent="0.2">
      <c r="A486" s="79"/>
      <c r="B486" s="79"/>
      <c r="C486" s="107"/>
      <c r="D486" s="514">
        <v>6059</v>
      </c>
      <c r="E486" s="109" t="s">
        <v>182</v>
      </c>
      <c r="F486" s="110">
        <v>1296142</v>
      </c>
      <c r="G486" s="83">
        <v>1296129.72</v>
      </c>
      <c r="H486" s="84">
        <f t="shared" si="139"/>
        <v>0.99999052572943392</v>
      </c>
      <c r="I486" s="85">
        <v>1296129.72</v>
      </c>
      <c r="J486" s="86">
        <v>0</v>
      </c>
      <c r="K486" s="591">
        <f t="shared" si="151"/>
        <v>0</v>
      </c>
      <c r="L486" s="513"/>
      <c r="M486" s="505"/>
      <c r="N486" s="505"/>
      <c r="O486" s="506"/>
      <c r="P486" s="505"/>
      <c r="Q486" s="505"/>
      <c r="R486" s="506"/>
      <c r="S486" s="506"/>
      <c r="T486" s="506"/>
      <c r="U486" s="506"/>
      <c r="V486" s="506"/>
      <c r="W486" s="506">
        <f t="shared" si="152"/>
        <v>0</v>
      </c>
    </row>
    <row r="487" spans="1:23" s="756" customFormat="1" ht="22.5" x14ac:dyDescent="0.2">
      <c r="A487" s="531">
        <v>921</v>
      </c>
      <c r="B487" s="681"/>
      <c r="C487" s="619"/>
      <c r="D487" s="146"/>
      <c r="E487" s="620" t="s">
        <v>134</v>
      </c>
      <c r="F487" s="148">
        <f>F488+F492+F508+F511+F515+F513</f>
        <v>3004106.1199999996</v>
      </c>
      <c r="G487" s="148">
        <f>G488+G492+G508+G511+G515+G513</f>
        <v>2240918.2799999993</v>
      </c>
      <c r="H487" s="149">
        <f>G487/F487</f>
        <v>0.74595177083824171</v>
      </c>
      <c r="I487" s="150">
        <f>I488+I492+I508+I511+I515+I513</f>
        <v>2933799.2009999999</v>
      </c>
      <c r="J487" s="151">
        <f>J488+J492+J508+J511+J515+J513</f>
        <v>1548601.33</v>
      </c>
      <c r="K487" s="1130">
        <f>J487/F487</f>
        <v>0.51549488205163685</v>
      </c>
      <c r="L487" s="1122"/>
      <c r="M487" s="509">
        <f t="shared" ref="M487:V487" si="153">M488+M492+M508+M511+M515+M513</f>
        <v>143851.33000000002</v>
      </c>
      <c r="N487" s="509">
        <f t="shared" si="153"/>
        <v>0</v>
      </c>
      <c r="O487" s="509">
        <f t="shared" si="153"/>
        <v>0</v>
      </c>
      <c r="P487" s="509">
        <f t="shared" si="153"/>
        <v>0</v>
      </c>
      <c r="Q487" s="509">
        <f t="shared" si="153"/>
        <v>0</v>
      </c>
      <c r="R487" s="509">
        <f t="shared" si="153"/>
        <v>1354750</v>
      </c>
      <c r="S487" s="509">
        <f t="shared" si="153"/>
        <v>0</v>
      </c>
      <c r="T487" s="509">
        <f t="shared" si="153"/>
        <v>50000</v>
      </c>
      <c r="U487" s="509">
        <f t="shared" si="153"/>
        <v>0</v>
      </c>
      <c r="V487" s="509">
        <f t="shared" si="153"/>
        <v>0</v>
      </c>
      <c r="W487" s="509">
        <f>SUM(M487:V487)</f>
        <v>1548601.33</v>
      </c>
    </row>
    <row r="488" spans="1:23" x14ac:dyDescent="0.2">
      <c r="A488" s="35"/>
      <c r="B488" s="198">
        <v>92105</v>
      </c>
      <c r="C488" s="548"/>
      <c r="D488" s="199"/>
      <c r="E488" s="350" t="s">
        <v>135</v>
      </c>
      <c r="F488" s="202">
        <f>SUM(F489:F491)</f>
        <v>31842</v>
      </c>
      <c r="G488" s="202">
        <f>SUM(G489:G491)</f>
        <v>26744.14</v>
      </c>
      <c r="H488" s="204">
        <f>G488/F488</f>
        <v>0.83990138810376236</v>
      </c>
      <c r="I488" s="203">
        <f>SUM(I489:I491)</f>
        <v>30732.14</v>
      </c>
      <c r="J488" s="205">
        <f>SUM(J489:J491)</f>
        <v>12000</v>
      </c>
      <c r="K488" s="1112">
        <f>J488/F488</f>
        <v>0.37686074995289243</v>
      </c>
      <c r="L488" s="1106"/>
      <c r="M488" s="617">
        <f t="shared" ref="M488:V488" si="154">SUM(M489:M491)</f>
        <v>0</v>
      </c>
      <c r="N488" s="617">
        <f t="shared" si="154"/>
        <v>0</v>
      </c>
      <c r="O488" s="617">
        <f t="shared" si="154"/>
        <v>0</v>
      </c>
      <c r="P488" s="617">
        <f t="shared" si="154"/>
        <v>0</v>
      </c>
      <c r="Q488" s="617">
        <f t="shared" si="154"/>
        <v>0</v>
      </c>
      <c r="R488" s="617">
        <f t="shared" si="154"/>
        <v>12000</v>
      </c>
      <c r="S488" s="617">
        <f t="shared" si="154"/>
        <v>0</v>
      </c>
      <c r="T488" s="617">
        <f t="shared" si="154"/>
        <v>0</v>
      </c>
      <c r="U488" s="617">
        <f t="shared" si="154"/>
        <v>0</v>
      </c>
      <c r="V488" s="617">
        <f t="shared" si="154"/>
        <v>0</v>
      </c>
      <c r="W488" s="617">
        <f>SUM(M488:V488)</f>
        <v>12000</v>
      </c>
    </row>
    <row r="489" spans="1:23" x14ac:dyDescent="0.2">
      <c r="A489" s="79"/>
      <c r="B489" s="352"/>
      <c r="C489" s="394"/>
      <c r="D489" s="793">
        <v>4170</v>
      </c>
      <c r="E489" s="249" t="s">
        <v>184</v>
      </c>
      <c r="F489" s="321">
        <v>1200</v>
      </c>
      <c r="G489" s="320">
        <v>1200</v>
      </c>
      <c r="H489" s="470">
        <f>G489/F489</f>
        <v>1</v>
      </c>
      <c r="I489" s="455">
        <v>1200</v>
      </c>
      <c r="J489" s="357">
        <v>0</v>
      </c>
      <c r="K489" s="526">
        <v>0</v>
      </c>
      <c r="L489" s="527"/>
      <c r="M489" s="505"/>
      <c r="N489" s="505"/>
      <c r="O489" s="506"/>
      <c r="P489" s="505"/>
      <c r="Q489" s="505"/>
      <c r="R489" s="506"/>
      <c r="S489" s="506"/>
      <c r="T489" s="506"/>
      <c r="U489" s="506"/>
      <c r="V489" s="506"/>
      <c r="W489" s="506">
        <f>SUM(M489:V489)</f>
        <v>0</v>
      </c>
    </row>
    <row r="490" spans="1:23" x14ac:dyDescent="0.2">
      <c r="A490" s="79"/>
      <c r="B490" s="79"/>
      <c r="C490" s="303"/>
      <c r="D490" s="574">
        <v>4210</v>
      </c>
      <c r="E490" s="249" t="s">
        <v>176</v>
      </c>
      <c r="F490" s="786">
        <v>8642</v>
      </c>
      <c r="G490" s="141">
        <v>7532.14</v>
      </c>
      <c r="H490" s="470">
        <f t="shared" ref="H490:H491" si="155">G490/F490</f>
        <v>0.87157370978940063</v>
      </c>
      <c r="I490" s="143">
        <v>7532.14</v>
      </c>
      <c r="J490" s="144">
        <v>0</v>
      </c>
      <c r="K490" s="591">
        <f t="shared" si="141"/>
        <v>0</v>
      </c>
      <c r="L490" s="604"/>
      <c r="M490" s="505"/>
      <c r="N490" s="505"/>
      <c r="O490" s="506"/>
      <c r="P490" s="505"/>
      <c r="Q490" s="505"/>
      <c r="R490" s="506"/>
      <c r="S490" s="506"/>
      <c r="T490" s="506"/>
      <c r="U490" s="506"/>
      <c r="V490" s="506"/>
      <c r="W490" s="506">
        <f t="shared" ref="W490:W491" si="156">SUM(M490:V490)</f>
        <v>0</v>
      </c>
    </row>
    <row r="491" spans="1:23" ht="39" x14ac:dyDescent="0.2">
      <c r="A491" s="79"/>
      <c r="B491" s="390"/>
      <c r="C491" s="253"/>
      <c r="D491" s="516">
        <v>4300</v>
      </c>
      <c r="E491" s="160" t="s">
        <v>177</v>
      </c>
      <c r="F491" s="704">
        <v>22000</v>
      </c>
      <c r="G491" s="83">
        <v>18012</v>
      </c>
      <c r="H491" s="470">
        <f t="shared" si="155"/>
        <v>0.81872727272727275</v>
      </c>
      <c r="I491" s="85">
        <v>22000</v>
      </c>
      <c r="J491" s="86">
        <v>12000</v>
      </c>
      <c r="K491" s="601">
        <f t="shared" si="141"/>
        <v>0.54545454545454541</v>
      </c>
      <c r="L491" s="513" t="s">
        <v>333</v>
      </c>
      <c r="M491" s="505"/>
      <c r="N491" s="505"/>
      <c r="O491" s="506"/>
      <c r="P491" s="505"/>
      <c r="Q491" s="505"/>
      <c r="R491" s="506">
        <v>12000</v>
      </c>
      <c r="S491" s="506"/>
      <c r="T491" s="506"/>
      <c r="U491" s="506"/>
      <c r="V491" s="506"/>
      <c r="W491" s="506">
        <f t="shared" si="156"/>
        <v>12000</v>
      </c>
    </row>
    <row r="492" spans="1:23" x14ac:dyDescent="0.2">
      <c r="A492" s="79"/>
      <c r="B492" s="152">
        <v>92109</v>
      </c>
      <c r="C492" s="234"/>
      <c r="D492" s="71"/>
      <c r="E492" s="104" t="s">
        <v>136</v>
      </c>
      <c r="F492" s="298">
        <f>SUM(F493:F507)</f>
        <v>2143747.09</v>
      </c>
      <c r="G492" s="298">
        <f>SUM(G493:G507)</f>
        <v>1615884.88</v>
      </c>
      <c r="H492" s="223">
        <f t="shared" ref="H492:H532" si="157">G492/F492</f>
        <v>0.75376656487962856</v>
      </c>
      <c r="I492" s="300">
        <f>SUM(I493:I507)</f>
        <v>2074595.7709999999</v>
      </c>
      <c r="J492" s="157">
        <f>SUM(J493:J507)</f>
        <v>755095.44000000006</v>
      </c>
      <c r="K492" s="1076">
        <f>J492/F492</f>
        <v>0.35223158716917496</v>
      </c>
      <c r="L492" s="1123"/>
      <c r="M492" s="572">
        <f t="shared" ref="M492:V492" si="158">SUM(M493:M507)</f>
        <v>78895.44</v>
      </c>
      <c r="N492" s="572">
        <f t="shared" si="158"/>
        <v>0</v>
      </c>
      <c r="O492" s="572">
        <f t="shared" si="158"/>
        <v>0</v>
      </c>
      <c r="P492" s="572">
        <f t="shared" si="158"/>
        <v>0</v>
      </c>
      <c r="Q492" s="572">
        <f t="shared" si="158"/>
        <v>0</v>
      </c>
      <c r="R492" s="572">
        <f t="shared" si="158"/>
        <v>626200</v>
      </c>
      <c r="S492" s="572">
        <f t="shared" si="158"/>
        <v>0</v>
      </c>
      <c r="T492" s="572">
        <f t="shared" si="158"/>
        <v>50000</v>
      </c>
      <c r="U492" s="572">
        <f t="shared" si="158"/>
        <v>0</v>
      </c>
      <c r="V492" s="572">
        <f t="shared" si="158"/>
        <v>0</v>
      </c>
      <c r="W492" s="572">
        <f>SUM(M492:V492)</f>
        <v>755095.44</v>
      </c>
    </row>
    <row r="493" spans="1:23" ht="22.5" x14ac:dyDescent="0.2">
      <c r="A493" s="79"/>
      <c r="B493" s="79"/>
      <c r="C493" s="253"/>
      <c r="D493" s="516">
        <v>2480</v>
      </c>
      <c r="E493" s="160" t="s">
        <v>334</v>
      </c>
      <c r="F493" s="254">
        <v>611096</v>
      </c>
      <c r="G493" s="141">
        <v>462300</v>
      </c>
      <c r="H493" s="142">
        <f t="shared" si="157"/>
        <v>0.75650961551049267</v>
      </c>
      <c r="I493" s="143">
        <v>611096</v>
      </c>
      <c r="J493" s="86">
        <v>616200</v>
      </c>
      <c r="K493" s="526">
        <f t="shared" ref="K493:K507" si="159">J493/F493</f>
        <v>1.0083522065272887</v>
      </c>
      <c r="L493" s="513"/>
      <c r="M493" s="505"/>
      <c r="N493" s="505"/>
      <c r="O493" s="506"/>
      <c r="P493" s="505"/>
      <c r="Q493" s="505"/>
      <c r="R493" s="506">
        <v>616200</v>
      </c>
      <c r="S493" s="506"/>
      <c r="T493" s="506"/>
      <c r="U493" s="506"/>
      <c r="V493" s="506"/>
      <c r="W493" s="506">
        <f>SUM(M493:V493)</f>
        <v>616200</v>
      </c>
    </row>
    <row r="494" spans="1:23" x14ac:dyDescent="0.2">
      <c r="A494" s="79"/>
      <c r="B494" s="352"/>
      <c r="C494" s="794"/>
      <c r="D494" s="795">
        <v>4110</v>
      </c>
      <c r="E494" s="109" t="s">
        <v>174</v>
      </c>
      <c r="F494" s="320">
        <v>570</v>
      </c>
      <c r="G494" s="320">
        <v>139.24</v>
      </c>
      <c r="H494" s="142">
        <f t="shared" si="157"/>
        <v>0.24428070175438599</v>
      </c>
      <c r="I494" s="524">
        <v>540.76</v>
      </c>
      <c r="J494" s="50">
        <f>570</f>
        <v>570</v>
      </c>
      <c r="K494" s="526">
        <f t="shared" si="159"/>
        <v>1</v>
      </c>
      <c r="L494" s="527" t="s">
        <v>335</v>
      </c>
      <c r="M494" s="505">
        <v>570</v>
      </c>
      <c r="N494" s="505"/>
      <c r="O494" s="506"/>
      <c r="P494" s="505"/>
      <c r="Q494" s="505"/>
      <c r="R494" s="506"/>
      <c r="S494" s="506"/>
      <c r="T494" s="506"/>
      <c r="U494" s="506"/>
      <c r="V494" s="506"/>
      <c r="W494" s="506">
        <f t="shared" ref="W494:W520" si="160">SUM(M494:V494)</f>
        <v>570</v>
      </c>
    </row>
    <row r="495" spans="1:23" x14ac:dyDescent="0.2">
      <c r="A495" s="79"/>
      <c r="B495" s="352"/>
      <c r="C495" s="353"/>
      <c r="D495" s="795">
        <v>4120</v>
      </c>
      <c r="E495" s="160" t="s">
        <v>175</v>
      </c>
      <c r="F495" s="320">
        <v>81</v>
      </c>
      <c r="G495" s="320">
        <v>0</v>
      </c>
      <c r="H495" s="142">
        <f t="shared" si="157"/>
        <v>0</v>
      </c>
      <c r="I495" s="455">
        <v>0</v>
      </c>
      <c r="J495" s="324">
        <f>81</f>
        <v>81</v>
      </c>
      <c r="K495" s="526">
        <f t="shared" si="159"/>
        <v>1</v>
      </c>
      <c r="L495" s="582" t="s">
        <v>336</v>
      </c>
      <c r="M495" s="505">
        <v>81</v>
      </c>
      <c r="N495" s="505"/>
      <c r="O495" s="506"/>
      <c r="P495" s="505"/>
      <c r="Q495" s="505"/>
      <c r="R495" s="506"/>
      <c r="S495" s="506"/>
      <c r="T495" s="506"/>
      <c r="U495" s="506"/>
      <c r="V495" s="506"/>
      <c r="W495" s="506">
        <f t="shared" si="160"/>
        <v>81</v>
      </c>
    </row>
    <row r="496" spans="1:23" x14ac:dyDescent="0.2">
      <c r="A496" s="79"/>
      <c r="B496" s="352"/>
      <c r="C496" s="782"/>
      <c r="D496" s="796">
        <v>4170</v>
      </c>
      <c r="E496" s="249" t="s">
        <v>184</v>
      </c>
      <c r="F496" s="320">
        <v>3289</v>
      </c>
      <c r="G496" s="320">
        <v>810</v>
      </c>
      <c r="H496" s="142">
        <f t="shared" si="157"/>
        <v>0.246275463666768</v>
      </c>
      <c r="I496" s="455">
        <v>3145.9810000000002</v>
      </c>
      <c r="J496" s="357">
        <f>4289</f>
        <v>4289</v>
      </c>
      <c r="K496" s="526">
        <f t="shared" si="159"/>
        <v>1.3040437823046518</v>
      </c>
      <c r="L496" s="527" t="s">
        <v>337</v>
      </c>
      <c r="M496" s="505">
        <v>4289</v>
      </c>
      <c r="N496" s="505"/>
      <c r="O496" s="506"/>
      <c r="P496" s="505"/>
      <c r="Q496" s="505"/>
      <c r="R496" s="506"/>
      <c r="S496" s="506"/>
      <c r="T496" s="506"/>
      <c r="U496" s="506"/>
      <c r="V496" s="506"/>
      <c r="W496" s="506">
        <f t="shared" si="160"/>
        <v>4289</v>
      </c>
    </row>
    <row r="497" spans="1:23" ht="19.5" x14ac:dyDescent="0.2">
      <c r="A497" s="79"/>
      <c r="B497" s="79"/>
      <c r="C497" s="206"/>
      <c r="D497" s="391">
        <v>4210</v>
      </c>
      <c r="E497" s="163" t="s">
        <v>176</v>
      </c>
      <c r="F497" s="164">
        <v>59283</v>
      </c>
      <c r="G497" s="141">
        <v>31982.48</v>
      </c>
      <c r="H497" s="142">
        <f t="shared" si="157"/>
        <v>0.53948821753285092</v>
      </c>
      <c r="I497" s="143">
        <v>59283</v>
      </c>
      <c r="J497" s="144">
        <f>5000+61920.29</f>
        <v>66920.290000000008</v>
      </c>
      <c r="K497" s="526">
        <f t="shared" si="159"/>
        <v>1.1288276571698466</v>
      </c>
      <c r="L497" s="513" t="s">
        <v>338</v>
      </c>
      <c r="M497" s="505">
        <v>61920.29</v>
      </c>
      <c r="N497" s="505"/>
      <c r="O497" s="506"/>
      <c r="P497" s="505"/>
      <c r="Q497" s="505"/>
      <c r="R497" s="506">
        <v>5000</v>
      </c>
      <c r="S497" s="506"/>
      <c r="T497" s="506"/>
      <c r="U497" s="506"/>
      <c r="V497" s="506"/>
      <c r="W497" s="506">
        <f t="shared" si="160"/>
        <v>66920.290000000008</v>
      </c>
    </row>
    <row r="498" spans="1:23" ht="19.5" x14ac:dyDescent="0.2">
      <c r="A498" s="79"/>
      <c r="B498" s="79"/>
      <c r="C498" s="206"/>
      <c r="D498" s="391">
        <v>4260</v>
      </c>
      <c r="E498" s="163" t="s">
        <v>185</v>
      </c>
      <c r="F498" s="164">
        <v>44584.02</v>
      </c>
      <c r="G498" s="141">
        <v>27611.57</v>
      </c>
      <c r="H498" s="142">
        <f t="shared" si="157"/>
        <v>0.61931539596474261</v>
      </c>
      <c r="I498" s="143">
        <v>44021.65</v>
      </c>
      <c r="J498" s="144">
        <f>50000+6700.39</f>
        <v>56700.39</v>
      </c>
      <c r="K498" s="526">
        <f t="shared" si="159"/>
        <v>1.2717648610421404</v>
      </c>
      <c r="L498" s="604" t="s">
        <v>339</v>
      </c>
      <c r="M498" s="505">
        <v>6700.39</v>
      </c>
      <c r="N498" s="505"/>
      <c r="O498" s="506"/>
      <c r="P498" s="505"/>
      <c r="Q498" s="505"/>
      <c r="R498" s="506"/>
      <c r="S498" s="506"/>
      <c r="T498" s="506">
        <v>50000</v>
      </c>
      <c r="U498" s="506"/>
      <c r="V498" s="506"/>
      <c r="W498" s="506">
        <f t="shared" si="160"/>
        <v>56700.39</v>
      </c>
    </row>
    <row r="499" spans="1:23" x14ac:dyDescent="0.2">
      <c r="A499" s="79"/>
      <c r="B499" s="79"/>
      <c r="C499" s="427"/>
      <c r="D499" s="609">
        <v>4270</v>
      </c>
      <c r="E499" s="166" t="s">
        <v>192</v>
      </c>
      <c r="F499" s="666">
        <v>60000</v>
      </c>
      <c r="G499" s="83">
        <v>0</v>
      </c>
      <c r="H499" s="142">
        <f t="shared" si="157"/>
        <v>0</v>
      </c>
      <c r="I499" s="85">
        <v>0</v>
      </c>
      <c r="J499" s="86">
        <v>0</v>
      </c>
      <c r="K499" s="526">
        <f t="shared" si="159"/>
        <v>0</v>
      </c>
      <c r="L499" s="513"/>
      <c r="M499" s="505"/>
      <c r="N499" s="505"/>
      <c r="O499" s="506"/>
      <c r="P499" s="505"/>
      <c r="Q499" s="505"/>
      <c r="R499" s="506"/>
      <c r="S499" s="506"/>
      <c r="T499" s="506"/>
      <c r="U499" s="506"/>
      <c r="V499" s="506"/>
      <c r="W499" s="506">
        <f t="shared" si="160"/>
        <v>0</v>
      </c>
    </row>
    <row r="500" spans="1:23" ht="19.5" x14ac:dyDescent="0.2">
      <c r="A500" s="79"/>
      <c r="B500" s="79"/>
      <c r="C500" s="303"/>
      <c r="D500" s="574">
        <v>4300</v>
      </c>
      <c r="E500" s="249" t="s">
        <v>177</v>
      </c>
      <c r="F500" s="530">
        <v>13350</v>
      </c>
      <c r="G500" s="141">
        <v>6977.17</v>
      </c>
      <c r="H500" s="142">
        <f t="shared" si="157"/>
        <v>0.52263445692883892</v>
      </c>
      <c r="I500" s="143">
        <v>13350</v>
      </c>
      <c r="J500" s="144">
        <f>5000+3009.76</f>
        <v>8009.76</v>
      </c>
      <c r="K500" s="526">
        <f t="shared" si="159"/>
        <v>0.59998202247191013</v>
      </c>
      <c r="L500" s="604" t="s">
        <v>340</v>
      </c>
      <c r="M500" s="505">
        <v>3009.76</v>
      </c>
      <c r="N500" s="505"/>
      <c r="O500" s="506"/>
      <c r="P500" s="505"/>
      <c r="Q500" s="505"/>
      <c r="R500" s="506">
        <v>5000</v>
      </c>
      <c r="S500" s="506"/>
      <c r="T500" s="506"/>
      <c r="U500" s="506"/>
      <c r="V500" s="506"/>
      <c r="W500" s="506">
        <f t="shared" si="160"/>
        <v>8009.76</v>
      </c>
    </row>
    <row r="501" spans="1:23" x14ac:dyDescent="0.2">
      <c r="A501" s="79"/>
      <c r="B501" s="79"/>
      <c r="C501" s="107"/>
      <c r="D501" s="514">
        <v>4350</v>
      </c>
      <c r="E501" s="109" t="s">
        <v>235</v>
      </c>
      <c r="F501" s="179">
        <v>1325</v>
      </c>
      <c r="G501" s="83">
        <v>985.23</v>
      </c>
      <c r="H501" s="142">
        <f t="shared" si="157"/>
        <v>0.74356981132075473</v>
      </c>
      <c r="I501" s="85">
        <v>1325</v>
      </c>
      <c r="J501" s="86">
        <v>1325</v>
      </c>
      <c r="K501" s="526">
        <f t="shared" si="159"/>
        <v>1</v>
      </c>
      <c r="L501" s="513" t="s">
        <v>341</v>
      </c>
      <c r="M501" s="505">
        <v>1325</v>
      </c>
      <c r="N501" s="505"/>
      <c r="O501" s="506"/>
      <c r="P501" s="505"/>
      <c r="Q501" s="505"/>
      <c r="R501" s="506"/>
      <c r="S501" s="506"/>
      <c r="T501" s="506"/>
      <c r="U501" s="506"/>
      <c r="V501" s="506"/>
      <c r="W501" s="506">
        <f t="shared" si="160"/>
        <v>1325</v>
      </c>
    </row>
    <row r="502" spans="1:23" x14ac:dyDescent="0.2">
      <c r="A502" s="79"/>
      <c r="B502" s="79"/>
      <c r="C502" s="107"/>
      <c r="D502" s="514">
        <v>4430</v>
      </c>
      <c r="E502" s="109" t="s">
        <v>180</v>
      </c>
      <c r="F502" s="179">
        <v>4000</v>
      </c>
      <c r="G502" s="83">
        <v>992</v>
      </c>
      <c r="H502" s="142">
        <f t="shared" si="157"/>
        <v>0.248</v>
      </c>
      <c r="I502" s="85">
        <v>992</v>
      </c>
      <c r="J502" s="86">
        <f>1000</f>
        <v>1000</v>
      </c>
      <c r="K502" s="526">
        <f t="shared" si="159"/>
        <v>0.25</v>
      </c>
      <c r="L502" s="513" t="s">
        <v>342</v>
      </c>
      <c r="M502" s="505">
        <v>1000</v>
      </c>
      <c r="N502" s="505"/>
      <c r="O502" s="506"/>
      <c r="P502" s="505"/>
      <c r="Q502" s="505"/>
      <c r="R502" s="506"/>
      <c r="S502" s="506"/>
      <c r="T502" s="506"/>
      <c r="U502" s="506"/>
      <c r="V502" s="506"/>
      <c r="W502" s="506">
        <f t="shared" si="160"/>
        <v>1000</v>
      </c>
    </row>
    <row r="503" spans="1:23" x14ac:dyDescent="0.2">
      <c r="A503" s="79"/>
      <c r="B503" s="79"/>
      <c r="C503" s="253"/>
      <c r="D503" s="516">
        <v>6050</v>
      </c>
      <c r="E503" s="160" t="s">
        <v>182</v>
      </c>
      <c r="F503" s="161">
        <v>116028.08</v>
      </c>
      <c r="G503" s="83">
        <v>59450.3</v>
      </c>
      <c r="H503" s="142">
        <f t="shared" si="157"/>
        <v>0.51237855526007159</v>
      </c>
      <c r="I503" s="85">
        <v>110700.44</v>
      </c>
      <c r="J503" s="86">
        <v>0</v>
      </c>
      <c r="K503" s="526">
        <f t="shared" si="159"/>
        <v>0</v>
      </c>
      <c r="L503" s="513"/>
      <c r="M503" s="505"/>
      <c r="N503" s="505"/>
      <c r="O503" s="506"/>
      <c r="P503" s="505"/>
      <c r="Q503" s="505"/>
      <c r="R503" s="506"/>
      <c r="S503" s="506"/>
      <c r="T503" s="506"/>
      <c r="U503" s="506"/>
      <c r="V503" s="506"/>
      <c r="W503" s="506">
        <f t="shared" si="160"/>
        <v>0</v>
      </c>
    </row>
    <row r="504" spans="1:23" ht="19.5" x14ac:dyDescent="0.2">
      <c r="A504" s="79"/>
      <c r="B504" s="79"/>
      <c r="C504" s="107"/>
      <c r="D504" s="514">
        <v>6058</v>
      </c>
      <c r="E504" s="109" t="s">
        <v>182</v>
      </c>
      <c r="F504" s="573">
        <v>772321</v>
      </c>
      <c r="G504" s="83">
        <v>643864.35</v>
      </c>
      <c r="H504" s="142">
        <f t="shared" si="157"/>
        <v>0.83367453429338312</v>
      </c>
      <c r="I504" s="85">
        <v>772321</v>
      </c>
      <c r="J504" s="86">
        <v>0</v>
      </c>
      <c r="K504" s="1085">
        <f t="shared" si="159"/>
        <v>0</v>
      </c>
      <c r="L504" s="513" t="s">
        <v>343</v>
      </c>
      <c r="M504" s="505"/>
      <c r="N504" s="505"/>
      <c r="O504" s="506"/>
      <c r="P504" s="505"/>
      <c r="Q504" s="505"/>
      <c r="R504" s="506"/>
      <c r="S504" s="506"/>
      <c r="T504" s="506"/>
      <c r="U504" s="506"/>
      <c r="V504" s="506"/>
      <c r="W504" s="506">
        <f t="shared" si="160"/>
        <v>0</v>
      </c>
    </row>
    <row r="505" spans="1:23" x14ac:dyDescent="0.2">
      <c r="A505" s="79"/>
      <c r="B505" s="79"/>
      <c r="C505" s="107"/>
      <c r="D505" s="514">
        <v>6059</v>
      </c>
      <c r="E505" s="109" t="s">
        <v>182</v>
      </c>
      <c r="F505" s="110">
        <v>441115.99</v>
      </c>
      <c r="G505" s="83">
        <v>372068.57</v>
      </c>
      <c r="H505" s="142">
        <f t="shared" si="157"/>
        <v>0.84347105621811624</v>
      </c>
      <c r="I505" s="85">
        <v>441115.97</v>
      </c>
      <c r="J505" s="86">
        <v>0</v>
      </c>
      <c r="K505" s="1085">
        <f t="shared" si="159"/>
        <v>0</v>
      </c>
      <c r="L505" s="513"/>
      <c r="M505" s="505"/>
      <c r="N505" s="505"/>
      <c r="O505" s="506"/>
      <c r="P505" s="505"/>
      <c r="Q505" s="505"/>
      <c r="R505" s="506"/>
      <c r="S505" s="506"/>
      <c r="T505" s="506"/>
      <c r="U505" s="506"/>
      <c r="V505" s="506"/>
      <c r="W505" s="506">
        <f t="shared" si="160"/>
        <v>0</v>
      </c>
    </row>
    <row r="506" spans="1:23" ht="22.5" x14ac:dyDescent="0.2">
      <c r="A506" s="79"/>
      <c r="B506" s="79"/>
      <c r="C506" s="206"/>
      <c r="D506" s="391">
        <v>6060</v>
      </c>
      <c r="E506" s="392" t="s">
        <v>207</v>
      </c>
      <c r="F506" s="386">
        <v>8000</v>
      </c>
      <c r="G506" s="209">
        <v>0</v>
      </c>
      <c r="H506" s="142">
        <f t="shared" si="157"/>
        <v>0</v>
      </c>
      <c r="I506" s="209">
        <v>8000</v>
      </c>
      <c r="J506" s="144">
        <v>0</v>
      </c>
      <c r="K506" s="1085">
        <f t="shared" si="159"/>
        <v>0</v>
      </c>
      <c r="L506" s="604"/>
      <c r="M506" s="505"/>
      <c r="N506" s="505"/>
      <c r="O506" s="506"/>
      <c r="P506" s="505"/>
      <c r="Q506" s="505"/>
      <c r="R506" s="506"/>
      <c r="S506" s="506"/>
      <c r="T506" s="506"/>
      <c r="U506" s="506"/>
      <c r="V506" s="506"/>
      <c r="W506" s="506">
        <f t="shared" si="160"/>
        <v>0</v>
      </c>
    </row>
    <row r="507" spans="1:23" ht="45" x14ac:dyDescent="0.2">
      <c r="A507" s="79"/>
      <c r="B507" s="79"/>
      <c r="C507" s="303"/>
      <c r="D507" s="574">
        <v>6220</v>
      </c>
      <c r="E507" s="249" t="s">
        <v>344</v>
      </c>
      <c r="F507" s="573">
        <v>8704</v>
      </c>
      <c r="G507" s="141">
        <v>8703.9699999999993</v>
      </c>
      <c r="H507" s="142">
        <f t="shared" si="157"/>
        <v>0.99999655330882342</v>
      </c>
      <c r="I507" s="143">
        <v>8703.9699999999993</v>
      </c>
      <c r="J507" s="144">
        <v>0</v>
      </c>
      <c r="K507" s="1085">
        <f t="shared" si="159"/>
        <v>0</v>
      </c>
      <c r="L507" s="604" t="s">
        <v>345</v>
      </c>
      <c r="M507" s="505"/>
      <c r="N507" s="505"/>
      <c r="O507" s="506"/>
      <c r="P507" s="505"/>
      <c r="Q507" s="505"/>
      <c r="R507" s="506">
        <v>0</v>
      </c>
      <c r="S507" s="506"/>
      <c r="T507" s="506"/>
      <c r="U507" s="506"/>
      <c r="V507" s="506"/>
      <c r="W507" s="506">
        <f t="shared" si="160"/>
        <v>0</v>
      </c>
    </row>
    <row r="508" spans="1:23" x14ac:dyDescent="0.2">
      <c r="A508" s="79"/>
      <c r="B508" s="118">
        <v>92116</v>
      </c>
      <c r="C508" s="70"/>
      <c r="D508" s="103"/>
      <c r="E508" s="72" t="s">
        <v>346</v>
      </c>
      <c r="F508" s="308">
        <f>F509+F510</f>
        <v>286179</v>
      </c>
      <c r="G508" s="75">
        <f>G509+G510</f>
        <v>213400</v>
      </c>
      <c r="H508" s="223">
        <f t="shared" si="157"/>
        <v>0.7456871398670063</v>
      </c>
      <c r="I508" s="75">
        <f>I509+I510</f>
        <v>286179</v>
      </c>
      <c r="J508" s="76">
        <f>J509+J510</f>
        <v>302750.07</v>
      </c>
      <c r="K508" s="1084">
        <f>J508/F508</f>
        <v>1.0579045632279098</v>
      </c>
      <c r="L508" s="1080"/>
      <c r="M508" s="510">
        <f t="shared" ref="M508:V508" si="161">M509+M510</f>
        <v>300.07</v>
      </c>
      <c r="N508" s="510">
        <f t="shared" si="161"/>
        <v>0</v>
      </c>
      <c r="O508" s="510">
        <f t="shared" si="161"/>
        <v>0</v>
      </c>
      <c r="P508" s="510">
        <f t="shared" si="161"/>
        <v>0</v>
      </c>
      <c r="Q508" s="510">
        <f t="shared" si="161"/>
        <v>0</v>
      </c>
      <c r="R508" s="510">
        <f t="shared" si="161"/>
        <v>302450</v>
      </c>
      <c r="S508" s="510">
        <f t="shared" si="161"/>
        <v>0</v>
      </c>
      <c r="T508" s="510">
        <f t="shared" si="161"/>
        <v>0</v>
      </c>
      <c r="U508" s="510">
        <f t="shared" si="161"/>
        <v>0</v>
      </c>
      <c r="V508" s="510">
        <f t="shared" si="161"/>
        <v>0</v>
      </c>
      <c r="W508" s="510">
        <f t="shared" si="160"/>
        <v>302750.07</v>
      </c>
    </row>
    <row r="509" spans="1:23" ht="22.5" x14ac:dyDescent="0.2">
      <c r="A509" s="79"/>
      <c r="B509" s="79"/>
      <c r="C509" s="253"/>
      <c r="D509" s="516">
        <v>2480</v>
      </c>
      <c r="E509" s="160" t="s">
        <v>334</v>
      </c>
      <c r="F509" s="185">
        <v>286000</v>
      </c>
      <c r="G509" s="83">
        <v>213400</v>
      </c>
      <c r="H509" s="84">
        <f t="shared" si="157"/>
        <v>0.74615384615384617</v>
      </c>
      <c r="I509" s="85">
        <v>286000</v>
      </c>
      <c r="J509" s="86">
        <v>302450</v>
      </c>
      <c r="K509" s="1103">
        <f t="shared" ref="K509:K538" si="162">J509/F509</f>
        <v>1.0575174825174825</v>
      </c>
      <c r="L509" s="513"/>
      <c r="M509" s="505"/>
      <c r="N509" s="505"/>
      <c r="O509" s="506"/>
      <c r="P509" s="505"/>
      <c r="Q509" s="505"/>
      <c r="R509" s="506">
        <v>302450</v>
      </c>
      <c r="S509" s="506"/>
      <c r="T509" s="506"/>
      <c r="U509" s="506"/>
      <c r="V509" s="506"/>
      <c r="W509" s="506">
        <f t="shared" si="160"/>
        <v>302450</v>
      </c>
    </row>
    <row r="510" spans="1:23" x14ac:dyDescent="0.2">
      <c r="A510" s="79"/>
      <c r="B510" s="79"/>
      <c r="C510" s="303"/>
      <c r="D510" s="574">
        <v>4210</v>
      </c>
      <c r="E510" s="249" t="s">
        <v>176</v>
      </c>
      <c r="F510" s="1142">
        <v>179</v>
      </c>
      <c r="G510" s="182">
        <v>0</v>
      </c>
      <c r="H510" s="142">
        <f t="shared" si="157"/>
        <v>0</v>
      </c>
      <c r="I510" s="182">
        <v>179</v>
      </c>
      <c r="J510" s="183">
        <v>300.07</v>
      </c>
      <c r="K510" s="1094">
        <f t="shared" si="162"/>
        <v>1.6763687150837989</v>
      </c>
      <c r="L510" s="517" t="s">
        <v>347</v>
      </c>
      <c r="M510" s="505">
        <v>300.07</v>
      </c>
      <c r="N510" s="505"/>
      <c r="O510" s="506"/>
      <c r="P510" s="505"/>
      <c r="Q510" s="505"/>
      <c r="R510" s="506"/>
      <c r="S510" s="506"/>
      <c r="T510" s="506"/>
      <c r="U510" s="506"/>
      <c r="V510" s="506"/>
      <c r="W510" s="506">
        <f t="shared" si="160"/>
        <v>300.07</v>
      </c>
    </row>
    <row r="511" spans="1:23" x14ac:dyDescent="0.2">
      <c r="A511" s="79"/>
      <c r="B511" s="118">
        <v>92118</v>
      </c>
      <c r="C511" s="70"/>
      <c r="D511" s="103"/>
      <c r="E511" s="72" t="s">
        <v>348</v>
      </c>
      <c r="F511" s="73">
        <f>F512</f>
        <v>365500</v>
      </c>
      <c r="G511" s="75">
        <f>G512</f>
        <v>273200</v>
      </c>
      <c r="H511" s="223">
        <f t="shared" si="157"/>
        <v>0.74746922024623808</v>
      </c>
      <c r="I511" s="75">
        <f>I512</f>
        <v>365500</v>
      </c>
      <c r="J511" s="76">
        <f>J512</f>
        <v>364100</v>
      </c>
      <c r="K511" s="1084">
        <f>J511/F511</f>
        <v>0.99616963064295483</v>
      </c>
      <c r="L511" s="1080"/>
      <c r="M511" s="510">
        <f t="shared" ref="M511:V511" si="163">M512</f>
        <v>0</v>
      </c>
      <c r="N511" s="510">
        <f t="shared" si="163"/>
        <v>0</v>
      </c>
      <c r="O511" s="510">
        <f t="shared" si="163"/>
        <v>0</v>
      </c>
      <c r="P511" s="510">
        <f t="shared" si="163"/>
        <v>0</v>
      </c>
      <c r="Q511" s="510">
        <f t="shared" si="163"/>
        <v>0</v>
      </c>
      <c r="R511" s="510">
        <f t="shared" si="163"/>
        <v>364100</v>
      </c>
      <c r="S511" s="510">
        <f t="shared" si="163"/>
        <v>0</v>
      </c>
      <c r="T511" s="510">
        <f t="shared" si="163"/>
        <v>0</v>
      </c>
      <c r="U511" s="510">
        <f t="shared" si="163"/>
        <v>0</v>
      </c>
      <c r="V511" s="510">
        <f t="shared" si="163"/>
        <v>0</v>
      </c>
      <c r="W511" s="510">
        <f t="shared" si="160"/>
        <v>364100</v>
      </c>
    </row>
    <row r="512" spans="1:23" ht="22.5" x14ac:dyDescent="0.2">
      <c r="A512" s="79"/>
      <c r="B512" s="206"/>
      <c r="C512" s="253"/>
      <c r="D512" s="516">
        <v>2480</v>
      </c>
      <c r="E512" s="160" t="s">
        <v>334</v>
      </c>
      <c r="F512" s="185">
        <v>365500</v>
      </c>
      <c r="G512" s="83">
        <v>273200</v>
      </c>
      <c r="H512" s="84">
        <f t="shared" si="157"/>
        <v>0.74746922024623808</v>
      </c>
      <c r="I512" s="85">
        <v>365500</v>
      </c>
      <c r="J512" s="86">
        <v>364100</v>
      </c>
      <c r="K512" s="1103">
        <f t="shared" si="162"/>
        <v>0.99616963064295483</v>
      </c>
      <c r="L512" s="513"/>
      <c r="M512" s="505"/>
      <c r="N512" s="505"/>
      <c r="O512" s="506"/>
      <c r="P512" s="505"/>
      <c r="Q512" s="505"/>
      <c r="R512" s="506">
        <v>364100</v>
      </c>
      <c r="S512" s="506"/>
      <c r="T512" s="506"/>
      <c r="U512" s="506"/>
      <c r="V512" s="506"/>
      <c r="W512" s="506">
        <f t="shared" si="160"/>
        <v>364100</v>
      </c>
    </row>
    <row r="513" spans="1:23" x14ac:dyDescent="0.2">
      <c r="A513" s="79"/>
      <c r="B513" s="463">
        <v>92120</v>
      </c>
      <c r="C513" s="797"/>
      <c r="D513" s="798"/>
      <c r="E513" s="419" t="s">
        <v>349</v>
      </c>
      <c r="F513" s="403">
        <f>F514</f>
        <v>93000</v>
      </c>
      <c r="G513" s="222">
        <f>G514</f>
        <v>72989.09</v>
      </c>
      <c r="H513" s="223">
        <f>G513/F513</f>
        <v>0.78482892473118271</v>
      </c>
      <c r="I513" s="420">
        <f>I514</f>
        <v>92989.09</v>
      </c>
      <c r="J513" s="421">
        <f>J514</f>
        <v>50000</v>
      </c>
      <c r="K513" s="1107">
        <f>J513/F513</f>
        <v>0.5376344086021505</v>
      </c>
      <c r="L513" s="1104"/>
      <c r="M513" s="222">
        <f t="shared" ref="M513:V513" si="164">M514</f>
        <v>0</v>
      </c>
      <c r="N513" s="222">
        <f t="shared" si="164"/>
        <v>0</v>
      </c>
      <c r="O513" s="222">
        <f t="shared" si="164"/>
        <v>0</v>
      </c>
      <c r="P513" s="222">
        <f t="shared" si="164"/>
        <v>0</v>
      </c>
      <c r="Q513" s="222">
        <f t="shared" si="164"/>
        <v>0</v>
      </c>
      <c r="R513" s="222">
        <f t="shared" si="164"/>
        <v>50000</v>
      </c>
      <c r="S513" s="222">
        <f t="shared" si="164"/>
        <v>0</v>
      </c>
      <c r="T513" s="222">
        <f t="shared" si="164"/>
        <v>0</v>
      </c>
      <c r="U513" s="222">
        <f t="shared" si="164"/>
        <v>0</v>
      </c>
      <c r="V513" s="222">
        <f t="shared" si="164"/>
        <v>0</v>
      </c>
      <c r="W513" s="222">
        <f t="shared" si="160"/>
        <v>50000</v>
      </c>
    </row>
    <row r="514" spans="1:23" ht="56.25" x14ac:dyDescent="0.2">
      <c r="A514" s="79"/>
      <c r="B514" s="799"/>
      <c r="C514" s="799"/>
      <c r="D514" s="740">
        <v>2720</v>
      </c>
      <c r="E514" s="90" t="s">
        <v>350</v>
      </c>
      <c r="F514" s="98">
        <v>93000</v>
      </c>
      <c r="G514" s="83">
        <v>72989.09</v>
      </c>
      <c r="H514" s="84">
        <f>G514/F514</f>
        <v>0.78482892473118271</v>
      </c>
      <c r="I514" s="800">
        <v>92989.09</v>
      </c>
      <c r="J514" s="801">
        <v>50000</v>
      </c>
      <c r="K514" s="1108">
        <f>J514/F514</f>
        <v>0.5376344086021505</v>
      </c>
      <c r="L514" s="517"/>
      <c r="M514" s="505"/>
      <c r="N514" s="505"/>
      <c r="O514" s="506"/>
      <c r="P514" s="505"/>
      <c r="Q514" s="505"/>
      <c r="R514" s="506">
        <v>50000</v>
      </c>
      <c r="S514" s="506"/>
      <c r="T514" s="506"/>
      <c r="U514" s="506"/>
      <c r="V514" s="506"/>
      <c r="W514" s="506">
        <f t="shared" si="160"/>
        <v>50000</v>
      </c>
    </row>
    <row r="515" spans="1:23" x14ac:dyDescent="0.2">
      <c r="A515" s="79"/>
      <c r="B515" s="310">
        <v>92195</v>
      </c>
      <c r="C515" s="311"/>
      <c r="D515" s="312"/>
      <c r="E515" s="350" t="s">
        <v>23</v>
      </c>
      <c r="F515" s="351">
        <f>SUM(F516:F520)</f>
        <v>83838.03</v>
      </c>
      <c r="G515" s="351">
        <f>SUM(G516:G520)</f>
        <v>38700.17</v>
      </c>
      <c r="H515" s="223">
        <f t="shared" si="157"/>
        <v>0.46160638555080552</v>
      </c>
      <c r="I515" s="388">
        <f>SUM(I516:I520)</f>
        <v>83803.199999999997</v>
      </c>
      <c r="J515" s="389">
        <f>SUM(J516:J520)</f>
        <v>64655.82</v>
      </c>
      <c r="K515" s="1086">
        <f>J515/F515</f>
        <v>0.77119918013340727</v>
      </c>
      <c r="L515" s="1089"/>
      <c r="M515" s="617">
        <f t="shared" ref="M515:V515" si="165">SUM(M516:M520)</f>
        <v>64655.82</v>
      </c>
      <c r="N515" s="617">
        <f t="shared" si="165"/>
        <v>0</v>
      </c>
      <c r="O515" s="617">
        <f t="shared" si="165"/>
        <v>0</v>
      </c>
      <c r="P515" s="617">
        <f t="shared" si="165"/>
        <v>0</v>
      </c>
      <c r="Q515" s="617">
        <f t="shared" si="165"/>
        <v>0</v>
      </c>
      <c r="R515" s="617">
        <f t="shared" si="165"/>
        <v>0</v>
      </c>
      <c r="S515" s="617">
        <f t="shared" si="165"/>
        <v>0</v>
      </c>
      <c r="T515" s="617">
        <f t="shared" si="165"/>
        <v>0</v>
      </c>
      <c r="U515" s="617">
        <f t="shared" si="165"/>
        <v>0</v>
      </c>
      <c r="V515" s="617">
        <f t="shared" si="165"/>
        <v>0</v>
      </c>
      <c r="W515" s="617">
        <f t="shared" si="160"/>
        <v>64655.82</v>
      </c>
    </row>
    <row r="516" spans="1:23" x14ac:dyDescent="0.2">
      <c r="A516" s="79"/>
      <c r="B516" s="352"/>
      <c r="C516" s="802"/>
      <c r="D516" s="793">
        <v>4110</v>
      </c>
      <c r="E516" s="109" t="s">
        <v>174</v>
      </c>
      <c r="F516" s="320">
        <v>95</v>
      </c>
      <c r="G516" s="320">
        <v>0</v>
      </c>
      <c r="H516" s="470">
        <v>0</v>
      </c>
      <c r="I516" s="455">
        <v>60.17</v>
      </c>
      <c r="J516" s="324">
        <v>0</v>
      </c>
      <c r="K516" s="1085">
        <v>0</v>
      </c>
      <c r="L516" s="527" t="s">
        <v>351</v>
      </c>
      <c r="M516" s="505"/>
      <c r="N516" s="505"/>
      <c r="O516" s="506"/>
      <c r="P516" s="505"/>
      <c r="Q516" s="505"/>
      <c r="R516" s="506"/>
      <c r="S516" s="506"/>
      <c r="T516" s="506"/>
      <c r="U516" s="506"/>
      <c r="V516" s="506"/>
      <c r="W516" s="506">
        <f t="shared" si="160"/>
        <v>0</v>
      </c>
    </row>
    <row r="517" spans="1:23" x14ac:dyDescent="0.2">
      <c r="A517" s="79"/>
      <c r="B517" s="79"/>
      <c r="C517" s="206"/>
      <c r="D517" s="391">
        <v>4170</v>
      </c>
      <c r="E517" s="163" t="s">
        <v>184</v>
      </c>
      <c r="F517" s="208">
        <v>1150</v>
      </c>
      <c r="G517" s="141">
        <v>936.64</v>
      </c>
      <c r="H517" s="142">
        <f t="shared" si="157"/>
        <v>0.81446956521739133</v>
      </c>
      <c r="I517" s="143">
        <v>1150</v>
      </c>
      <c r="J517" s="144">
        <v>1900</v>
      </c>
      <c r="K517" s="1109">
        <f t="shared" si="162"/>
        <v>1.6521739130434783</v>
      </c>
      <c r="L517" s="513" t="s">
        <v>351</v>
      </c>
      <c r="M517" s="505">
        <v>1900</v>
      </c>
      <c r="N517" s="505"/>
      <c r="O517" s="506"/>
      <c r="P517" s="505"/>
      <c r="Q517" s="505"/>
      <c r="R517" s="506"/>
      <c r="S517" s="506"/>
      <c r="T517" s="506"/>
      <c r="U517" s="506"/>
      <c r="V517" s="506"/>
      <c r="W517" s="506">
        <f t="shared" si="160"/>
        <v>1900</v>
      </c>
    </row>
    <row r="518" spans="1:23" x14ac:dyDescent="0.2">
      <c r="A518" s="79"/>
      <c r="B518" s="79"/>
      <c r="C518" s="303"/>
      <c r="D518" s="574">
        <v>4210</v>
      </c>
      <c r="E518" s="249" t="s">
        <v>176</v>
      </c>
      <c r="F518" s="573">
        <v>66552.03</v>
      </c>
      <c r="G518" s="141">
        <v>26126.82</v>
      </c>
      <c r="H518" s="142">
        <f t="shared" si="157"/>
        <v>0.39257735639318592</v>
      </c>
      <c r="I518" s="143">
        <v>66552.03</v>
      </c>
      <c r="J518" s="144">
        <v>49155.82</v>
      </c>
      <c r="K518" s="1109">
        <f t="shared" si="162"/>
        <v>0.73860737230705065</v>
      </c>
      <c r="L518" s="604" t="s">
        <v>351</v>
      </c>
      <c r="M518" s="505">
        <v>49155.82</v>
      </c>
      <c r="N518" s="505"/>
      <c r="O518" s="506"/>
      <c r="P518" s="505"/>
      <c r="Q518" s="505"/>
      <c r="R518" s="506"/>
      <c r="S518" s="506"/>
      <c r="T518" s="506"/>
      <c r="U518" s="506"/>
      <c r="V518" s="506"/>
      <c r="W518" s="506">
        <f t="shared" si="160"/>
        <v>49155.82</v>
      </c>
    </row>
    <row r="519" spans="1:23" x14ac:dyDescent="0.2">
      <c r="A519" s="79"/>
      <c r="B519" s="79"/>
      <c r="C519" s="107"/>
      <c r="D519" s="516">
        <v>4300</v>
      </c>
      <c r="E519" s="160" t="s">
        <v>177</v>
      </c>
      <c r="F519" s="634">
        <v>16041</v>
      </c>
      <c r="G519" s="83">
        <v>11636.71</v>
      </c>
      <c r="H519" s="142">
        <f t="shared" si="157"/>
        <v>0.72543544666791338</v>
      </c>
      <c r="I519" s="1074">
        <v>16041</v>
      </c>
      <c r="J519" s="86">
        <v>13600</v>
      </c>
      <c r="K519" s="1109">
        <f t="shared" si="162"/>
        <v>0.8478274421794153</v>
      </c>
      <c r="L519" s="513" t="s">
        <v>351</v>
      </c>
      <c r="M519" s="505">
        <v>13600</v>
      </c>
      <c r="N519" s="505"/>
      <c r="O519" s="506"/>
      <c r="P519" s="505"/>
      <c r="Q519" s="505"/>
      <c r="R519" s="506"/>
      <c r="S519" s="506"/>
      <c r="T519" s="506"/>
      <c r="U519" s="506"/>
      <c r="V519" s="506"/>
      <c r="W519" s="506">
        <f t="shared" si="160"/>
        <v>13600</v>
      </c>
    </row>
    <row r="520" spans="1:23" hidden="1" x14ac:dyDescent="0.2">
      <c r="A520" s="79"/>
      <c r="B520" s="79"/>
      <c r="C520" s="80"/>
      <c r="D520" s="1073">
        <v>6050</v>
      </c>
      <c r="E520" s="249" t="s">
        <v>182</v>
      </c>
      <c r="F520" s="140">
        <v>0</v>
      </c>
      <c r="G520" s="141">
        <v>0</v>
      </c>
      <c r="H520" s="142">
        <v>0</v>
      </c>
      <c r="I520" s="209">
        <v>0</v>
      </c>
      <c r="J520" s="144">
        <v>0</v>
      </c>
      <c r="K520" s="1110">
        <v>0</v>
      </c>
      <c r="L520" s="803"/>
      <c r="M520" s="505"/>
      <c r="N520" s="505"/>
      <c r="O520" s="506"/>
      <c r="P520" s="505"/>
      <c r="Q520" s="505"/>
      <c r="R520" s="506"/>
      <c r="S520" s="506"/>
      <c r="T520" s="506"/>
      <c r="U520" s="506"/>
      <c r="V520" s="506"/>
      <c r="W520" s="506">
        <f t="shared" si="160"/>
        <v>0</v>
      </c>
    </row>
    <row r="521" spans="1:23" s="756" customFormat="1" x14ac:dyDescent="0.2">
      <c r="A521" s="531">
        <v>926</v>
      </c>
      <c r="B521" s="145"/>
      <c r="C521" s="145"/>
      <c r="D521" s="146"/>
      <c r="E521" s="620" t="s">
        <v>137</v>
      </c>
      <c r="F521" s="682">
        <f>F522+F532</f>
        <v>454218</v>
      </c>
      <c r="G521" s="150">
        <f>G522+G532</f>
        <v>358470.45</v>
      </c>
      <c r="H521" s="149">
        <f t="shared" si="157"/>
        <v>0.78920353222461459</v>
      </c>
      <c r="I521" s="196">
        <f>I522+I532</f>
        <v>442148.7</v>
      </c>
      <c r="J521" s="197">
        <f>J522+J532</f>
        <v>396442.24</v>
      </c>
      <c r="K521" s="1111">
        <f>J521/F521</f>
        <v>0.87280169434060295</v>
      </c>
      <c r="L521" s="1105"/>
      <c r="M521" s="576">
        <f t="shared" ref="M521:V521" si="166">M522+M532</f>
        <v>46692.24</v>
      </c>
      <c r="N521" s="576">
        <f t="shared" si="166"/>
        <v>0</v>
      </c>
      <c r="O521" s="576">
        <f t="shared" si="166"/>
        <v>0</v>
      </c>
      <c r="P521" s="576">
        <f t="shared" si="166"/>
        <v>0</v>
      </c>
      <c r="Q521" s="576">
        <f t="shared" si="166"/>
        <v>0</v>
      </c>
      <c r="R521" s="576">
        <f t="shared" si="166"/>
        <v>9000</v>
      </c>
      <c r="S521" s="576">
        <f t="shared" si="166"/>
        <v>0</v>
      </c>
      <c r="T521" s="576">
        <f t="shared" si="166"/>
        <v>246000</v>
      </c>
      <c r="U521" s="576">
        <f t="shared" si="166"/>
        <v>0</v>
      </c>
      <c r="V521" s="576">
        <f t="shared" si="166"/>
        <v>94750</v>
      </c>
      <c r="W521" s="576">
        <f>SUM(M521:V521)</f>
        <v>396442.24</v>
      </c>
    </row>
    <row r="522" spans="1:23" x14ac:dyDescent="0.2">
      <c r="A522" s="35"/>
      <c r="B522" s="198">
        <v>92601</v>
      </c>
      <c r="C522" s="548"/>
      <c r="D522" s="199"/>
      <c r="E522" s="350" t="s">
        <v>352</v>
      </c>
      <c r="F522" s="387">
        <f>SUM(F523:F531)</f>
        <v>184750</v>
      </c>
      <c r="G522" s="203">
        <f>SUM(G523:G531)</f>
        <v>131555.72</v>
      </c>
      <c r="H522" s="204">
        <f t="shared" si="157"/>
        <v>0.71207426251691475</v>
      </c>
      <c r="I522" s="203">
        <f>SUM(I523:I531)</f>
        <v>177891.14</v>
      </c>
      <c r="J522" s="205">
        <f>SUM(J523:J531)</f>
        <v>103750</v>
      </c>
      <c r="K522" s="1112">
        <f>J522/F522</f>
        <v>0.56156968876860625</v>
      </c>
      <c r="L522" s="1106"/>
      <c r="M522" s="685">
        <f t="shared" ref="M522:V522" si="167">SUM(M523:M531)</f>
        <v>0</v>
      </c>
      <c r="N522" s="685">
        <f t="shared" si="167"/>
        <v>0</v>
      </c>
      <c r="O522" s="685">
        <f t="shared" si="167"/>
        <v>0</v>
      </c>
      <c r="P522" s="685">
        <f t="shared" si="167"/>
        <v>0</v>
      </c>
      <c r="Q522" s="685">
        <f t="shared" si="167"/>
        <v>0</v>
      </c>
      <c r="R522" s="685">
        <f t="shared" si="167"/>
        <v>9000</v>
      </c>
      <c r="S522" s="685">
        <f t="shared" si="167"/>
        <v>0</v>
      </c>
      <c r="T522" s="685">
        <f t="shared" si="167"/>
        <v>0</v>
      </c>
      <c r="U522" s="685">
        <f t="shared" si="167"/>
        <v>0</v>
      </c>
      <c r="V522" s="685">
        <f t="shared" si="167"/>
        <v>94750</v>
      </c>
      <c r="W522" s="685">
        <f>SUM(M522:V522)</f>
        <v>103750</v>
      </c>
    </row>
    <row r="523" spans="1:23" x14ac:dyDescent="0.2">
      <c r="A523" s="79"/>
      <c r="B523" s="79"/>
      <c r="C523" s="303"/>
      <c r="D523" s="574">
        <v>4110</v>
      </c>
      <c r="E523" s="249" t="s">
        <v>174</v>
      </c>
      <c r="F523" s="530">
        <v>9200</v>
      </c>
      <c r="G523" s="141">
        <v>5562.35</v>
      </c>
      <c r="H523" s="142">
        <f t="shared" si="157"/>
        <v>0.60460326086956528</v>
      </c>
      <c r="I523" s="143">
        <v>8680.23</v>
      </c>
      <c r="J523" s="144">
        <v>9000</v>
      </c>
      <c r="K523" s="1094">
        <f>J523/F523</f>
        <v>0.97826086956521741</v>
      </c>
      <c r="L523" s="604" t="s">
        <v>353</v>
      </c>
      <c r="M523" s="505"/>
      <c r="N523" s="505"/>
      <c r="O523" s="506"/>
      <c r="P523" s="505"/>
      <c r="Q523" s="505"/>
      <c r="R523" s="506"/>
      <c r="S523" s="506"/>
      <c r="T523" s="506"/>
      <c r="U523" s="506"/>
      <c r="V523" s="141">
        <v>9000</v>
      </c>
      <c r="W523" s="506">
        <f>SUM(M523:V523)</f>
        <v>9000</v>
      </c>
    </row>
    <row r="524" spans="1:23" x14ac:dyDescent="0.2">
      <c r="A524" s="79"/>
      <c r="B524" s="79"/>
      <c r="C524" s="107"/>
      <c r="D524" s="514">
        <v>4120</v>
      </c>
      <c r="E524" s="109" t="s">
        <v>175</v>
      </c>
      <c r="F524" s="179">
        <v>1400</v>
      </c>
      <c r="G524" s="83">
        <v>703.11</v>
      </c>
      <c r="H524" s="142">
        <f t="shared" si="157"/>
        <v>0.5022214285714286</v>
      </c>
      <c r="I524" s="85">
        <v>1140.21</v>
      </c>
      <c r="J524" s="86">
        <v>1400</v>
      </c>
      <c r="K524" s="592">
        <f t="shared" si="162"/>
        <v>1</v>
      </c>
      <c r="L524" s="513" t="s">
        <v>353</v>
      </c>
      <c r="M524" s="505"/>
      <c r="N524" s="505"/>
      <c r="O524" s="506"/>
      <c r="P524" s="505"/>
      <c r="Q524" s="505"/>
      <c r="R524" s="506"/>
      <c r="S524" s="506"/>
      <c r="T524" s="506"/>
      <c r="U524" s="506"/>
      <c r="V524" s="83">
        <v>1400</v>
      </c>
      <c r="W524" s="506">
        <f t="shared" ref="W524:W531" si="168">SUM(M524:V524)</f>
        <v>1400</v>
      </c>
    </row>
    <row r="525" spans="1:23" x14ac:dyDescent="0.2">
      <c r="A525" s="79"/>
      <c r="B525" s="79"/>
      <c r="C525" s="107"/>
      <c r="D525" s="514">
        <v>4170</v>
      </c>
      <c r="E525" s="109" t="s">
        <v>184</v>
      </c>
      <c r="F525" s="110">
        <v>49800</v>
      </c>
      <c r="G525" s="83">
        <v>35607.300000000003</v>
      </c>
      <c r="H525" s="142">
        <f t="shared" si="157"/>
        <v>0.71500602409638558</v>
      </c>
      <c r="I525" s="85">
        <v>49450</v>
      </c>
      <c r="J525" s="86">
        <v>50000</v>
      </c>
      <c r="K525" s="592">
        <f t="shared" si="162"/>
        <v>1.0040160642570282</v>
      </c>
      <c r="L525" s="513" t="s">
        <v>354</v>
      </c>
      <c r="M525" s="505"/>
      <c r="N525" s="505"/>
      <c r="O525" s="506"/>
      <c r="P525" s="505"/>
      <c r="Q525" s="505"/>
      <c r="R525" s="506"/>
      <c r="S525" s="506"/>
      <c r="T525" s="506"/>
      <c r="U525" s="506"/>
      <c r="V525" s="83">
        <v>50000</v>
      </c>
      <c r="W525" s="506">
        <f t="shared" si="168"/>
        <v>50000</v>
      </c>
    </row>
    <row r="526" spans="1:23" x14ac:dyDescent="0.2">
      <c r="A526" s="79"/>
      <c r="B526" s="79"/>
      <c r="C526" s="107"/>
      <c r="D526" s="514">
        <v>4210</v>
      </c>
      <c r="E526" s="109" t="s">
        <v>176</v>
      </c>
      <c r="F526" s="179">
        <v>27150</v>
      </c>
      <c r="G526" s="83">
        <v>12164.11</v>
      </c>
      <c r="H526" s="142">
        <f t="shared" si="157"/>
        <v>0.44803351749539599</v>
      </c>
      <c r="I526" s="85">
        <v>26787.26</v>
      </c>
      <c r="J526" s="86">
        <v>14150</v>
      </c>
      <c r="K526" s="592">
        <f t="shared" si="162"/>
        <v>0.52117863720073665</v>
      </c>
      <c r="L526" s="513" t="s">
        <v>355</v>
      </c>
      <c r="M526" s="505"/>
      <c r="N526" s="505"/>
      <c r="O526" s="506"/>
      <c r="P526" s="505"/>
      <c r="Q526" s="505"/>
      <c r="R526" s="506"/>
      <c r="S526" s="506"/>
      <c r="T526" s="506"/>
      <c r="U526" s="506"/>
      <c r="V526" s="83">
        <v>14150</v>
      </c>
      <c r="W526" s="506">
        <f t="shared" si="168"/>
        <v>14150</v>
      </c>
    </row>
    <row r="527" spans="1:23" ht="22.5" x14ac:dyDescent="0.2">
      <c r="A527" s="79"/>
      <c r="B527" s="79"/>
      <c r="C527" s="107"/>
      <c r="D527" s="514">
        <v>4230</v>
      </c>
      <c r="E527" s="37" t="s">
        <v>231</v>
      </c>
      <c r="F527" s="179">
        <v>200</v>
      </c>
      <c r="G527" s="83">
        <v>0</v>
      </c>
      <c r="H527" s="142">
        <f t="shared" si="157"/>
        <v>0</v>
      </c>
      <c r="I527" s="85">
        <v>200</v>
      </c>
      <c r="J527" s="86">
        <v>200</v>
      </c>
      <c r="K527" s="592">
        <f t="shared" si="162"/>
        <v>1</v>
      </c>
      <c r="L527" s="513" t="s">
        <v>353</v>
      </c>
      <c r="M527" s="505"/>
      <c r="N527" s="505"/>
      <c r="O527" s="506"/>
      <c r="P527" s="505"/>
      <c r="Q527" s="505"/>
      <c r="R527" s="506"/>
      <c r="S527" s="506"/>
      <c r="T527" s="506"/>
      <c r="U527" s="506"/>
      <c r="V527" s="83">
        <v>200</v>
      </c>
      <c r="W527" s="506">
        <f t="shared" si="168"/>
        <v>200</v>
      </c>
    </row>
    <row r="528" spans="1:23" ht="19.5" x14ac:dyDescent="0.2">
      <c r="A528" s="79"/>
      <c r="B528" s="79"/>
      <c r="C528" s="107"/>
      <c r="D528" s="514">
        <v>4260</v>
      </c>
      <c r="E528" s="109" t="s">
        <v>185</v>
      </c>
      <c r="F528" s="110">
        <v>18000</v>
      </c>
      <c r="G528" s="83">
        <v>4264.95</v>
      </c>
      <c r="H528" s="142">
        <f t="shared" si="157"/>
        <v>0.23694166666666666</v>
      </c>
      <c r="I528" s="85">
        <v>12987.13</v>
      </c>
      <c r="J528" s="86">
        <v>14000</v>
      </c>
      <c r="K528" s="592">
        <f t="shared" si="162"/>
        <v>0.77777777777777779</v>
      </c>
      <c r="L528" s="513" t="s">
        <v>356</v>
      </c>
      <c r="M528" s="505"/>
      <c r="N528" s="505"/>
      <c r="O528" s="506"/>
      <c r="P528" s="505"/>
      <c r="Q528" s="505"/>
      <c r="R528" s="506">
        <v>5000</v>
      </c>
      <c r="S528" s="506"/>
      <c r="T528" s="506"/>
      <c r="U528" s="506"/>
      <c r="V528" s="506">
        <v>9000</v>
      </c>
      <c r="W528" s="506">
        <f t="shared" si="168"/>
        <v>14000</v>
      </c>
    </row>
    <row r="529" spans="1:23" ht="19.5" x14ac:dyDescent="0.2">
      <c r="A529" s="79"/>
      <c r="B529" s="79"/>
      <c r="C529" s="107"/>
      <c r="D529" s="516">
        <v>4300</v>
      </c>
      <c r="E529" s="160" t="s">
        <v>177</v>
      </c>
      <c r="F529" s="634">
        <v>13000</v>
      </c>
      <c r="G529" s="83">
        <v>8843.92</v>
      </c>
      <c r="H529" s="142">
        <f t="shared" si="157"/>
        <v>0.68030153846153851</v>
      </c>
      <c r="I529" s="85">
        <v>12826.33</v>
      </c>
      <c r="J529" s="86">
        <f>1000+11000</f>
        <v>12000</v>
      </c>
      <c r="K529" s="592">
        <f t="shared" si="162"/>
        <v>0.92307692307692313</v>
      </c>
      <c r="L529" s="513" t="s">
        <v>357</v>
      </c>
      <c r="M529" s="505"/>
      <c r="N529" s="505"/>
      <c r="O529" s="506"/>
      <c r="P529" s="505"/>
      <c r="Q529" s="505"/>
      <c r="R529" s="506">
        <v>1000</v>
      </c>
      <c r="S529" s="506"/>
      <c r="T529" s="506"/>
      <c r="U529" s="506"/>
      <c r="V529" s="506">
        <v>11000</v>
      </c>
      <c r="W529" s="506">
        <f t="shared" si="168"/>
        <v>12000</v>
      </c>
    </row>
    <row r="530" spans="1:23" x14ac:dyDescent="0.2">
      <c r="A530" s="79"/>
      <c r="B530" s="79"/>
      <c r="C530" s="107"/>
      <c r="D530" s="574">
        <v>4430</v>
      </c>
      <c r="E530" s="249" t="s">
        <v>180</v>
      </c>
      <c r="F530" s="170">
        <v>3000</v>
      </c>
      <c r="G530" s="141">
        <v>1410</v>
      </c>
      <c r="H530" s="142">
        <f t="shared" si="157"/>
        <v>0.47</v>
      </c>
      <c r="I530" s="143">
        <v>2820</v>
      </c>
      <c r="J530" s="144">
        <v>3000</v>
      </c>
      <c r="K530" s="1093">
        <f t="shared" si="162"/>
        <v>1</v>
      </c>
      <c r="L530" s="604" t="s">
        <v>358</v>
      </c>
      <c r="M530" s="505"/>
      <c r="N530" s="505"/>
      <c r="O530" s="506"/>
      <c r="P530" s="505"/>
      <c r="Q530" s="505"/>
      <c r="R530" s="506">
        <v>3000</v>
      </c>
      <c r="S530" s="506"/>
      <c r="T530" s="506"/>
      <c r="U530" s="506"/>
      <c r="V530" s="506"/>
      <c r="W530" s="506">
        <f t="shared" si="168"/>
        <v>3000</v>
      </c>
    </row>
    <row r="531" spans="1:23" ht="22.5" x14ac:dyDescent="0.2">
      <c r="A531" s="79"/>
      <c r="B531" s="206"/>
      <c r="C531" s="253"/>
      <c r="D531" s="516">
        <v>6060</v>
      </c>
      <c r="E531" s="262" t="s">
        <v>207</v>
      </c>
      <c r="F531" s="121">
        <v>63000</v>
      </c>
      <c r="G531" s="209">
        <v>62999.98</v>
      </c>
      <c r="H531" s="142">
        <f t="shared" si="157"/>
        <v>0.99999968253968263</v>
      </c>
      <c r="I531" s="209">
        <v>62999.98</v>
      </c>
      <c r="J531" s="144">
        <v>0</v>
      </c>
      <c r="K531" s="1093">
        <f t="shared" si="162"/>
        <v>0</v>
      </c>
      <c r="L531" s="604"/>
      <c r="M531" s="505"/>
      <c r="N531" s="505"/>
      <c r="O531" s="506"/>
      <c r="P531" s="505"/>
      <c r="Q531" s="505"/>
      <c r="R531" s="506"/>
      <c r="S531" s="506"/>
      <c r="T531" s="506"/>
      <c r="U531" s="506"/>
      <c r="V531" s="506"/>
      <c r="W531" s="506">
        <f t="shared" si="168"/>
        <v>0</v>
      </c>
    </row>
    <row r="532" spans="1:23" x14ac:dyDescent="0.2">
      <c r="A532" s="79"/>
      <c r="B532" s="198">
        <v>92695</v>
      </c>
      <c r="C532" s="548"/>
      <c r="D532" s="199"/>
      <c r="E532" s="350" t="s">
        <v>23</v>
      </c>
      <c r="F532" s="387">
        <f>SUM(F533:F538)</f>
        <v>269468</v>
      </c>
      <c r="G532" s="203">
        <f>SUM(G533:G538)</f>
        <v>226914.73</v>
      </c>
      <c r="H532" s="746">
        <f t="shared" si="157"/>
        <v>0.84208414357177852</v>
      </c>
      <c r="I532" s="203">
        <f>SUM(I533:I538)</f>
        <v>264257.56</v>
      </c>
      <c r="J532" s="205">
        <f>SUM(J533:J538)</f>
        <v>292692.24</v>
      </c>
      <c r="K532" s="1112">
        <f>J532/F532</f>
        <v>1.0861855211008358</v>
      </c>
      <c r="L532" s="1106">
        <f t="shared" ref="L532:V532" si="169">SUM(L533:L538)</f>
        <v>0</v>
      </c>
      <c r="M532" s="617">
        <f t="shared" si="169"/>
        <v>46692.24</v>
      </c>
      <c r="N532" s="617">
        <f t="shared" si="169"/>
        <v>0</v>
      </c>
      <c r="O532" s="617">
        <f t="shared" si="169"/>
        <v>0</v>
      </c>
      <c r="P532" s="617">
        <f t="shared" si="169"/>
        <v>0</v>
      </c>
      <c r="Q532" s="617">
        <f t="shared" si="169"/>
        <v>0</v>
      </c>
      <c r="R532" s="617">
        <f t="shared" si="169"/>
        <v>0</v>
      </c>
      <c r="S532" s="617">
        <f t="shared" si="169"/>
        <v>0</v>
      </c>
      <c r="T532" s="617">
        <f t="shared" si="169"/>
        <v>246000</v>
      </c>
      <c r="U532" s="617">
        <f t="shared" si="169"/>
        <v>0</v>
      </c>
      <c r="V532" s="617">
        <f t="shared" si="169"/>
        <v>0</v>
      </c>
      <c r="W532" s="617">
        <f>SUM(M532:V532)</f>
        <v>292692.24</v>
      </c>
    </row>
    <row r="533" spans="1:23" ht="56.25" x14ac:dyDescent="0.2">
      <c r="A533" s="79"/>
      <c r="B533" s="79"/>
      <c r="C533" s="79"/>
      <c r="D533" s="616">
        <v>2360</v>
      </c>
      <c r="E533" s="166" t="s">
        <v>294</v>
      </c>
      <c r="F533" s="349">
        <v>170000</v>
      </c>
      <c r="G533" s="141">
        <v>170000</v>
      </c>
      <c r="H533" s="142">
        <f>G533/F533</f>
        <v>1</v>
      </c>
      <c r="I533" s="143">
        <v>170000</v>
      </c>
      <c r="J533" s="144">
        <v>177000</v>
      </c>
      <c r="K533" s="1094">
        <f t="shared" si="162"/>
        <v>1.0411764705882354</v>
      </c>
      <c r="L533" s="604"/>
      <c r="M533" s="505"/>
      <c r="N533" s="505"/>
      <c r="O533" s="506"/>
      <c r="P533" s="505"/>
      <c r="Q533" s="505"/>
      <c r="R533" s="506"/>
      <c r="S533" s="506"/>
      <c r="T533" s="506">
        <v>177000</v>
      </c>
      <c r="U533" s="506"/>
      <c r="V533" s="506"/>
      <c r="W533" s="506">
        <f>SUM(M533:V533)</f>
        <v>177000</v>
      </c>
    </row>
    <row r="534" spans="1:23" x14ac:dyDescent="0.2">
      <c r="A534" s="79"/>
      <c r="B534" s="79"/>
      <c r="C534" s="107"/>
      <c r="D534" s="514">
        <v>4110</v>
      </c>
      <c r="E534" s="249" t="s">
        <v>174</v>
      </c>
      <c r="F534" s="179">
        <v>500</v>
      </c>
      <c r="G534" s="83">
        <v>206.28</v>
      </c>
      <c r="H534" s="142">
        <f t="shared" ref="H534:H538" si="170">G534/F534</f>
        <v>0.41255999999999998</v>
      </c>
      <c r="I534" s="85">
        <v>412.56</v>
      </c>
      <c r="J534" s="86">
        <v>500</v>
      </c>
      <c r="K534" s="1094">
        <f t="shared" si="162"/>
        <v>1</v>
      </c>
      <c r="L534" s="513"/>
      <c r="M534" s="505"/>
      <c r="N534" s="505"/>
      <c r="O534" s="506"/>
      <c r="P534" s="505"/>
      <c r="Q534" s="505"/>
      <c r="R534" s="506"/>
      <c r="S534" s="506"/>
      <c r="T534" s="506">
        <v>500</v>
      </c>
      <c r="U534" s="506"/>
      <c r="V534" s="506"/>
      <c r="W534" s="506">
        <f t="shared" ref="W534:W538" si="171">SUM(M534:V534)</f>
        <v>500</v>
      </c>
    </row>
    <row r="535" spans="1:23" x14ac:dyDescent="0.2">
      <c r="A535" s="79"/>
      <c r="B535" s="79"/>
      <c r="C535" s="253"/>
      <c r="D535" s="516">
        <v>4170</v>
      </c>
      <c r="E535" s="160" t="s">
        <v>184</v>
      </c>
      <c r="F535" s="161">
        <v>24500</v>
      </c>
      <c r="G535" s="83">
        <v>6980</v>
      </c>
      <c r="H535" s="142">
        <f t="shared" si="170"/>
        <v>0.28489795918367344</v>
      </c>
      <c r="I535" s="85">
        <v>20940</v>
      </c>
      <c r="J535" s="86">
        <v>24500</v>
      </c>
      <c r="K535" s="1109">
        <f t="shared" si="162"/>
        <v>1</v>
      </c>
      <c r="L535" s="513"/>
      <c r="M535" s="505"/>
      <c r="N535" s="505"/>
      <c r="O535" s="506"/>
      <c r="P535" s="505"/>
      <c r="Q535" s="505"/>
      <c r="R535" s="506"/>
      <c r="S535" s="506"/>
      <c r="T535" s="506">
        <v>24500</v>
      </c>
      <c r="U535" s="506"/>
      <c r="V535" s="506"/>
      <c r="W535" s="506">
        <f t="shared" si="171"/>
        <v>24500</v>
      </c>
    </row>
    <row r="536" spans="1:23" ht="19.5" x14ac:dyDescent="0.2">
      <c r="A536" s="79"/>
      <c r="B536" s="79"/>
      <c r="C536" s="206"/>
      <c r="D536" s="391">
        <v>4210</v>
      </c>
      <c r="E536" s="163" t="s">
        <v>176</v>
      </c>
      <c r="F536" s="164">
        <v>54068</v>
      </c>
      <c r="G536" s="141">
        <v>34899.67</v>
      </c>
      <c r="H536" s="142">
        <f t="shared" si="170"/>
        <v>0.64547736184064508</v>
      </c>
      <c r="I536" s="143">
        <v>54000</v>
      </c>
      <c r="J536" s="144">
        <f>26000+42092.24</f>
        <v>68092.239999999991</v>
      </c>
      <c r="K536" s="1094">
        <f t="shared" si="162"/>
        <v>1.2593815195679512</v>
      </c>
      <c r="L536" s="513" t="s">
        <v>359</v>
      </c>
      <c r="M536" s="505">
        <v>42092.24</v>
      </c>
      <c r="N536" s="505"/>
      <c r="O536" s="506"/>
      <c r="P536" s="505"/>
      <c r="Q536" s="505"/>
      <c r="R536" s="506"/>
      <c r="S536" s="506"/>
      <c r="T536" s="506">
        <v>26000</v>
      </c>
      <c r="U536" s="506"/>
      <c r="V536" s="506"/>
      <c r="W536" s="506">
        <f t="shared" si="171"/>
        <v>68092.239999999991</v>
      </c>
    </row>
    <row r="537" spans="1:23" ht="19.5" x14ac:dyDescent="0.2">
      <c r="A537" s="79"/>
      <c r="B537" s="79"/>
      <c r="C537" s="303"/>
      <c r="D537" s="574">
        <v>4300</v>
      </c>
      <c r="E537" s="249" t="s">
        <v>177</v>
      </c>
      <c r="F537" s="573">
        <v>13400</v>
      </c>
      <c r="G537" s="141">
        <v>9323.7800000000007</v>
      </c>
      <c r="H537" s="142">
        <f t="shared" si="170"/>
        <v>0.69580447761194031</v>
      </c>
      <c r="I537" s="143">
        <v>13400</v>
      </c>
      <c r="J537" s="144">
        <f>11000+4600</f>
        <v>15600</v>
      </c>
      <c r="K537" s="1094">
        <f t="shared" si="162"/>
        <v>1.164179104477612</v>
      </c>
      <c r="L537" s="604" t="s">
        <v>360</v>
      </c>
      <c r="M537" s="505">
        <v>4600</v>
      </c>
      <c r="N537" s="505"/>
      <c r="O537" s="506"/>
      <c r="P537" s="505"/>
      <c r="Q537" s="505"/>
      <c r="R537" s="506"/>
      <c r="S537" s="506"/>
      <c r="T537" s="506">
        <v>11000</v>
      </c>
      <c r="U537" s="506"/>
      <c r="V537" s="506"/>
      <c r="W537" s="506">
        <f t="shared" si="171"/>
        <v>15600</v>
      </c>
    </row>
    <row r="538" spans="1:23" ht="13.5" thickBot="1" x14ac:dyDescent="0.25">
      <c r="A538" s="206"/>
      <c r="B538" s="206"/>
      <c r="C538" s="253"/>
      <c r="D538" s="516">
        <v>4430</v>
      </c>
      <c r="E538" s="160" t="s">
        <v>180</v>
      </c>
      <c r="F538" s="634">
        <v>7000</v>
      </c>
      <c r="G538" s="83">
        <v>5505</v>
      </c>
      <c r="H538" s="142">
        <f t="shared" si="170"/>
        <v>0.78642857142857148</v>
      </c>
      <c r="I538" s="85">
        <v>5505</v>
      </c>
      <c r="J538" s="86">
        <v>7000</v>
      </c>
      <c r="K538" s="1109">
        <f t="shared" si="162"/>
        <v>1</v>
      </c>
      <c r="L538" s="513"/>
      <c r="M538" s="505"/>
      <c r="N538" s="505"/>
      <c r="O538" s="506"/>
      <c r="P538" s="505"/>
      <c r="Q538" s="505"/>
      <c r="R538" s="506"/>
      <c r="S538" s="506"/>
      <c r="T538" s="506">
        <v>7000</v>
      </c>
      <c r="U538" s="506"/>
      <c r="V538" s="506"/>
      <c r="W538" s="506">
        <f t="shared" si="171"/>
        <v>7000</v>
      </c>
    </row>
    <row r="539" spans="1:23" ht="15.75" thickBot="1" x14ac:dyDescent="0.25">
      <c r="A539" s="1225" t="s">
        <v>138</v>
      </c>
      <c r="B539" s="1226"/>
      <c r="C539" s="1226"/>
      <c r="D539" s="1226"/>
      <c r="E539" s="1227"/>
      <c r="F539" s="1228">
        <f>F521+F487+F453+F434+F349+F331+F195+F189+F186+F156+F135+F71+F65+F48+F41+F25+F19+F4+F431</f>
        <v>52276915.990000002</v>
      </c>
      <c r="G539" s="1228">
        <f>G521+G487+G453+G434+G349+G331+G195+G189+G186+G156+G135+G71+G65+G48+G41+G25+G19+G4+G431</f>
        <v>38075981.240000002</v>
      </c>
      <c r="H539" s="1229">
        <f>G539/F539</f>
        <v>0.72835171162896295</v>
      </c>
      <c r="I539" s="1230">
        <f>I521+I487+I453+I434+I349+I331+I195+I189+I186+I156+I135+I71+I65+I48+I41+I25+I19+I4+I431</f>
        <v>50485257.401000001</v>
      </c>
      <c r="J539" s="1231">
        <f>J521+J487+J453+J434+J349+J331+J195+J189+J186+J156+J135+J71+J65+J48+J41+J25+J19+J4+J431</f>
        <v>47245773.730000004</v>
      </c>
      <c r="K539" s="1232">
        <f>J539/F539</f>
        <v>0.90375977303323707</v>
      </c>
      <c r="L539" s="1113"/>
      <c r="M539" s="804">
        <f t="shared" ref="M539:W539" si="172">M521+M487+M453+M195+M156+M25+M4+M19+M41+M65+M135+M189+M331+M349+M431+M434+M186+M71+M48</f>
        <v>253121.45</v>
      </c>
      <c r="N539" s="804">
        <f t="shared" si="172"/>
        <v>225000</v>
      </c>
      <c r="O539" s="804">
        <f t="shared" si="172"/>
        <v>3562266</v>
      </c>
      <c r="P539" s="804">
        <f t="shared" si="172"/>
        <v>757380</v>
      </c>
      <c r="Q539" s="804">
        <f t="shared" si="172"/>
        <v>958924.13</v>
      </c>
      <c r="R539" s="804">
        <f t="shared" si="172"/>
        <v>9525980.1500000004</v>
      </c>
      <c r="S539" s="804">
        <f t="shared" si="172"/>
        <v>285000</v>
      </c>
      <c r="T539" s="804">
        <f t="shared" si="172"/>
        <v>2744490</v>
      </c>
      <c r="U539" s="804">
        <f t="shared" si="172"/>
        <v>8592290</v>
      </c>
      <c r="V539" s="804">
        <f t="shared" si="172"/>
        <v>20341322</v>
      </c>
      <c r="W539" s="804">
        <f t="shared" si="172"/>
        <v>47245773.729999997</v>
      </c>
    </row>
    <row r="540" spans="1:23" x14ac:dyDescent="0.2">
      <c r="A540" s="805"/>
      <c r="B540" s="806"/>
      <c r="C540" s="806"/>
      <c r="D540" s="806"/>
      <c r="E540" s="806" t="s">
        <v>139</v>
      </c>
      <c r="F540" s="807"/>
      <c r="G540" s="807"/>
      <c r="H540" s="808"/>
      <c r="I540" s="807"/>
      <c r="J540" s="807"/>
      <c r="K540" s="809"/>
      <c r="L540" s="810"/>
      <c r="M540" s="1177">
        <f>M539+N539+O539+P539+Q539+R539+S539+T539</f>
        <v>18312161.73</v>
      </c>
      <c r="N540" s="1178"/>
      <c r="O540" s="1178"/>
      <c r="P540" s="1178"/>
      <c r="Q540" s="1178"/>
      <c r="R540" s="1178"/>
      <c r="S540" s="1178"/>
      <c r="T540" s="1179"/>
      <c r="U540" s="811">
        <f>U539</f>
        <v>8592290</v>
      </c>
      <c r="V540" s="811">
        <f>V539</f>
        <v>20341322</v>
      </c>
      <c r="W540" s="811">
        <f>M540+U540+V540</f>
        <v>47245773.730000004</v>
      </c>
    </row>
    <row r="541" spans="1:23" ht="15" x14ac:dyDescent="0.2">
      <c r="A541" s="1239"/>
      <c r="B541" s="1240"/>
      <c r="C541" s="1240"/>
      <c r="D541" s="1240"/>
      <c r="E541" s="1241" t="s">
        <v>400</v>
      </c>
      <c r="F541" s="1242">
        <f>F539-F549</f>
        <v>46067072.670000002</v>
      </c>
      <c r="G541" s="1242">
        <f>G539-G549</f>
        <v>33047488.380000003</v>
      </c>
      <c r="H541" s="1243">
        <f>G541/F541</f>
        <v>0.71737765099021222</v>
      </c>
      <c r="I541" s="1244">
        <f>I539-I549</f>
        <v>44846394.700999998</v>
      </c>
      <c r="J541" s="1245">
        <f>J539-J549</f>
        <v>45739773.730000004</v>
      </c>
      <c r="K541" s="1246">
        <f>J541/F541</f>
        <v>0.99289516522257459</v>
      </c>
      <c r="L541" s="1114"/>
      <c r="M541" s="812">
        <f>M539-M549</f>
        <v>239121.45</v>
      </c>
      <c r="N541" s="812">
        <f>N539-N549</f>
        <v>225000</v>
      </c>
      <c r="O541" s="812">
        <f>O539-O549</f>
        <v>2782266</v>
      </c>
      <c r="P541" s="812">
        <f>P539-P549</f>
        <v>393100</v>
      </c>
      <c r="Q541" s="812">
        <f>Q539-Q549</f>
        <v>953924.13</v>
      </c>
      <c r="R541" s="812">
        <f>R539-R549</f>
        <v>9325980.1500000004</v>
      </c>
      <c r="S541" s="812">
        <f>S539-S549</f>
        <v>285000</v>
      </c>
      <c r="T541" s="812">
        <f>T539-T549</f>
        <v>2601770</v>
      </c>
      <c r="U541" s="812">
        <f>U539-U549</f>
        <v>8592290</v>
      </c>
      <c r="V541" s="812">
        <f>V539-V549</f>
        <v>20341322</v>
      </c>
      <c r="W541" s="812">
        <f>W539-W549</f>
        <v>45739773.729999997</v>
      </c>
    </row>
    <row r="542" spans="1:23" x14ac:dyDescent="0.2">
      <c r="A542" s="1250"/>
      <c r="B542" s="1251"/>
      <c r="C542" s="1251"/>
      <c r="D542" s="1251"/>
      <c r="E542" s="1296" t="s">
        <v>151</v>
      </c>
      <c r="F542" s="1296"/>
      <c r="G542" s="1296"/>
      <c r="H542" s="1296"/>
      <c r="I542" s="1296"/>
      <c r="J542" s="1296"/>
      <c r="K542" s="1297"/>
      <c r="L542" s="1114"/>
      <c r="M542" s="812"/>
      <c r="N542" s="812"/>
      <c r="O542" s="812"/>
      <c r="P542" s="812"/>
      <c r="Q542" s="812"/>
      <c r="R542" s="812"/>
      <c r="S542" s="812"/>
      <c r="T542" s="812"/>
      <c r="U542" s="812"/>
      <c r="V542" s="812"/>
      <c r="W542" s="812"/>
    </row>
    <row r="543" spans="1:23" x14ac:dyDescent="0.2">
      <c r="A543" s="1250"/>
      <c r="B543" s="1251"/>
      <c r="C543" s="1251"/>
      <c r="D543" s="1251"/>
      <c r="E543" s="1252" t="s">
        <v>410</v>
      </c>
      <c r="F543" s="1253">
        <f>F544+F545</f>
        <v>31630230.99000001</v>
      </c>
      <c r="G543" s="1253">
        <f t="shared" ref="G543:J543" si="173">G544+G545</f>
        <v>22048856.710000008</v>
      </c>
      <c r="H543" s="1285">
        <f>G543/F543</f>
        <v>0.69708174805839451</v>
      </c>
      <c r="I543" s="1269">
        <f>I544+I545</f>
        <v>30708226.721000008</v>
      </c>
      <c r="J543" s="1274">
        <f t="shared" si="173"/>
        <v>31931446.669999994</v>
      </c>
      <c r="K543" s="1286">
        <f>J543/F543</f>
        <v>1.009523031308093</v>
      </c>
      <c r="L543" s="1114"/>
      <c r="M543" s="812"/>
      <c r="N543" s="812"/>
      <c r="O543" s="812"/>
      <c r="P543" s="812"/>
      <c r="Q543" s="812"/>
      <c r="R543" s="812"/>
      <c r="S543" s="812"/>
      <c r="T543" s="812"/>
      <c r="U543" s="812"/>
      <c r="V543" s="812"/>
      <c r="W543" s="812"/>
    </row>
    <row r="544" spans="1:23" x14ac:dyDescent="0.2">
      <c r="A544" s="1250"/>
      <c r="B544" s="1251"/>
      <c r="C544" s="1251"/>
      <c r="D544" s="1251"/>
      <c r="E544" s="1254" t="s">
        <v>408</v>
      </c>
      <c r="F544" s="1255">
        <f>F534+F525+F524+F523+F517+F440+F439+F438+F437+F419++F418+F400+F398+F397+F396+F395+F370+F369+F368+F367+F351+F339+F338+F337+F333+F319+F318+F317+F316+F301+F300+F299+F298+F297+F278+F277+F276+F275+F274+F253+F252+F251+F250+F249+F225+F224+F223+F222+F204+F203+F202+F201+F200+F164+F163+F139+F138+F137+F133+F104+F99+F95+F91+F88+F76+F75+F73+F67+F22+F12+F11+F10+F128+F356+F357+F358+F359+F165+F21+F74+F516+F494+F495+F496+F489+F150+F151+F152+F144+F143+F142+F426+F427+F428+F535+F292</f>
        <v>19083489.800000004</v>
      </c>
      <c r="G544" s="1255">
        <f t="shared" ref="G544:J544" si="174">G534+G525+G524+G523+G517+G440+G439+G438+G437+G419++G418+G400+G398+G397+G396+G395+G370+G369+G368+G367+G351+G339+G338+G337+G333+G319+G318+G317+G316+G301+G300+G299+G298+G297+G278+G277+G276+G275+G274+G253+G252+G251+G250+G249+G225+G224+G223+G222+G204+G203+G202+G201+G200+G164+G163+G139+G138+G137+G133+G104+G99+G95+G91+G88+G76+G75+G73+G67+G22+G12+G11+G10+G128+G356+G357+G358+G359+G165+G21+G74+G516+G494+G495+G496+G489+G150+G151+G152+G144+G143+G142+G426+G427+G428+G535+G292</f>
        <v>14287283.670000007</v>
      </c>
      <c r="H544" s="1285">
        <f t="shared" ref="H544:H548" si="175">G544/F544</f>
        <v>0.74867248180152057</v>
      </c>
      <c r="I544" s="1270">
        <f t="shared" si="174"/>
        <v>18911624.261000004</v>
      </c>
      <c r="J544" s="1275">
        <f t="shared" si="174"/>
        <v>20118216.329999998</v>
      </c>
      <c r="K544" s="1286">
        <f t="shared" ref="K544:K548" si="176">J544/F544</f>
        <v>1.054221032989469</v>
      </c>
      <c r="L544" s="1115"/>
      <c r="M544" s="813">
        <f>M534+M525+M524+M523+M517+M440+M439+M438+M437+M419++M418+M400+M398+M397+M396+M395+M370+M369+M368+M367+M351+M339+M338+M337+M333+M319+M318+M317+M316+M301+M300+M299+M298+M297+M278+M277+M276+M275+M274+M253+M252+M251+M250+M249+M225+M224+M223+M222+M204+M203+M202+M201+M200+M164+M163+M139+M138+M137+M133+M104+M99+M95+M91+M88+M76+M75+M73+M67+M22+M12+M11+M10+M128+M356+M357+M358+M359+M165+M21+M74+M516+M494+M495+M496+M489+M150+M151+M152+M144+M143+M142+M426+M427+M428+M535+M292</f>
        <v>6840</v>
      </c>
      <c r="N544" s="813">
        <f>N534+N525+N524+N523+N517+N440+N439+N438+N437+N419++N418+N400+N398+N397+N396+N395+N370+N369+N368+N367+N351+N339+N338+N337+N333+N319+N318+N317+N316+N301+N300+N299+N298+N297+N278+N277+N276+N275+N274+N253+N252+N251+N250+N249+N225+N224+N223+N222+N204+N203+N202+N201+N200+N164+N163+N139+N138+N137+N133+N104+N99+N95+N91+N88+N76+N75+N73+N67+N22+N12+N11+N10+N128+N356+N357+N358+N359+N165+N21+N74+N516+N494+N495+N496+N489+N150+N151+N152+N144+N143+N142+N426+N427+N428+N535+N292</f>
        <v>0</v>
      </c>
      <c r="O544" s="813">
        <f>O534+O525+O524+O523+O517+O440+O439+O438+O437+O419++O418+O400+O398+O397+O396+O395+O370+O369+O368+O367+O351+O339+O338+O337+O333+O319+O318+O317+O316+O301+O300+O299+O298+O297+O278+O277+O276+O275+O274+O253+O252+O251+O250+O249+O225+O224+O223+O222+O204+O203+O202+O201+O200+O164+O163+O139+O138+O137+O133+O104+O99+O95+O91+O88+O76+O75+O73+O67+O22+O12+O11+O10+O128+O356+O357+O358+O359+O165+O21+O74+O516+O494+O495+O496+O489+O150+O151+O152+O144+O143+O142+O426+O427+O428+O535+O292</f>
        <v>3520</v>
      </c>
      <c r="P544" s="813">
        <f t="shared" ref="P544:W544" si="177">P534+P525+P524+P523+P517+P440+P439+P438+P437+P419++P418+P400+P398+P397+P396+P395+P370+P369+P368+P367+P351+P339+P338+P337+P333+P319+P318+P317+P316+P301+P300+P299+P298+P297+P278+P277+P276+P275+P274+P253+P252+P251+P250+P249+P225+P224+P223+P222+P204+P203+P202+P201+P200+P164+P163+P139+P138+P137+P133+P104+P99+P95+P91+P88+P76+P75+P73+P67+P22+P12+P11+P10+P128+P356+P357+P358+P359+P165+P21+P74+P516+P494+P495+P496+P489+P150+P151+P152+P144+P143+P142+P426+P427+P428+P535+P292</f>
        <v>0</v>
      </c>
      <c r="Q544" s="813">
        <f t="shared" si="177"/>
        <v>9000</v>
      </c>
      <c r="R544" s="813">
        <f t="shared" si="177"/>
        <v>3182112.33</v>
      </c>
      <c r="S544" s="813">
        <f t="shared" si="177"/>
        <v>108790</v>
      </c>
      <c r="T544" s="813">
        <f t="shared" si="177"/>
        <v>27000</v>
      </c>
      <c r="U544" s="813">
        <f t="shared" si="177"/>
        <v>1472603</v>
      </c>
      <c r="V544" s="813">
        <f t="shared" si="177"/>
        <v>15308351</v>
      </c>
      <c r="W544" s="813">
        <f t="shared" si="177"/>
        <v>20118216.329999998</v>
      </c>
    </row>
    <row r="545" spans="1:27" ht="22.5" x14ac:dyDescent="0.2">
      <c r="A545" s="1250"/>
      <c r="B545" s="1251"/>
      <c r="C545" s="1251"/>
      <c r="D545" s="1251"/>
      <c r="E545" s="1256" t="s">
        <v>409</v>
      </c>
      <c r="F545" s="1257">
        <f>F538+F537+F536+F530+F529+F528+F527+F526+F519+F518+F510+F502+F501+F500+F499+F498+F497+F491+F490+F483+F482+F481+F480+F479+F477+F474+F473+F471+F470+F467+F466+F465+F461+F460+F459+F456+F455+F452+F448+F446+F445+F444+F443+F442+F441+F430+F429+F421+F420+F417+F414+F413+F412+F411+F409+F410+F408+F407+F406+F405+F404+F403+F402+F401+F399+F391+F385+F384+F382+F381+F380+F379+F378+F377+F376+F375+F374+F373+F372+F371+F365+F363+F362+F361+F360+F353+F352+F348+F346+F345+F344+F343+F342+F341+F340+F334+F330+F329+F326+F325+F324+F323+F322+F321+F320+F314+F313+F312+F310+F309+F308+F307+F306+F305+F304+F303+F302+F294+F293+F290+F289+F288+F287+F286+F285+F284+F283+F282+F281+F280+F279+F268+F267+F266+F265+F264+F263+F262+F261+F260+F259+F258+F257+F256+F255+F254+F233+F232+F231+F230+F229+F228+F227+F226+F218+F217+F216+F215+F214+F213+F212+F211+F210+F209+F208+F207+F206+F205+F191+F184+F183+F182+F179+F178+F177+F173+F172+F171+F170+F169+F168+F167+F166+F158+F155+F154+F153+F147+F146+F145+F134+F130+F129+F122+F121+F120+F119+F118+F117+F116+F115+F114+F113+F112+F111+F110+F109+F108+F107+F106+F105+F103+F85+F84+F83+F79+F78+F77+F70+F68+F63+F62+F61+F60+F59+F58+F57+F56+F55+F54+F53+F52+F44+F43+F39+F38+F37+F36+F35+F28+F24+F23+F17++F16+F15+F14+F13+F463+F8+F126</f>
        <v>12546741.190000003</v>
      </c>
      <c r="G545" s="1257">
        <f t="shared" ref="G545:J545" si="178">G538+G537+G536+G530+G529+G528+G527+G526+G519+G518+G510+G502+G501+G500+G499+G498+G497+G491+G490+G483+G482+G481+G480+G479+G477+G474+G473+G471+G470+G467+G466+G465+G461+G460+G459+G456+G455+G452+G448+G446+G445+G444+G443+G442+G441+G430+G429+G421+G420+G417+G414+G413+G412+G411+G409+G410+G408+G407+G406+G405+G404+G403+G402+G401+G399+G391+G385+G384+G382+G381+G380+G379+G378+G377+G376+G375+G374+G373+G372+G371+G365+G363+G362+G361+G360+G353+G352+G348+G346+G345+G344+G343+G342+G341+G340+G334+G330+G329+G326+G325+G324+G323+G322+G321+G320+G314+G313+G312+G310+G309+G308+G307+G306+G305+G304+G303+G302+G294+G293+G290+G289+G288+G287+G286+G285+G284+G283+G282+G281+G280+G279+G268+G267+G266+G265+G264+G263+G262+G261+G260+G259+G258+G257+G256+G255+G254+G233+G232+G231+G230+G229+G228+G227+G226+G218+G217+G216+G215+G214+G213+G212+G211+G210+G209+G208+G207+G206+G205+G191+G184+G183+G182+G179+G178+G177+G173+G172+G171+G170+G169+G168+G167+G166+G158+G155+G154+G153+G147+G146+G145+G134+G130+G129+G122+G121+G120+G119+G118+G117+G116+G115+G114+G113+G112+G111+G110+G109+G108+G107+G106+G105+G103+G85+G84+G83+G79+G78+G77+G70+G68+G63+G62+G61+G60+G59+G58+G57+G56+G55+G54+G53+G52+G44+G43+G39+G38+G37+G36+G35+G28+G24+G23+G17++G16+G15+G14+G13+G463+G8+G126</f>
        <v>7761573.04</v>
      </c>
      <c r="H545" s="1285">
        <f t="shared" si="175"/>
        <v>0.61861266782055924</v>
      </c>
      <c r="I545" s="1271">
        <f>I538+I537+I536+I530+I529+I528+I527+I526+I519+I518+I510+I502+I501+I500+I499+I498+I497+I491+I490+I483+I482+I481+I480+I479+I477+I474+I473+I471+I470+I467+I466+I465+I461+I460+I459+I456+I455+I452+I448+I446+I445+I444+I443+I442+I441+I430+I429+I421+I420+I417+I414+I413+I412+I411+I409+I410+I408+I407+I406+I405+I404+I403+I402+I401+I399+I391+I385+I384+I382+I381+I380+I379+I378+I377+I376+I375+I374+I373+I372+I371+I365+I363+I362+I361+I360+I353+I352+I348+I346+I345+I344+I343+I342+I341+I340+I334+I330+I329+I326+I325+I324+I323+I322+I321+I320+I314+I313+I312+I310+I309+I308+I307+I306+I305+I304+I303+I302+I294+I293+I290+I289+I288+I287+I286+I285+I284+I283+I282+I281+I280+I279+I268+I267+I266+I265+I264+I263+I262+I261+I260+I259+I258+I257+I256+I255+I254+I233+I232+I231+I230+I229+I228+I227+I226+I218+I217+I216+I215+I214+I213+I212+I211+I210+I209+I208+I207+I206+I205+I191+I184+I183+I182+I179+I178+I177+I173+I172+I171+I170+I169+I168+I167+I166+I158+I155+I154+I153+I147+I146+I145+I134+I130+I129+I122+I121+I120+I119+I118+I117+I116+I115+I114+I113+I112+I111+I110+I109+I108+I107+I106+I105+I103+I85+I84+I83+I79+I78+I77+I70+I68+I63+I62+I61+I60+I59+I58+I57+I56+I55+I54+I53+I52+I44+I43+I39+I38+I37+I36+I35+I28+I24+I23+I17++I16+I15+I14+I13+I463+I8+I126</f>
        <v>11796602.460000005</v>
      </c>
      <c r="J545" s="1276">
        <f t="shared" si="178"/>
        <v>11813230.339999998</v>
      </c>
      <c r="K545" s="1286">
        <f t="shared" si="176"/>
        <v>0.94153773964950938</v>
      </c>
      <c r="L545" s="1115"/>
      <c r="M545" s="813"/>
      <c r="N545" s="813"/>
      <c r="O545" s="813"/>
      <c r="P545" s="813"/>
      <c r="Q545" s="813"/>
      <c r="R545" s="813"/>
      <c r="S545" s="813"/>
      <c r="T545" s="813"/>
      <c r="U545" s="813"/>
      <c r="V545" s="813"/>
      <c r="W545" s="813"/>
    </row>
    <row r="546" spans="1:27" x14ac:dyDescent="0.2">
      <c r="A546" s="1250"/>
      <c r="B546" s="1251"/>
      <c r="C546" s="1251"/>
      <c r="D546" s="1251"/>
      <c r="E546" s="1258" t="s">
        <v>411</v>
      </c>
      <c r="F546" s="1259">
        <f>F533+F514+F512+F493+F336+F270+F271+F243+F236+F220+F197+F161+F50+F32+F27+F6+F509+F469+F458</f>
        <v>5414027.6200000001</v>
      </c>
      <c r="G546" s="1259">
        <f t="shared" ref="G546:J546" si="179">G533+G514+G512+G493+G336+G270+G271+G243+G236+G220+G197+G161+G50+G32+G27+G6+G509+G469+G458</f>
        <v>4025653.8300000005</v>
      </c>
      <c r="H546" s="1285">
        <f t="shared" si="175"/>
        <v>0.74355989894266561</v>
      </c>
      <c r="I546" s="1272">
        <f t="shared" si="179"/>
        <v>5187450.32</v>
      </c>
      <c r="J546" s="1277">
        <f t="shared" si="179"/>
        <v>5721753.8200000003</v>
      </c>
      <c r="K546" s="1286">
        <f t="shared" si="176"/>
        <v>1.0568386830653074</v>
      </c>
      <c r="L546" s="1115"/>
      <c r="M546" s="813"/>
      <c r="N546" s="813"/>
      <c r="O546" s="813"/>
      <c r="P546" s="813"/>
      <c r="Q546" s="813"/>
      <c r="R546" s="813"/>
      <c r="S546" s="813"/>
      <c r="T546" s="813"/>
      <c r="U546" s="813"/>
      <c r="V546" s="813"/>
      <c r="W546" s="813"/>
    </row>
    <row r="547" spans="1:27" x14ac:dyDescent="0.2">
      <c r="A547" s="1250"/>
      <c r="B547" s="1251"/>
      <c r="C547" s="1251"/>
      <c r="D547" s="1251"/>
      <c r="E547" s="1260" t="s">
        <v>412</v>
      </c>
      <c r="F547" s="1259">
        <f>F450+F449+F436+F425+F423+F394+F389+F392+F387+F366+F355+F296+F272+F248+F221+F198+F199+F181+F162+F149+F141+F132+F87+F81+F82+F273</f>
        <v>8449231.0599999987</v>
      </c>
      <c r="G547" s="1259">
        <f t="shared" ref="G547:J547" si="180">G450+G449+G436+G425+G423+G394+G389+G392+G387+G366+G355+G296+G272+G248+G221+G198+G199+G181+G162+G149+G141+G132+G87+G81+G82+G273</f>
        <v>6620744.1899999995</v>
      </c>
      <c r="H547" s="1285">
        <f t="shared" si="175"/>
        <v>0.78359132836876166</v>
      </c>
      <c r="I547" s="1272">
        <f t="shared" si="180"/>
        <v>8444605.0700000003</v>
      </c>
      <c r="J547" s="1277">
        <f t="shared" si="180"/>
        <v>7619373.2400000002</v>
      </c>
      <c r="K547" s="1286">
        <f t="shared" si="176"/>
        <v>0.90178303633703694</v>
      </c>
      <c r="L547" s="1115"/>
      <c r="M547" s="813"/>
      <c r="N547" s="813"/>
      <c r="O547" s="813"/>
      <c r="P547" s="813"/>
      <c r="Q547" s="813"/>
      <c r="R547" s="813"/>
      <c r="S547" s="813"/>
      <c r="T547" s="813"/>
      <c r="U547" s="813"/>
      <c r="V547" s="813"/>
      <c r="W547" s="813"/>
    </row>
    <row r="548" spans="1:27" ht="24" x14ac:dyDescent="0.2">
      <c r="A548" s="1247"/>
      <c r="B548" s="1248"/>
      <c r="C548" s="1248"/>
      <c r="D548" s="1248"/>
      <c r="E548" s="1224" t="s">
        <v>413</v>
      </c>
      <c r="F548" s="1249">
        <f>F188</f>
        <v>573583</v>
      </c>
      <c r="G548" s="1249">
        <f t="shared" ref="G548:J548" si="181">G188</f>
        <v>352233.65</v>
      </c>
      <c r="H548" s="1285">
        <f t="shared" si="175"/>
        <v>0.61409360110045108</v>
      </c>
      <c r="I548" s="1273">
        <f t="shared" si="181"/>
        <v>506112.59</v>
      </c>
      <c r="J548" s="1278">
        <f t="shared" si="181"/>
        <v>467200</v>
      </c>
      <c r="K548" s="1286">
        <f t="shared" si="176"/>
        <v>0.81452902195497423</v>
      </c>
      <c r="L548" s="1115"/>
      <c r="M548" s="813"/>
      <c r="N548" s="813"/>
      <c r="O548" s="813"/>
      <c r="P548" s="813"/>
      <c r="Q548" s="813"/>
      <c r="R548" s="813"/>
      <c r="S548" s="813"/>
      <c r="T548" s="813"/>
      <c r="U548" s="813"/>
      <c r="V548" s="813"/>
      <c r="W548" s="813"/>
    </row>
    <row r="549" spans="1:27" ht="15" x14ac:dyDescent="0.25">
      <c r="A549" s="1261"/>
      <c r="B549" s="1262"/>
      <c r="C549" s="1262"/>
      <c r="D549" s="1262"/>
      <c r="E549" s="1291" t="s">
        <v>401</v>
      </c>
      <c r="F549" s="1292">
        <f>F18+F33+F40+F45+F46+F47+F64+F123+F124+F159+F175+F234+F327+F475+F484+F485+F486+F503+F504+F505+F506+F507+F520+F531+F433+F185</f>
        <v>6209843.3200000003</v>
      </c>
      <c r="G549" s="1292">
        <f>G18+G33+G40+G45+G46+G47+G64+G123+G124+G159+G175+G234+G327+G475+G484+G485+G486+G503+G504+G505+G506+G507+G520+G531+G433+G185</f>
        <v>5028492.8599999994</v>
      </c>
      <c r="H549" s="1293">
        <f t="shared" ref="H549" si="182">G549/F549</f>
        <v>0.80976163179588867</v>
      </c>
      <c r="I549" s="1294">
        <f>I18+I33+I40+I45+I46+I47+I64+I123+I124+I159+I175+I234+I327+I475+I484+I485+I486+I503+I504+I505+I506+I507+I531+I433+I185+I30+I174</f>
        <v>5638862.7000000002</v>
      </c>
      <c r="J549" s="1295">
        <f>J18+J33+J40+J45+J46+J47+J64+J123+J124+J159+J175+J234+J327+J475+J484+J485+J486+J503+J504+J505+J506+J507+J531+J433+J185+J30+J174</f>
        <v>1506000</v>
      </c>
      <c r="K549" s="1263">
        <f>J549/F549</f>
        <v>0.24251819609516331</v>
      </c>
      <c r="L549" s="1116"/>
      <c r="M549" s="814">
        <f>M18+M33+M40+M45+M46+M47+M64+M123+M124+M159+M175+M234+M327+M475+M484+M485+M486+M503+M504+M505+M506+M507+M520+M531+M433+M185</f>
        <v>14000</v>
      </c>
      <c r="N549" s="814">
        <f>N18+N33+N40+N45+N46+N47+N64+N123+N124+N159+N175+N234+N327+N475+N484+N485+N486+N503+N504+N505+N506+N507+N520+N531+N433+N185</f>
        <v>0</v>
      </c>
      <c r="O549" s="814">
        <f>O18+O33+O40+O45+O46+O47+O64+O123+O124+O159+O175+O234+O327+O475+O484+O485+O486+O503+O504+O505+O506+O507+O520+O531+O433+O185</f>
        <v>780000</v>
      </c>
      <c r="P549" s="814">
        <f>P18+P33+P40+P45+P46+P47+P64+P123+P124+P159+P175+P234+P327+P475+P484+P485+P486+P503+P504+P505+P506+P507+P520+P531+P433+P185+P174</f>
        <v>364280</v>
      </c>
      <c r="Q549" s="814">
        <f t="shared" ref="Q549:V549" si="183">Q18+Q33+Q40+Q45+Q46+Q47+Q64+Q123+Q124+Q159+Q175+Q234+Q327+Q475+Q484+Q485+Q486+Q503+Q504+Q505+Q506+Q507+Q520+Q531+Q433+Q185</f>
        <v>5000</v>
      </c>
      <c r="R549" s="814">
        <f>R18+R33+R40+R45+R46+R47+R64+R123+R124+R159+R175+R234+R327+R475+R484+R485+R486+R503+R504+R505+R506+R507+R520+R531+R433+R185+R30</f>
        <v>200000</v>
      </c>
      <c r="S549" s="814">
        <f t="shared" si="183"/>
        <v>0</v>
      </c>
      <c r="T549" s="814">
        <f>T18+T33+T40+T45+T46+T47+T64+T123+T124+T159+T175+T234+T327+T475+T484+T485+T486+T503+T504+T505+T506+T507+T520+T531+T433+T185</f>
        <v>142720</v>
      </c>
      <c r="U549" s="814">
        <f t="shared" si="183"/>
        <v>0</v>
      </c>
      <c r="V549" s="814">
        <f t="shared" si="183"/>
        <v>0</v>
      </c>
      <c r="W549" s="815">
        <f>W18+W33+W40+W45+W46+W47+W64+W123+W124+W159+W175+W234+W327+W475+W484+W485+W486+W503+W504+W505+W506+W507+W520+W531+W433+W185+W30+W174</f>
        <v>1506000</v>
      </c>
    </row>
    <row r="550" spans="1:27" ht="15" x14ac:dyDescent="0.25">
      <c r="A550" s="1290"/>
      <c r="B550" s="1233"/>
      <c r="C550" s="1233"/>
      <c r="D550" s="1233"/>
      <c r="E550" s="1237" t="s">
        <v>151</v>
      </c>
      <c r="F550" s="1234"/>
      <c r="G550" s="1234"/>
      <c r="H550" s="1234"/>
      <c r="I550" s="1234"/>
      <c r="J550" s="1234"/>
      <c r="K550" s="1234"/>
      <c r="L550" s="1235"/>
      <c r="M550" s="1235"/>
      <c r="N550" s="1235"/>
      <c r="O550" s="1235"/>
      <c r="P550" s="1235"/>
      <c r="Q550" s="1235"/>
      <c r="R550" s="1235"/>
      <c r="S550" s="1235"/>
      <c r="T550" s="1235"/>
      <c r="U550" s="1235"/>
      <c r="V550" s="1235"/>
      <c r="W550" s="1236"/>
    </row>
    <row r="551" spans="1:27" ht="36" x14ac:dyDescent="0.2">
      <c r="A551" s="1016"/>
      <c r="B551" s="1264"/>
      <c r="C551" s="1264"/>
      <c r="D551" s="1264"/>
      <c r="E551" s="1265" t="s">
        <v>414</v>
      </c>
      <c r="F551" s="1266">
        <f>F505+F504+F486+F485+F47+F46</f>
        <v>4580169.0100000007</v>
      </c>
      <c r="G551" s="1266">
        <f>G505+G504+G486+G485+G47+G46</f>
        <v>4380809.5</v>
      </c>
      <c r="H551" s="1287">
        <f>G551/F551</f>
        <v>0.9564733289176155</v>
      </c>
      <c r="I551" s="1279">
        <f>I505+I504+I486+I485+I47+I46</f>
        <v>4578313.55</v>
      </c>
      <c r="J551" s="1282">
        <f>J505+J504+J486+J485+J47+J46</f>
        <v>0</v>
      </c>
      <c r="K551" s="1298">
        <f>J551/F551</f>
        <v>0</v>
      </c>
      <c r="R551" s="817"/>
    </row>
    <row r="552" spans="1:27" ht="24" x14ac:dyDescent="0.2">
      <c r="A552" s="1016"/>
      <c r="B552" s="1264"/>
      <c r="C552" s="1264"/>
      <c r="D552" s="1264"/>
      <c r="E552" s="1238" t="s">
        <v>415</v>
      </c>
      <c r="F552" s="1267">
        <f>F507+F433+F175+F33+F30</f>
        <v>872704</v>
      </c>
      <c r="G552" s="1267">
        <f>G507+G433+G175+G33+G30</f>
        <v>412703.97</v>
      </c>
      <c r="H552" s="1287">
        <f>G552/F552</f>
        <v>0.47290257636036959</v>
      </c>
      <c r="I552" s="1280">
        <f>I507+I433+I175+I33+I30</f>
        <v>412703.97</v>
      </c>
      <c r="J552" s="1283">
        <f>J507+J433+J175+J33+J30</f>
        <v>484280</v>
      </c>
      <c r="K552" s="1298">
        <f t="shared" ref="K552:K553" si="184">J552/F552</f>
        <v>0.5549189645057202</v>
      </c>
    </row>
    <row r="553" spans="1:27" x14ac:dyDescent="0.2">
      <c r="A553" s="1017"/>
      <c r="B553" s="1015"/>
      <c r="C553" s="1015"/>
      <c r="D553" s="1015"/>
      <c r="E553" s="1289" t="s">
        <v>416</v>
      </c>
      <c r="F553" s="1268">
        <f>F531+F506+F503+F484+F475+F327+F234+F185+F174+F124+F123+F64+F45+F18+F40+F159</f>
        <v>756970.31</v>
      </c>
      <c r="G553" s="1268">
        <f>G531+G506+G503+G484+G475+G327+G234+G185+G174+G124+G123+G64+G45+G18+G40+G159</f>
        <v>234979.38999999998</v>
      </c>
      <c r="H553" s="1288">
        <f>G553/F553</f>
        <v>0.31042088031167292</v>
      </c>
      <c r="I553" s="1281">
        <f>I531+I506+I503+I484+I475+I327+I234+I185+I174+I124+I123+I64+I45+I18+I40+I159</f>
        <v>647845.17999999993</v>
      </c>
      <c r="J553" s="1284">
        <f>J531+J506+J503+J484+J475+J327+J234+J185+J174+J124+J123+J64+J45+J18+J40+J159</f>
        <v>1021720</v>
      </c>
      <c r="K553" s="1299">
        <f t="shared" si="184"/>
        <v>1.3497491070686773</v>
      </c>
      <c r="L553" s="1223" t="e">
        <f>L531+L506+L503+L484+L475+L327+L234+L185+L174+L124+L123+L64+L45+L18+L40+L159</f>
        <v>#VALUE!</v>
      </c>
      <c r="M553" s="1223">
        <f>M531+M506+M503+M484+M475+M327+M234+M185+M174+M124+M123+M64+M45+M18+M40+M159</f>
        <v>14000</v>
      </c>
      <c r="N553" s="1223">
        <f>N531+N506+N503+N484+N475+N327+N234+N185+N174+N124+N123+N64+N45+N18+N40+N159</f>
        <v>0</v>
      </c>
      <c r="O553" s="1223">
        <f>O531+O506+O503+O484+O475+O327+O234+O185+O174+O124+O123+O64+O45+O18+O40+O159</f>
        <v>780000</v>
      </c>
      <c r="P553" s="1223">
        <f>P531+P506+P503+P484+P475+P327+P234+P185+P174+P124+P123+P64+P45+P18+P40+P159</f>
        <v>80000</v>
      </c>
      <c r="Q553" s="1223">
        <f>Q531+Q506+Q503+Q484+Q475+Q327+Q234+Q185+Q174+Q124+Q123+Q64+Q45+Q18+Q40+Q159</f>
        <v>5000</v>
      </c>
      <c r="R553" s="1223">
        <f>R531+R506+R503+R484+R475+R327+R234+R185+R174+R124+R123+R64+R45+R18+R40+R159</f>
        <v>0</v>
      </c>
      <c r="S553" s="1223">
        <f>S531+S506+S503+S484+S475+S327+S234+S185+S174+S124+S123+S64+S45+S18+S40+S159</f>
        <v>0</v>
      </c>
      <c r="T553" s="1223">
        <f>T531+T506+T503+T484+T475+T327+T234+T185+T174+T124+T123+T64+T45+T18+T40+T159</f>
        <v>142720</v>
      </c>
      <c r="U553" s="1223">
        <f>U531+U506+U503+U484+U475+U327+U234+U185+U174+U124+U123+U64+U45+U18+U40+U159</f>
        <v>0</v>
      </c>
      <c r="V553" s="1223">
        <f>V531+V506+V503+V484+V475+V327+V234+V185+V174+V124+V123+V64+V45+V18+V40+V159</f>
        <v>0</v>
      </c>
      <c r="W553" s="1223">
        <f>W531+W506+W503+W484+W475+W327+W234+W185+W174+W124+W123+W64+W45+W18+W40+W159</f>
        <v>1021720</v>
      </c>
      <c r="X553" s="1223">
        <f>X531+X506+X503+X484+X475+X327+X234+X185+X174+X124+X123+X64+X45+X18+X40+X159</f>
        <v>0</v>
      </c>
      <c r="Y553" s="1223">
        <f>Y531+Y506+Y503+Y484+Y475+Y327+Y234+Y185+Y174+Y124+Y123+Y64+Y45+Y18+Y40+Y159</f>
        <v>0</v>
      </c>
      <c r="Z553" s="1223">
        <f>Z531+Z506+Z503+Z484+Z475+Z327+Z234+Z185+Z174+Z124+Z123+Z64+Z45+Z18+Z40+Z159</f>
        <v>0</v>
      </c>
      <c r="AA553" s="1223">
        <f>AA531+AA506+AA503+AA484+AA475+AA327+AA234+AA185+AA174+AA124+AA123+AA64+AA45+AA18+AA40+AA159</f>
        <v>0</v>
      </c>
    </row>
    <row r="554" spans="1:27" hidden="1" x14ac:dyDescent="0.2">
      <c r="A554" s="1180" t="s">
        <v>361</v>
      </c>
      <c r="B554" s="1181"/>
      <c r="C554" s="1181"/>
      <c r="D554" s="1181"/>
      <c r="E554" s="1181"/>
      <c r="F554" s="1181"/>
      <c r="G554" s="1181"/>
      <c r="H554" s="1181"/>
      <c r="I554" s="1181"/>
      <c r="J554" s="1181"/>
      <c r="K554" s="1181"/>
    </row>
    <row r="555" spans="1:27" hidden="1" x14ac:dyDescent="0.2">
      <c r="E555" s="1" t="s">
        <v>362</v>
      </c>
      <c r="F555" s="500">
        <f>J539</f>
        <v>47245773.730000004</v>
      </c>
    </row>
    <row r="556" spans="1:27" hidden="1" x14ac:dyDescent="0.2">
      <c r="E556" s="501" t="s">
        <v>363</v>
      </c>
      <c r="F556" s="500">
        <f>-J549</f>
        <v>-1506000</v>
      </c>
    </row>
    <row r="557" spans="1:27" hidden="1" x14ac:dyDescent="0.2">
      <c r="E557" s="501" t="s">
        <v>364</v>
      </c>
      <c r="F557" s="500">
        <f>-J544</f>
        <v>-20118216.329999998</v>
      </c>
    </row>
    <row r="558" spans="1:27" hidden="1" x14ac:dyDescent="0.2">
      <c r="E558" s="501" t="s">
        <v>365</v>
      </c>
      <c r="F558" s="500">
        <f>-J188</f>
        <v>-467200</v>
      </c>
    </row>
    <row r="559" spans="1:27" hidden="1" x14ac:dyDescent="0.2">
      <c r="E559" s="501" t="s">
        <v>366</v>
      </c>
      <c r="F559" s="500">
        <f>SUM(F555:F558)</f>
        <v>25154357.400000006</v>
      </c>
    </row>
    <row r="560" spans="1:27" hidden="1" x14ac:dyDescent="0.2">
      <c r="E560" s="501" t="s">
        <v>367</v>
      </c>
      <c r="F560" s="500">
        <f>F559*0.5%</f>
        <v>125771.78700000003</v>
      </c>
    </row>
    <row r="561" spans="5:6" hidden="1" x14ac:dyDescent="0.2">
      <c r="E561" s="501" t="s">
        <v>368</v>
      </c>
      <c r="F561" s="500">
        <v>125166</v>
      </c>
    </row>
  </sheetData>
  <mergeCells count="10">
    <mergeCell ref="A539:E539"/>
    <mergeCell ref="M540:T540"/>
    <mergeCell ref="A554:K554"/>
    <mergeCell ref="G1:K1"/>
    <mergeCell ref="A2:K2"/>
    <mergeCell ref="C3:D3"/>
    <mergeCell ref="B32:B33"/>
    <mergeCell ref="B384:B385"/>
    <mergeCell ref="B455:B456"/>
    <mergeCell ref="E542:K542"/>
  </mergeCells>
  <pageMargins left="0.98425196850393704" right="0" top="0.98425196850393704" bottom="0.39370078740157483" header="0.51181102362204722" footer="0.11811023622047245"/>
  <pageSetup paperSize="9" fitToHeight="0" orientation="landscape" r:id="rId1"/>
  <headerFooter alignWithMargins="0">
    <oddFooter>Strona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zoomScaleNormal="100" zoomScaleSheetLayoutView="100" workbookViewId="0">
      <selection activeCell="I1" sqref="I1:N1"/>
    </sheetView>
  </sheetViews>
  <sheetFormatPr defaultRowHeight="12.75" x14ac:dyDescent="0.2"/>
  <cols>
    <col min="1" max="1" width="5" style="818" customWidth="1"/>
    <col min="2" max="2" width="21.7109375" style="818" customWidth="1"/>
    <col min="3" max="3" width="3.7109375" style="818" customWidth="1"/>
    <col min="4" max="4" width="12" style="818" customWidth="1"/>
    <col min="5" max="5" width="9.5703125" style="818" hidden="1" customWidth="1"/>
    <col min="6" max="6" width="12.85546875" style="818" hidden="1" customWidth="1"/>
    <col min="7" max="7" width="10.140625" style="818" customWidth="1"/>
    <col min="8" max="8" width="14" style="818" customWidth="1"/>
    <col min="9" max="9" width="10.85546875" style="818" customWidth="1"/>
    <col min="10" max="10" width="12.140625" style="818" customWidth="1"/>
    <col min="11" max="11" width="10.140625" style="818" customWidth="1"/>
    <col min="12" max="12" width="11.85546875" style="818" customWidth="1"/>
    <col min="13" max="13" width="9.85546875" style="818" bestFit="1" customWidth="1"/>
    <col min="14" max="14" width="12" style="818" customWidth="1"/>
    <col min="15" max="15" width="9.85546875" style="818" bestFit="1" customWidth="1"/>
    <col min="16" max="16" width="12" style="818" bestFit="1" customWidth="1"/>
    <col min="17" max="17" width="12.28515625" style="818" bestFit="1" customWidth="1"/>
    <col min="18" max="18" width="12" style="818" bestFit="1" customWidth="1"/>
    <col min="19" max="19" width="11.140625" style="818" customWidth="1"/>
    <col min="20" max="20" width="12" style="818" bestFit="1" customWidth="1"/>
    <col min="21" max="21" width="12.28515625" style="818" bestFit="1" customWidth="1"/>
    <col min="22" max="22" width="12" style="818" bestFit="1" customWidth="1"/>
    <col min="23" max="23" width="12.28515625" style="818" bestFit="1" customWidth="1"/>
    <col min="24" max="24" width="12" style="818" bestFit="1" customWidth="1"/>
    <col min="25" max="25" width="10.42578125" style="818" bestFit="1" customWidth="1"/>
    <col min="26" max="26" width="12" style="818" bestFit="1" customWidth="1"/>
    <col min="27" max="27" width="10.42578125" style="818" bestFit="1" customWidth="1"/>
    <col min="28" max="28" width="12" style="818" bestFit="1" customWidth="1"/>
    <col min="29" max="29" width="10.7109375" style="818" hidden="1" customWidth="1"/>
    <col min="30" max="30" width="12.85546875" style="818" hidden="1" customWidth="1"/>
    <col min="31" max="16384" width="9.140625" style="818"/>
  </cols>
  <sheetData>
    <row r="1" spans="1:30" ht="75.75" customHeight="1" x14ac:dyDescent="0.2">
      <c r="B1" s="819"/>
      <c r="C1" s="820"/>
      <c r="D1" s="1200" t="s">
        <v>402</v>
      </c>
      <c r="E1" s="1200"/>
      <c r="F1" s="1200"/>
      <c r="G1" s="1200"/>
      <c r="H1" s="1200"/>
      <c r="I1" s="1191"/>
      <c r="J1" s="1191"/>
      <c r="K1" s="1191"/>
      <c r="L1" s="1191"/>
      <c r="M1" s="1191"/>
      <c r="N1" s="1191"/>
    </row>
    <row r="2" spans="1:30" ht="15.75" customHeight="1" thickBot="1" x14ac:dyDescent="0.25">
      <c r="B2" s="821"/>
      <c r="C2" s="820"/>
      <c r="D2" s="822"/>
      <c r="E2" s="822"/>
      <c r="F2" s="822"/>
      <c r="G2" s="823"/>
      <c r="H2" s="823"/>
      <c r="I2" s="823"/>
      <c r="J2" s="823"/>
      <c r="K2" s="823"/>
      <c r="L2" s="823"/>
      <c r="M2" s="823"/>
      <c r="N2" s="823"/>
      <c r="O2" s="824"/>
      <c r="P2" s="824"/>
      <c r="Q2" s="824"/>
      <c r="R2" s="824"/>
      <c r="S2" s="824"/>
      <c r="T2" s="824"/>
      <c r="U2" s="824"/>
      <c r="V2" s="824"/>
      <c r="W2" s="824"/>
      <c r="X2" s="824"/>
      <c r="Y2" s="824"/>
      <c r="Z2" s="824"/>
      <c r="AA2" s="824"/>
      <c r="AB2" s="824"/>
    </row>
    <row r="3" spans="1:30" ht="16.5" customHeight="1" thickBot="1" x14ac:dyDescent="0.25">
      <c r="A3" s="1192" t="s">
        <v>369</v>
      </c>
      <c r="B3" s="1193" t="s">
        <v>370</v>
      </c>
      <c r="C3" s="1194"/>
      <c r="D3" s="1196" t="s">
        <v>371</v>
      </c>
      <c r="E3" s="1197">
        <v>2011</v>
      </c>
      <c r="F3" s="1198"/>
      <c r="G3" s="1199">
        <v>2015</v>
      </c>
      <c r="H3" s="1199"/>
      <c r="I3" s="1199">
        <v>2016</v>
      </c>
      <c r="J3" s="1199"/>
      <c r="K3" s="1198">
        <v>2017</v>
      </c>
      <c r="L3" s="1199"/>
      <c r="M3" s="1199">
        <v>2018</v>
      </c>
      <c r="N3" s="1199"/>
      <c r="O3" s="1199">
        <v>2019</v>
      </c>
      <c r="P3" s="1199"/>
      <c r="Q3" s="1217">
        <v>2020</v>
      </c>
      <c r="R3" s="1211"/>
      <c r="S3" s="1217">
        <v>2021</v>
      </c>
      <c r="T3" s="1211"/>
      <c r="U3" s="1217">
        <v>2022</v>
      </c>
      <c r="V3" s="1211"/>
      <c r="W3" s="1210">
        <v>2023</v>
      </c>
      <c r="X3" s="1211"/>
      <c r="Y3" s="1208">
        <v>2024</v>
      </c>
      <c r="Z3" s="1209"/>
      <c r="AA3" s="1208">
        <v>2025</v>
      </c>
      <c r="AB3" s="1209"/>
      <c r="AC3" s="1210">
        <v>2026</v>
      </c>
      <c r="AD3" s="1211"/>
    </row>
    <row r="4" spans="1:30" ht="32.25" customHeight="1" thickBot="1" x14ac:dyDescent="0.25">
      <c r="A4" s="1192"/>
      <c r="B4" s="1193"/>
      <c r="C4" s="1195"/>
      <c r="D4" s="1196"/>
      <c r="E4" s="825" t="s">
        <v>372</v>
      </c>
      <c r="F4" s="826" t="s">
        <v>373</v>
      </c>
      <c r="G4" s="825" t="s">
        <v>372</v>
      </c>
      <c r="H4" s="826" t="s">
        <v>373</v>
      </c>
      <c r="I4" s="825" t="s">
        <v>372</v>
      </c>
      <c r="J4" s="826" t="s">
        <v>373</v>
      </c>
      <c r="K4" s="825" t="s">
        <v>372</v>
      </c>
      <c r="L4" s="827" t="s">
        <v>373</v>
      </c>
      <c r="M4" s="825" t="s">
        <v>372</v>
      </c>
      <c r="N4" s="826" t="s">
        <v>373</v>
      </c>
      <c r="O4" s="825" t="s">
        <v>372</v>
      </c>
      <c r="P4" s="826" t="s">
        <v>373</v>
      </c>
      <c r="Q4" s="825" t="s">
        <v>372</v>
      </c>
      <c r="R4" s="828" t="s">
        <v>373</v>
      </c>
      <c r="S4" s="829" t="s">
        <v>372</v>
      </c>
      <c r="T4" s="828" t="s">
        <v>373</v>
      </c>
      <c r="U4" s="829" t="s">
        <v>372</v>
      </c>
      <c r="V4" s="828" t="s">
        <v>373</v>
      </c>
      <c r="W4" s="830" t="s">
        <v>372</v>
      </c>
      <c r="X4" s="828" t="s">
        <v>373</v>
      </c>
      <c r="Y4" s="830" t="s">
        <v>372</v>
      </c>
      <c r="Z4" s="828" t="s">
        <v>373</v>
      </c>
      <c r="AA4" s="830" t="s">
        <v>372</v>
      </c>
      <c r="AB4" s="828" t="s">
        <v>373</v>
      </c>
      <c r="AC4" s="830" t="s">
        <v>372</v>
      </c>
      <c r="AD4" s="828" t="s">
        <v>373</v>
      </c>
    </row>
    <row r="5" spans="1:30" ht="15" customHeight="1" x14ac:dyDescent="0.2">
      <c r="A5" s="831">
        <v>1</v>
      </c>
      <c r="B5" s="1212" t="s">
        <v>374</v>
      </c>
      <c r="C5" s="832" t="s">
        <v>375</v>
      </c>
      <c r="D5" s="833">
        <v>3778400</v>
      </c>
      <c r="E5" s="834">
        <v>103400</v>
      </c>
      <c r="F5" s="835">
        <f>D5-E5</f>
        <v>3675000</v>
      </c>
      <c r="G5" s="836">
        <v>419800</v>
      </c>
      <c r="H5" s="837">
        <f>D5-G5</f>
        <v>3358600</v>
      </c>
      <c r="I5" s="836">
        <v>419800</v>
      </c>
      <c r="J5" s="837">
        <f>H5-I5</f>
        <v>2938800</v>
      </c>
      <c r="K5" s="836">
        <v>419800</v>
      </c>
      <c r="L5" s="837">
        <f>J5-K5</f>
        <v>2519000</v>
      </c>
      <c r="M5" s="836">
        <v>419800</v>
      </c>
      <c r="N5" s="837">
        <f>L5-M5</f>
        <v>2099200</v>
      </c>
      <c r="O5" s="836">
        <v>419800</v>
      </c>
      <c r="P5" s="837">
        <f>N5-O5</f>
        <v>1679400</v>
      </c>
      <c r="Q5" s="838">
        <v>419800</v>
      </c>
      <c r="R5" s="839">
        <f>P5-Q5</f>
        <v>1259600</v>
      </c>
      <c r="S5" s="840">
        <v>419800</v>
      </c>
      <c r="T5" s="839">
        <f>R5-S5</f>
        <v>839800</v>
      </c>
      <c r="U5" s="840">
        <v>419800</v>
      </c>
      <c r="V5" s="839">
        <f>T5-U5</f>
        <v>420000</v>
      </c>
      <c r="W5" s="841">
        <v>420000</v>
      </c>
      <c r="X5" s="839">
        <f>V5-W5</f>
        <v>0</v>
      </c>
      <c r="Y5" s="842"/>
      <c r="Z5" s="843">
        <v>0</v>
      </c>
      <c r="AA5" s="842"/>
      <c r="AB5" s="843">
        <v>0</v>
      </c>
      <c r="AC5" s="844"/>
      <c r="AD5" s="845"/>
    </row>
    <row r="6" spans="1:30" ht="15.75" customHeight="1" x14ac:dyDescent="0.2">
      <c r="A6" s="846"/>
      <c r="B6" s="1213"/>
      <c r="C6" s="847" t="s">
        <v>376</v>
      </c>
      <c r="D6" s="848">
        <f>(2.6+0.9)%</f>
        <v>3.5000000000000003E-2</v>
      </c>
      <c r="E6" s="849">
        <v>31000</v>
      </c>
      <c r="F6" s="850"/>
      <c r="G6" s="849">
        <v>132250</v>
      </c>
      <c r="H6" s="851"/>
      <c r="I6" s="849">
        <v>117600</v>
      </c>
      <c r="J6" s="851"/>
      <c r="K6" s="849">
        <v>103000</v>
      </c>
      <c r="L6" s="852"/>
      <c r="M6" s="849">
        <v>88200</v>
      </c>
      <c r="N6" s="851"/>
      <c r="O6" s="849">
        <v>73500</v>
      </c>
      <c r="P6" s="851"/>
      <c r="Q6" s="849">
        <v>58800</v>
      </c>
      <c r="R6" s="853"/>
      <c r="S6" s="854">
        <v>44100</v>
      </c>
      <c r="T6" s="853"/>
      <c r="U6" s="854">
        <v>29400</v>
      </c>
      <c r="V6" s="853"/>
      <c r="W6" s="855">
        <v>1500</v>
      </c>
      <c r="X6" s="853"/>
      <c r="Y6" s="855"/>
      <c r="Z6" s="853"/>
      <c r="AA6" s="855"/>
      <c r="AB6" s="853"/>
      <c r="AC6" s="844"/>
      <c r="AD6" s="845"/>
    </row>
    <row r="7" spans="1:30" ht="15.75" customHeight="1" x14ac:dyDescent="0.2">
      <c r="A7" s="846"/>
      <c r="B7" s="1214"/>
      <c r="C7" s="847" t="s">
        <v>377</v>
      </c>
      <c r="D7" s="851"/>
      <c r="E7" s="849">
        <f>SUM(E5:E6)</f>
        <v>134400</v>
      </c>
      <c r="F7" s="850">
        <f>F5</f>
        <v>3675000</v>
      </c>
      <c r="G7" s="849">
        <f>G5+G6</f>
        <v>552050</v>
      </c>
      <c r="H7" s="851">
        <f>H5</f>
        <v>3358600</v>
      </c>
      <c r="I7" s="849">
        <f>SUM(I5:I6)</f>
        <v>537400</v>
      </c>
      <c r="J7" s="851">
        <f>SUM(J5:J6)</f>
        <v>2938800</v>
      </c>
      <c r="K7" s="849">
        <f>SUM(K5:K6)</f>
        <v>522800</v>
      </c>
      <c r="L7" s="851">
        <f>SUM(L5:L6)</f>
        <v>2519000</v>
      </c>
      <c r="M7" s="856">
        <f>SUM(M5:M6)</f>
        <v>508000</v>
      </c>
      <c r="N7" s="851">
        <f>N5+N6</f>
        <v>2099200</v>
      </c>
      <c r="O7" s="857">
        <f>SUM(O5:O6)</f>
        <v>493300</v>
      </c>
      <c r="P7" s="851">
        <f>SUM(P5:P6)</f>
        <v>1679400</v>
      </c>
      <c r="Q7" s="858">
        <f>SUM(Q5:Q6)</f>
        <v>478600</v>
      </c>
      <c r="R7" s="859">
        <f>SUM(R5)</f>
        <v>1259600</v>
      </c>
      <c r="S7" s="860">
        <f>SUM(S5:S6)</f>
        <v>463900</v>
      </c>
      <c r="T7" s="859">
        <f>T5</f>
        <v>839800</v>
      </c>
      <c r="U7" s="860">
        <f>SUM(U5:U6)</f>
        <v>449200</v>
      </c>
      <c r="V7" s="859">
        <f>V5</f>
        <v>420000</v>
      </c>
      <c r="W7" s="861">
        <f>SUM(W5:W6)</f>
        <v>421500</v>
      </c>
      <c r="X7" s="859">
        <f>X5</f>
        <v>0</v>
      </c>
      <c r="Y7" s="861"/>
      <c r="Z7" s="859">
        <v>0</v>
      </c>
      <c r="AA7" s="861"/>
      <c r="AB7" s="859">
        <v>0</v>
      </c>
      <c r="AC7" s="862"/>
      <c r="AD7" s="863"/>
    </row>
    <row r="8" spans="1:30" ht="15" customHeight="1" x14ac:dyDescent="0.2">
      <c r="A8" s="831">
        <v>2</v>
      </c>
      <c r="B8" s="1215" t="s">
        <v>378</v>
      </c>
      <c r="C8" s="832" t="s">
        <v>375</v>
      </c>
      <c r="D8" s="833">
        <v>1250000</v>
      </c>
      <c r="E8" s="834">
        <v>103400</v>
      </c>
      <c r="F8" s="835">
        <f>D8-E8</f>
        <v>1146600</v>
      </c>
      <c r="G8" s="834">
        <v>125000</v>
      </c>
      <c r="H8" s="833">
        <f>D8-G8</f>
        <v>1125000</v>
      </c>
      <c r="I8" s="834">
        <v>125000</v>
      </c>
      <c r="J8" s="833">
        <f>H8-I8</f>
        <v>1000000</v>
      </c>
      <c r="K8" s="834">
        <v>125000</v>
      </c>
      <c r="L8" s="864">
        <f>J8-K8</f>
        <v>875000</v>
      </c>
      <c r="M8" s="834">
        <v>125000</v>
      </c>
      <c r="N8" s="833">
        <f>L8-M8</f>
        <v>750000</v>
      </c>
      <c r="O8" s="834">
        <v>125000</v>
      </c>
      <c r="P8" s="833">
        <f>N8-O8</f>
        <v>625000</v>
      </c>
      <c r="Q8" s="865">
        <v>125000</v>
      </c>
      <c r="R8" s="866">
        <f>P8-Q8</f>
        <v>500000</v>
      </c>
      <c r="S8" s="865">
        <v>125000</v>
      </c>
      <c r="T8" s="866">
        <f>R8-S8</f>
        <v>375000</v>
      </c>
      <c r="U8" s="865">
        <v>125000</v>
      </c>
      <c r="V8" s="866">
        <f>T8-U8</f>
        <v>250000</v>
      </c>
      <c r="W8" s="865">
        <v>125000</v>
      </c>
      <c r="X8" s="866">
        <f>V8-W8</f>
        <v>125000</v>
      </c>
      <c r="Y8" s="865">
        <v>125000</v>
      </c>
      <c r="Z8" s="867">
        <f>X8-Y8</f>
        <v>0</v>
      </c>
      <c r="AA8" s="868"/>
      <c r="AB8" s="867">
        <v>0</v>
      </c>
      <c r="AC8" s="869"/>
      <c r="AD8" s="870"/>
    </row>
    <row r="9" spans="1:30" ht="15.75" customHeight="1" x14ac:dyDescent="0.2">
      <c r="A9" s="846"/>
      <c r="B9" s="1213"/>
      <c r="C9" s="847" t="s">
        <v>376</v>
      </c>
      <c r="D9" s="848">
        <v>3.5000000000000003E-2</v>
      </c>
      <c r="E9" s="849">
        <v>31000</v>
      </c>
      <c r="F9" s="850"/>
      <c r="G9" s="849">
        <v>43750</v>
      </c>
      <c r="H9" s="851"/>
      <c r="I9" s="849">
        <v>39375</v>
      </c>
      <c r="J9" s="851"/>
      <c r="K9" s="849">
        <v>35000</v>
      </c>
      <c r="L9" s="852"/>
      <c r="M9" s="849">
        <v>30625</v>
      </c>
      <c r="N9" s="851"/>
      <c r="O9" s="849">
        <v>26250</v>
      </c>
      <c r="P9" s="851"/>
      <c r="Q9" s="849">
        <v>21875</v>
      </c>
      <c r="R9" s="853"/>
      <c r="S9" s="854">
        <v>17500</v>
      </c>
      <c r="T9" s="853"/>
      <c r="U9" s="854">
        <v>13125</v>
      </c>
      <c r="V9" s="853"/>
      <c r="W9" s="855">
        <v>8750</v>
      </c>
      <c r="X9" s="853"/>
      <c r="Y9" s="855">
        <v>875</v>
      </c>
      <c r="Z9" s="853"/>
      <c r="AA9" s="855"/>
      <c r="AB9" s="853"/>
      <c r="AC9" s="844"/>
      <c r="AD9" s="845"/>
    </row>
    <row r="10" spans="1:30" ht="15.75" customHeight="1" x14ac:dyDescent="0.2">
      <c r="A10" s="846"/>
      <c r="B10" s="1214"/>
      <c r="C10" s="847" t="s">
        <v>377</v>
      </c>
      <c r="D10" s="851"/>
      <c r="E10" s="849">
        <f>SUM(E8:E9)</f>
        <v>134400</v>
      </c>
      <c r="F10" s="850">
        <f>F8</f>
        <v>1146600</v>
      </c>
      <c r="G10" s="849">
        <f>SUM(G8:G9)</f>
        <v>168750</v>
      </c>
      <c r="H10" s="851">
        <v>0</v>
      </c>
      <c r="I10" s="849">
        <f>SUM(I8:I9)</f>
        <v>164375</v>
      </c>
      <c r="J10" s="851">
        <v>0</v>
      </c>
      <c r="K10" s="849">
        <f>SUM(K8:K9)</f>
        <v>160000</v>
      </c>
      <c r="L10" s="852">
        <v>0</v>
      </c>
      <c r="M10" s="849">
        <f>SUM(M8:M9)</f>
        <v>155625</v>
      </c>
      <c r="N10" s="851">
        <v>0</v>
      </c>
      <c r="O10" s="849">
        <f>SUM(O8:O9)</f>
        <v>151250</v>
      </c>
      <c r="P10" s="851">
        <v>0</v>
      </c>
      <c r="Q10" s="871">
        <f>SUM(Q8:Q9)</f>
        <v>146875</v>
      </c>
      <c r="R10" s="872">
        <v>0</v>
      </c>
      <c r="S10" s="873">
        <f>SUM(S8:S9)</f>
        <v>142500</v>
      </c>
      <c r="T10" s="874">
        <v>0</v>
      </c>
      <c r="U10" s="873">
        <f>SUM(U8:U9)</f>
        <v>138125</v>
      </c>
      <c r="V10" s="874">
        <v>0</v>
      </c>
      <c r="W10" s="875">
        <f>SUM(W8:W9)</f>
        <v>133750</v>
      </c>
      <c r="X10" s="874">
        <v>0</v>
      </c>
      <c r="Y10" s="875">
        <f>SUM(Y8:Y9)</f>
        <v>125875</v>
      </c>
      <c r="Z10" s="874">
        <v>0</v>
      </c>
      <c r="AA10" s="875"/>
      <c r="AB10" s="874">
        <v>0</v>
      </c>
      <c r="AC10" s="862"/>
      <c r="AD10" s="863"/>
    </row>
    <row r="11" spans="1:30" ht="15" customHeight="1" x14ac:dyDescent="0.2">
      <c r="A11" s="831">
        <v>3</v>
      </c>
      <c r="B11" s="1216" t="s">
        <v>379</v>
      </c>
      <c r="C11" s="832" t="s">
        <v>375</v>
      </c>
      <c r="D11" s="833">
        <v>3660000</v>
      </c>
      <c r="E11" s="834">
        <v>732000</v>
      </c>
      <c r="F11" s="835">
        <f>D11-E11</f>
        <v>2928000</v>
      </c>
      <c r="G11" s="834">
        <v>732000</v>
      </c>
      <c r="H11" s="833">
        <f>D11-G11</f>
        <v>2928000</v>
      </c>
      <c r="I11" s="834">
        <v>732000</v>
      </c>
      <c r="J11" s="833">
        <f>H11-I11</f>
        <v>2196000</v>
      </c>
      <c r="K11" s="834">
        <v>732000</v>
      </c>
      <c r="L11" s="833">
        <f>J11-K11</f>
        <v>1464000</v>
      </c>
      <c r="M11" s="876">
        <v>732000</v>
      </c>
      <c r="N11" s="833">
        <f>L11-M11</f>
        <v>732000</v>
      </c>
      <c r="O11" s="876">
        <v>732000</v>
      </c>
      <c r="P11" s="833">
        <f>N11-O11</f>
        <v>0</v>
      </c>
      <c r="Q11" s="877"/>
      <c r="R11" s="867">
        <v>0</v>
      </c>
      <c r="S11" s="878"/>
      <c r="T11" s="867">
        <v>0</v>
      </c>
      <c r="U11" s="878"/>
      <c r="V11" s="867">
        <v>0</v>
      </c>
      <c r="W11" s="868"/>
      <c r="X11" s="867">
        <v>0</v>
      </c>
      <c r="Y11" s="868"/>
      <c r="Z11" s="867">
        <v>0</v>
      </c>
      <c r="AA11" s="868"/>
      <c r="AB11" s="867">
        <v>0</v>
      </c>
      <c r="AC11" s="869"/>
      <c r="AD11" s="870"/>
    </row>
    <row r="12" spans="1:30" ht="13.5" customHeight="1" x14ac:dyDescent="0.2">
      <c r="A12" s="846"/>
      <c r="B12" s="1215"/>
      <c r="C12" s="847" t="s">
        <v>376</v>
      </c>
      <c r="D12" s="848">
        <v>4.2000000000000003E-2</v>
      </c>
      <c r="E12" s="849">
        <v>380000</v>
      </c>
      <c r="F12" s="850"/>
      <c r="G12" s="849">
        <v>154000</v>
      </c>
      <c r="H12" s="851"/>
      <c r="I12" s="849">
        <v>123000</v>
      </c>
      <c r="J12" s="851"/>
      <c r="K12" s="849">
        <v>92200</v>
      </c>
      <c r="L12" s="852"/>
      <c r="M12" s="849">
        <v>61500</v>
      </c>
      <c r="N12" s="851"/>
      <c r="O12" s="849">
        <v>30700</v>
      </c>
      <c r="P12" s="851"/>
      <c r="Q12" s="879"/>
      <c r="R12" s="880"/>
      <c r="S12" s="881"/>
      <c r="T12" s="880"/>
      <c r="U12" s="881"/>
      <c r="V12" s="880"/>
      <c r="W12" s="882"/>
      <c r="X12" s="880"/>
      <c r="Y12" s="882"/>
      <c r="Z12" s="880"/>
      <c r="AA12" s="882"/>
      <c r="AB12" s="880"/>
      <c r="AC12" s="844"/>
      <c r="AD12" s="845"/>
    </row>
    <row r="13" spans="1:30" ht="16.5" customHeight="1" x14ac:dyDescent="0.2">
      <c r="A13" s="846"/>
      <c r="B13" s="1215"/>
      <c r="C13" s="847" t="s">
        <v>377</v>
      </c>
      <c r="D13" s="851"/>
      <c r="E13" s="849">
        <f>SUM(E11:E12)</f>
        <v>1112000</v>
      </c>
      <c r="F13" s="850">
        <f>F11</f>
        <v>2928000</v>
      </c>
      <c r="G13" s="849">
        <f>G11+G12</f>
        <v>886000</v>
      </c>
      <c r="H13" s="851"/>
      <c r="I13" s="849">
        <f>I11+I12</f>
        <v>855000</v>
      </c>
      <c r="J13" s="851">
        <f>J11</f>
        <v>2196000</v>
      </c>
      <c r="K13" s="849">
        <f>K11+K12</f>
        <v>824200</v>
      </c>
      <c r="L13" s="851">
        <f>L11</f>
        <v>1464000</v>
      </c>
      <c r="M13" s="849">
        <f>M11+M12</f>
        <v>793500</v>
      </c>
      <c r="N13" s="851">
        <f>N11</f>
        <v>732000</v>
      </c>
      <c r="O13" s="849">
        <f>O11+O12</f>
        <v>762700</v>
      </c>
      <c r="P13" s="851">
        <f>P11</f>
        <v>0</v>
      </c>
      <c r="Q13" s="883"/>
      <c r="R13" s="872">
        <v>0</v>
      </c>
      <c r="S13" s="884"/>
      <c r="T13" s="872">
        <v>0</v>
      </c>
      <c r="U13" s="884"/>
      <c r="V13" s="872">
        <v>0</v>
      </c>
      <c r="W13" s="885"/>
      <c r="X13" s="872">
        <v>0</v>
      </c>
      <c r="Y13" s="885"/>
      <c r="Z13" s="872">
        <v>0</v>
      </c>
      <c r="AA13" s="885"/>
      <c r="AB13" s="872">
        <v>0</v>
      </c>
      <c r="AC13" s="862"/>
      <c r="AD13" s="863"/>
    </row>
    <row r="14" spans="1:30" ht="15" customHeight="1" x14ac:dyDescent="0.2">
      <c r="A14" s="831">
        <v>4</v>
      </c>
      <c r="B14" s="1216" t="s">
        <v>380</v>
      </c>
      <c r="C14" s="832" t="s">
        <v>375</v>
      </c>
      <c r="D14" s="833">
        <v>4411601.24</v>
      </c>
      <c r="E14" s="834">
        <v>732000</v>
      </c>
      <c r="F14" s="835">
        <f>D14-E14</f>
        <v>3679601.24</v>
      </c>
      <c r="G14" s="834">
        <v>400000</v>
      </c>
      <c r="H14" s="833">
        <f>D14-G14</f>
        <v>4011601.24</v>
      </c>
      <c r="I14" s="834">
        <v>400000</v>
      </c>
      <c r="J14" s="833">
        <f>H14-I14</f>
        <v>3611601.24</v>
      </c>
      <c r="K14" s="834">
        <v>400000</v>
      </c>
      <c r="L14" s="833">
        <f>J14-K14</f>
        <v>3211601.24</v>
      </c>
      <c r="M14" s="834">
        <v>400000</v>
      </c>
      <c r="N14" s="833">
        <f>L14-M14</f>
        <v>2811601.24</v>
      </c>
      <c r="O14" s="834">
        <v>400000</v>
      </c>
      <c r="P14" s="833">
        <f>N14-O14</f>
        <v>2411601.2400000002</v>
      </c>
      <c r="Q14" s="865">
        <v>400000</v>
      </c>
      <c r="R14" s="886">
        <f>P14-Q14</f>
        <v>2011601.2400000002</v>
      </c>
      <c r="S14" s="887">
        <v>400000</v>
      </c>
      <c r="T14" s="886">
        <f>R14-S14</f>
        <v>1611601.2400000002</v>
      </c>
      <c r="U14" s="887">
        <v>400000</v>
      </c>
      <c r="V14" s="886">
        <f>T14-U14</f>
        <v>1211601.2400000002</v>
      </c>
      <c r="W14" s="888">
        <v>400000</v>
      </c>
      <c r="X14" s="886">
        <f>V14-W14</f>
        <v>811601.24000000022</v>
      </c>
      <c r="Y14" s="888">
        <v>400000</v>
      </c>
      <c r="Z14" s="886">
        <f>X14-Y14</f>
        <v>411601.24000000022</v>
      </c>
      <c r="AA14" s="889">
        <v>411601.24</v>
      </c>
      <c r="AB14" s="886">
        <f>Z14-AA14</f>
        <v>0</v>
      </c>
      <c r="AC14" s="869"/>
      <c r="AD14" s="870"/>
    </row>
    <row r="15" spans="1:30" ht="13.5" customHeight="1" x14ac:dyDescent="0.2">
      <c r="A15" s="846"/>
      <c r="B15" s="1215"/>
      <c r="C15" s="847" t="s">
        <v>376</v>
      </c>
      <c r="D15" s="848">
        <v>0.03</v>
      </c>
      <c r="E15" s="849">
        <v>380000</v>
      </c>
      <c r="F15" s="850"/>
      <c r="G15" s="849">
        <v>132000</v>
      </c>
      <c r="H15" s="851"/>
      <c r="I15" s="849">
        <v>120300</v>
      </c>
      <c r="J15" s="851"/>
      <c r="K15" s="849">
        <v>108000</v>
      </c>
      <c r="L15" s="852"/>
      <c r="M15" s="849">
        <v>96300</v>
      </c>
      <c r="N15" s="851"/>
      <c r="O15" s="849">
        <v>84000</v>
      </c>
      <c r="P15" s="851"/>
      <c r="Q15" s="849">
        <v>72300</v>
      </c>
      <c r="R15" s="853"/>
      <c r="S15" s="854">
        <v>60300</v>
      </c>
      <c r="T15" s="853"/>
      <c r="U15" s="854">
        <v>48300</v>
      </c>
      <c r="V15" s="853"/>
      <c r="W15" s="855">
        <v>36300</v>
      </c>
      <c r="X15" s="853"/>
      <c r="Y15" s="855">
        <v>24300</v>
      </c>
      <c r="Z15" s="853"/>
      <c r="AA15" s="855">
        <v>12300</v>
      </c>
      <c r="AB15" s="853"/>
      <c r="AC15" s="844"/>
      <c r="AD15" s="845"/>
    </row>
    <row r="16" spans="1:30" ht="16.5" customHeight="1" thickBot="1" x14ac:dyDescent="0.25">
      <c r="A16" s="846"/>
      <c r="B16" s="1215"/>
      <c r="C16" s="847" t="s">
        <v>377</v>
      </c>
      <c r="D16" s="851"/>
      <c r="E16" s="849">
        <f>SUM(E14:E15)</f>
        <v>1112000</v>
      </c>
      <c r="F16" s="850">
        <f>F14</f>
        <v>3679601.24</v>
      </c>
      <c r="G16" s="849">
        <f>G14+G15</f>
        <v>532000</v>
      </c>
      <c r="H16" s="851"/>
      <c r="I16" s="849">
        <f>I14+I15</f>
        <v>520300</v>
      </c>
      <c r="J16" s="851">
        <f>J14</f>
        <v>3611601.24</v>
      </c>
      <c r="K16" s="849">
        <f>K14+K15</f>
        <v>508000</v>
      </c>
      <c r="L16" s="851">
        <f>L14</f>
        <v>3211601.24</v>
      </c>
      <c r="M16" s="849">
        <f>M14+M15</f>
        <v>496300</v>
      </c>
      <c r="N16" s="851">
        <f>N14</f>
        <v>2811601.24</v>
      </c>
      <c r="O16" s="849">
        <f>O14+O15</f>
        <v>484000</v>
      </c>
      <c r="P16" s="851">
        <f>P14</f>
        <v>2411601.2400000002</v>
      </c>
      <c r="Q16" s="871">
        <f>SUM(Q14:Q15)</f>
        <v>472300</v>
      </c>
      <c r="R16" s="859">
        <f>R14</f>
        <v>2011601.2400000002</v>
      </c>
      <c r="S16" s="873">
        <f>SUM(S14:S15)</f>
        <v>460300</v>
      </c>
      <c r="T16" s="859">
        <f>T14</f>
        <v>1611601.2400000002</v>
      </c>
      <c r="U16" s="873">
        <f>SUM(U14:U15)</f>
        <v>448300</v>
      </c>
      <c r="V16" s="859">
        <f>V14</f>
        <v>1211601.2400000002</v>
      </c>
      <c r="W16" s="875">
        <f>SUM(W14:W15)</f>
        <v>436300</v>
      </c>
      <c r="X16" s="859">
        <f>X14</f>
        <v>811601.24000000022</v>
      </c>
      <c r="Y16" s="875">
        <f>SUM(Y14:Y15)</f>
        <v>424300</v>
      </c>
      <c r="Z16" s="859">
        <f>Z14</f>
        <v>411601.24000000022</v>
      </c>
      <c r="AA16" s="861">
        <f>SUM(AA14:AA15)</f>
        <v>423901.24</v>
      </c>
      <c r="AB16" s="859">
        <f>AB14</f>
        <v>0</v>
      </c>
      <c r="AC16" s="862"/>
      <c r="AD16" s="863"/>
    </row>
    <row r="17" spans="1:30" ht="13.5" thickBot="1" x14ac:dyDescent="0.25">
      <c r="A17" s="1218" t="s">
        <v>381</v>
      </c>
      <c r="B17" s="1218"/>
      <c r="C17" s="890" t="s">
        <v>375</v>
      </c>
      <c r="D17" s="891">
        <f>D8+D11+D5+D14</f>
        <v>13100001.24</v>
      </c>
      <c r="E17" s="892" t="e">
        <f>#REF!+E8+E11</f>
        <v>#REF!</v>
      </c>
      <c r="F17" s="893" t="e">
        <f>#REF!+F8+F11</f>
        <v>#REF!</v>
      </c>
      <c r="G17" s="892">
        <f>G11+G8+G14+G5</f>
        <v>1676800</v>
      </c>
      <c r="H17" s="891">
        <f>H5+H8+H11+H14</f>
        <v>11423201.24</v>
      </c>
      <c r="I17" s="892">
        <f>I11+I8+I14+I5</f>
        <v>1676800</v>
      </c>
      <c r="J17" s="891">
        <f>J5+J8+J11+J14</f>
        <v>9746401.2400000002</v>
      </c>
      <c r="K17" s="892">
        <f>K11+K8+K14+K5</f>
        <v>1676800</v>
      </c>
      <c r="L17" s="891">
        <f>L5+L11+L14+L8</f>
        <v>8069601.2400000002</v>
      </c>
      <c r="M17" s="892">
        <f>M11+M8+M14+M5</f>
        <v>1676800</v>
      </c>
      <c r="N17" s="891">
        <f>+N11+N14+N5+N8</f>
        <v>6392801.2400000002</v>
      </c>
      <c r="O17" s="892">
        <f>O11+O8+O5+O14</f>
        <v>1676800</v>
      </c>
      <c r="P17" s="891">
        <f>P5+P8+P11+P14</f>
        <v>4716001.24</v>
      </c>
      <c r="Q17" s="894">
        <f>+Q5+Q8+Q11+Q14</f>
        <v>944800</v>
      </c>
      <c r="R17" s="895">
        <f t="shared" ref="R17:AB17" si="0">R5+R8+R11+R14</f>
        <v>3771201.24</v>
      </c>
      <c r="S17" s="896">
        <f t="shared" si="0"/>
        <v>944800</v>
      </c>
      <c r="T17" s="895">
        <f t="shared" si="0"/>
        <v>2826401.24</v>
      </c>
      <c r="U17" s="896">
        <f t="shared" si="0"/>
        <v>944800</v>
      </c>
      <c r="V17" s="895">
        <f t="shared" si="0"/>
        <v>1881601.2400000002</v>
      </c>
      <c r="W17" s="897">
        <f t="shared" si="0"/>
        <v>945000</v>
      </c>
      <c r="X17" s="895">
        <f t="shared" si="0"/>
        <v>936601.24000000022</v>
      </c>
      <c r="Y17" s="897">
        <f t="shared" si="0"/>
        <v>525000</v>
      </c>
      <c r="Z17" s="895">
        <f t="shared" si="0"/>
        <v>411601.24000000022</v>
      </c>
      <c r="AA17" s="897">
        <f t="shared" si="0"/>
        <v>411601.24</v>
      </c>
      <c r="AB17" s="895">
        <f t="shared" si="0"/>
        <v>0</v>
      </c>
      <c r="AC17" s="869"/>
      <c r="AD17" s="870"/>
    </row>
    <row r="18" spans="1:30" ht="13.5" thickBot="1" x14ac:dyDescent="0.25">
      <c r="A18" s="1218"/>
      <c r="B18" s="1218"/>
      <c r="C18" s="898" t="s">
        <v>376</v>
      </c>
      <c r="D18" s="899"/>
      <c r="E18" s="900" t="e">
        <f>#REF!+E9+E12</f>
        <v>#REF!</v>
      </c>
      <c r="F18" s="901"/>
      <c r="G18" s="900">
        <f>G12+G6+G15+G9</f>
        <v>462000</v>
      </c>
      <c r="H18" s="899"/>
      <c r="I18" s="900">
        <f>I6+I12+I15+I9</f>
        <v>400275</v>
      </c>
      <c r="J18" s="899"/>
      <c r="K18" s="900">
        <f>K6+K12+K15+K9</f>
        <v>338200</v>
      </c>
      <c r="L18" s="899"/>
      <c r="M18" s="900">
        <f>M6+M9+M12+M15</f>
        <v>276625</v>
      </c>
      <c r="N18" s="899"/>
      <c r="O18" s="900">
        <f>O6+O9+O12+O15</f>
        <v>214450</v>
      </c>
      <c r="P18" s="899"/>
      <c r="Q18" s="902">
        <f>+Q6+Q9+Q12+Q15</f>
        <v>152975</v>
      </c>
      <c r="R18" s="903"/>
      <c r="S18" s="904">
        <f>S6+S9+S12+S15</f>
        <v>121900</v>
      </c>
      <c r="T18" s="903"/>
      <c r="U18" s="904">
        <f>U6+U9+U12+U15</f>
        <v>90825</v>
      </c>
      <c r="V18" s="903"/>
      <c r="W18" s="905">
        <f>W6+W9+W12+W15</f>
        <v>46550</v>
      </c>
      <c r="X18" s="903"/>
      <c r="Y18" s="905">
        <f>Y6+Y9+Y12+Y15</f>
        <v>25175</v>
      </c>
      <c r="Z18" s="903"/>
      <c r="AA18" s="905">
        <f>+AA6+AA9+AA12+AA15</f>
        <v>12300</v>
      </c>
      <c r="AB18" s="903"/>
      <c r="AC18" s="844"/>
      <c r="AD18" s="845"/>
    </row>
    <row r="19" spans="1:30" ht="13.5" thickBot="1" x14ac:dyDescent="0.25">
      <c r="A19" s="1218"/>
      <c r="B19" s="1218"/>
      <c r="C19" s="906" t="s">
        <v>377</v>
      </c>
      <c r="D19" s="907">
        <f>D17</f>
        <v>13100001.24</v>
      </c>
      <c r="E19" s="908" t="e">
        <f>E17+E18</f>
        <v>#REF!</v>
      </c>
      <c r="F19" s="909" t="e">
        <f>F17</f>
        <v>#REF!</v>
      </c>
      <c r="G19" s="908">
        <f>G17+G18</f>
        <v>2138800</v>
      </c>
      <c r="H19" s="907">
        <f>H17</f>
        <v>11423201.24</v>
      </c>
      <c r="I19" s="908">
        <f>I17+I18</f>
        <v>2077075</v>
      </c>
      <c r="J19" s="907">
        <f>J17</f>
        <v>9746401.2400000002</v>
      </c>
      <c r="K19" s="908">
        <f>K17+K18</f>
        <v>2015000</v>
      </c>
      <c r="L19" s="907">
        <f>L17</f>
        <v>8069601.2400000002</v>
      </c>
      <c r="M19" s="908">
        <f>M17+M18</f>
        <v>1953425</v>
      </c>
      <c r="N19" s="907">
        <f>N17</f>
        <v>6392801.2400000002</v>
      </c>
      <c r="O19" s="908">
        <f>O17+O18</f>
        <v>1891250</v>
      </c>
      <c r="P19" s="907">
        <f>P17</f>
        <v>4716001.24</v>
      </c>
      <c r="Q19" s="902">
        <f>SUM(Q17:Q18)</f>
        <v>1097775</v>
      </c>
      <c r="R19" s="910">
        <f>R17</f>
        <v>3771201.24</v>
      </c>
      <c r="S19" s="904">
        <f>SUM(S17:S18)</f>
        <v>1066700</v>
      </c>
      <c r="T19" s="910">
        <f>T17</f>
        <v>2826401.24</v>
      </c>
      <c r="U19" s="904">
        <f>SUM(U17:U18)</f>
        <v>1035625</v>
      </c>
      <c r="V19" s="910">
        <f>V17</f>
        <v>1881601.2400000002</v>
      </c>
      <c r="W19" s="905">
        <f>SUM(W17:W18)</f>
        <v>991550</v>
      </c>
      <c r="X19" s="910">
        <f>X17</f>
        <v>936601.24000000022</v>
      </c>
      <c r="Y19" s="905">
        <f>SUM(Y17:Y18)</f>
        <v>550175</v>
      </c>
      <c r="Z19" s="910">
        <f>Z17</f>
        <v>411601.24000000022</v>
      </c>
      <c r="AA19" s="905">
        <f>SUM(AA17:AA18)</f>
        <v>423901.24</v>
      </c>
      <c r="AB19" s="910">
        <f>AB17</f>
        <v>0</v>
      </c>
      <c r="AC19" s="844"/>
      <c r="AD19" s="845"/>
    </row>
    <row r="20" spans="1:30" ht="15.75" customHeight="1" thickBot="1" x14ac:dyDescent="0.25">
      <c r="A20" s="1189" t="s">
        <v>382</v>
      </c>
      <c r="B20" s="1190" t="s">
        <v>383</v>
      </c>
      <c r="C20" s="911" t="s">
        <v>375</v>
      </c>
      <c r="D20" s="837"/>
      <c r="E20" s="836"/>
      <c r="F20" s="912">
        <v>159188</v>
      </c>
      <c r="G20" s="836"/>
      <c r="H20" s="837"/>
      <c r="I20" s="836"/>
      <c r="J20" s="837">
        <f>H20-I20</f>
        <v>0</v>
      </c>
      <c r="K20" s="836"/>
      <c r="L20" s="837">
        <f>J20-K20</f>
        <v>0</v>
      </c>
      <c r="M20" s="836"/>
      <c r="N20" s="837">
        <f>L20-M20</f>
        <v>0</v>
      </c>
      <c r="O20" s="836"/>
      <c r="P20" s="837">
        <f>N20-O20</f>
        <v>0</v>
      </c>
      <c r="Q20" s="913"/>
      <c r="R20" s="914">
        <f>P20-Q20</f>
        <v>0</v>
      </c>
      <c r="S20" s="915"/>
      <c r="T20" s="914">
        <f>R20-S20</f>
        <v>0</v>
      </c>
      <c r="U20" s="915"/>
      <c r="V20" s="914">
        <f>T20-U20</f>
        <v>0</v>
      </c>
      <c r="W20" s="916"/>
      <c r="X20" s="914">
        <f>V20-W20</f>
        <v>0</v>
      </c>
      <c r="Y20" s="916"/>
      <c r="Z20" s="914">
        <f>X20-Y20</f>
        <v>0</v>
      </c>
      <c r="AA20" s="916"/>
      <c r="AB20" s="914">
        <f>Z20-AA20</f>
        <v>0</v>
      </c>
      <c r="AC20" s="917"/>
      <c r="AD20" s="918">
        <f>AB20-AC20</f>
        <v>0</v>
      </c>
    </row>
    <row r="21" spans="1:30" ht="13.5" thickBot="1" x14ac:dyDescent="0.25">
      <c r="A21" s="1189"/>
      <c r="B21" s="1190"/>
      <c r="C21" s="919" t="s">
        <v>376</v>
      </c>
      <c r="D21" s="920"/>
      <c r="E21" s="921">
        <v>3500</v>
      </c>
      <c r="F21" s="922"/>
      <c r="G21" s="921"/>
      <c r="H21" s="923"/>
      <c r="I21" s="921"/>
      <c r="J21" s="923"/>
      <c r="K21" s="921"/>
      <c r="L21" s="924"/>
      <c r="M21" s="921"/>
      <c r="N21" s="923"/>
      <c r="O21" s="921"/>
      <c r="P21" s="923"/>
      <c r="Q21" s="925"/>
      <c r="R21" s="926"/>
      <c r="S21" s="927"/>
      <c r="T21" s="926"/>
      <c r="U21" s="927"/>
      <c r="V21" s="926"/>
      <c r="W21" s="928"/>
      <c r="X21" s="926"/>
      <c r="Y21" s="928"/>
      <c r="Z21" s="926"/>
      <c r="AA21" s="928"/>
      <c r="AB21" s="926"/>
      <c r="AC21" s="929"/>
      <c r="AD21" s="845"/>
    </row>
    <row r="22" spans="1:30" ht="13.5" thickBot="1" x14ac:dyDescent="0.25">
      <c r="A22" s="1189"/>
      <c r="B22" s="1190"/>
      <c r="C22" s="930" t="s">
        <v>377</v>
      </c>
      <c r="D22" s="931"/>
      <c r="E22" s="932">
        <f>SUM(E20:E21)</f>
        <v>3500</v>
      </c>
      <c r="F22" s="933">
        <f>SUM(F20)</f>
        <v>159188</v>
      </c>
      <c r="G22" s="932">
        <f>SUM(G20:G21)</f>
        <v>0</v>
      </c>
      <c r="H22" s="931">
        <f>H20</f>
        <v>0</v>
      </c>
      <c r="I22" s="932">
        <f>SUM(I20:I21)</f>
        <v>0</v>
      </c>
      <c r="J22" s="931">
        <f>J20</f>
        <v>0</v>
      </c>
      <c r="K22" s="932">
        <f>SUM(K20:K21)</f>
        <v>0</v>
      </c>
      <c r="L22" s="931">
        <f>L20</f>
        <v>0</v>
      </c>
      <c r="M22" s="932">
        <f>SUM(M20:M21)</f>
        <v>0</v>
      </c>
      <c r="N22" s="931">
        <f>N20</f>
        <v>0</v>
      </c>
      <c r="O22" s="932">
        <f>SUM(O20:O21)</f>
        <v>0</v>
      </c>
      <c r="P22" s="931">
        <f>P20</f>
        <v>0</v>
      </c>
      <c r="Q22" s="934">
        <f>SUM(Q20:Q21)</f>
        <v>0</v>
      </c>
      <c r="R22" s="935">
        <f>R20</f>
        <v>0</v>
      </c>
      <c r="S22" s="936">
        <f>SUM(S20:S21)</f>
        <v>0</v>
      </c>
      <c r="T22" s="935">
        <f>T20</f>
        <v>0</v>
      </c>
      <c r="U22" s="936">
        <f>SUM(U20:U21)</f>
        <v>0</v>
      </c>
      <c r="V22" s="935">
        <f>V20</f>
        <v>0</v>
      </c>
      <c r="W22" s="937">
        <f>SUM(W20:W21)</f>
        <v>0</v>
      </c>
      <c r="X22" s="935">
        <f>SUM(X20)</f>
        <v>0</v>
      </c>
      <c r="Y22" s="938">
        <f>SUM(Y20:Y21)</f>
        <v>0</v>
      </c>
      <c r="Z22" s="939">
        <f>SUM(Z20)</f>
        <v>0</v>
      </c>
      <c r="AA22" s="938">
        <f>AA20+AA21</f>
        <v>0</v>
      </c>
      <c r="AB22" s="939">
        <v>0</v>
      </c>
      <c r="AC22" s="929">
        <f>AC20+AC21</f>
        <v>0</v>
      </c>
      <c r="AD22" s="940">
        <f>AD20</f>
        <v>0</v>
      </c>
    </row>
    <row r="23" spans="1:30" ht="22.5" customHeight="1" x14ac:dyDescent="0.2">
      <c r="A23" s="1201" t="s">
        <v>384</v>
      </c>
      <c r="B23" s="1202"/>
      <c r="C23" s="941" t="s">
        <v>375</v>
      </c>
      <c r="D23" s="942">
        <f>D20</f>
        <v>0</v>
      </c>
      <c r="E23" s="943" t="e">
        <f>E20+#REF!+#REF!</f>
        <v>#REF!</v>
      </c>
      <c r="F23" s="944" t="e">
        <f>F20+#REF!+#REF!</f>
        <v>#REF!</v>
      </c>
      <c r="G23" s="892">
        <f>G20</f>
        <v>0</v>
      </c>
      <c r="H23" s="891">
        <f t="shared" ref="H23:L23" si="1">H20</f>
        <v>0</v>
      </c>
      <c r="I23" s="945">
        <f>I20</f>
        <v>0</v>
      </c>
      <c r="J23" s="891">
        <f t="shared" si="1"/>
        <v>0</v>
      </c>
      <c r="K23" s="945">
        <f>K20</f>
        <v>0</v>
      </c>
      <c r="L23" s="891">
        <f t="shared" si="1"/>
        <v>0</v>
      </c>
      <c r="M23" s="945">
        <f>M20</f>
        <v>0</v>
      </c>
      <c r="N23" s="891">
        <f t="shared" ref="N23:Z23" si="2">N20</f>
        <v>0</v>
      </c>
      <c r="O23" s="945">
        <f t="shared" si="2"/>
        <v>0</v>
      </c>
      <c r="P23" s="891">
        <f t="shared" si="2"/>
        <v>0</v>
      </c>
      <c r="Q23" s="945">
        <f t="shared" si="2"/>
        <v>0</v>
      </c>
      <c r="R23" s="891">
        <f t="shared" si="2"/>
        <v>0</v>
      </c>
      <c r="S23" s="946">
        <f t="shared" si="2"/>
        <v>0</v>
      </c>
      <c r="T23" s="891">
        <f t="shared" si="2"/>
        <v>0</v>
      </c>
      <c r="U23" s="946">
        <f t="shared" si="2"/>
        <v>0</v>
      </c>
      <c r="V23" s="891">
        <f t="shared" si="2"/>
        <v>0</v>
      </c>
      <c r="W23" s="946">
        <f t="shared" si="2"/>
        <v>0</v>
      </c>
      <c r="X23" s="891">
        <f t="shared" si="2"/>
        <v>0</v>
      </c>
      <c r="Y23" s="946">
        <f t="shared" si="2"/>
        <v>0</v>
      </c>
      <c r="Z23" s="891">
        <f t="shared" si="2"/>
        <v>0</v>
      </c>
      <c r="AA23" s="946">
        <f>+AA20</f>
        <v>0</v>
      </c>
      <c r="AB23" s="947">
        <f>AB20</f>
        <v>0</v>
      </c>
      <c r="AC23" s="948">
        <f>AC20</f>
        <v>0</v>
      </c>
      <c r="AD23" s="949">
        <f>AD20</f>
        <v>0</v>
      </c>
    </row>
    <row r="24" spans="1:30" ht="18" customHeight="1" x14ac:dyDescent="0.2">
      <c r="A24" s="1203"/>
      <c r="B24" s="1204"/>
      <c r="C24" s="847" t="s">
        <v>376</v>
      </c>
      <c r="D24" s="848"/>
      <c r="E24" s="849" t="e">
        <f>E21+#REF!+#REF!+#REF!</f>
        <v>#REF!</v>
      </c>
      <c r="F24" s="850"/>
      <c r="G24" s="900">
        <f>G21</f>
        <v>0</v>
      </c>
      <c r="H24" s="899"/>
      <c r="I24" s="900"/>
      <c r="J24" s="899"/>
      <c r="K24" s="900"/>
      <c r="L24" s="950"/>
      <c r="M24" s="900"/>
      <c r="N24" s="899"/>
      <c r="O24" s="900"/>
      <c r="P24" s="899"/>
      <c r="Q24" s="902"/>
      <c r="R24" s="910"/>
      <c r="S24" s="904"/>
      <c r="T24" s="910"/>
      <c r="U24" s="904"/>
      <c r="V24" s="910"/>
      <c r="W24" s="905"/>
      <c r="X24" s="910"/>
      <c r="Y24" s="905"/>
      <c r="Z24" s="903"/>
      <c r="AA24" s="905">
        <f>AA21</f>
        <v>0</v>
      </c>
      <c r="AB24" s="910"/>
      <c r="AC24" s="951">
        <f>AC21</f>
        <v>0</v>
      </c>
      <c r="AD24" s="845"/>
    </row>
    <row r="25" spans="1:30" ht="18.75" customHeight="1" thickBot="1" x14ac:dyDescent="0.25">
      <c r="A25" s="1205"/>
      <c r="B25" s="1206"/>
      <c r="C25" s="952" t="s">
        <v>377</v>
      </c>
      <c r="D25" s="907"/>
      <c r="E25" s="908" t="e">
        <f>SUM(E23:E24)</f>
        <v>#REF!</v>
      </c>
      <c r="F25" s="909" t="e">
        <f>F23</f>
        <v>#REF!</v>
      </c>
      <c r="G25" s="908">
        <f>SUM(G23:G24)</f>
        <v>0</v>
      </c>
      <c r="H25" s="907">
        <f>SUM(H23)</f>
        <v>0</v>
      </c>
      <c r="I25" s="908">
        <f>SUM(I23:I24)</f>
        <v>0</v>
      </c>
      <c r="J25" s="907">
        <f>J23</f>
        <v>0</v>
      </c>
      <c r="K25" s="908">
        <f>SUM(K23:K24)</f>
        <v>0</v>
      </c>
      <c r="L25" s="907">
        <f>L23</f>
        <v>0</v>
      </c>
      <c r="M25" s="908">
        <f>SUM(M23:M24)</f>
        <v>0</v>
      </c>
      <c r="N25" s="907">
        <f>N23</f>
        <v>0</v>
      </c>
      <c r="O25" s="908">
        <f>SUM(O23:O24)</f>
        <v>0</v>
      </c>
      <c r="P25" s="907">
        <f>P23</f>
        <v>0</v>
      </c>
      <c r="Q25" s="953">
        <f>Q23+Q24</f>
        <v>0</v>
      </c>
      <c r="R25" s="954">
        <f>SUM(R23)</f>
        <v>0</v>
      </c>
      <c r="S25" s="955">
        <f>SUM(S23:S24)</f>
        <v>0</v>
      </c>
      <c r="T25" s="954">
        <f>SUM(T23)</f>
        <v>0</v>
      </c>
      <c r="U25" s="955">
        <f>SUM(U23:U24)</f>
        <v>0</v>
      </c>
      <c r="V25" s="954">
        <f>V23</f>
        <v>0</v>
      </c>
      <c r="W25" s="956">
        <f>SUM(W23:W24)</f>
        <v>0</v>
      </c>
      <c r="X25" s="954">
        <f>X23</f>
        <v>0</v>
      </c>
      <c r="Y25" s="957">
        <f>SUM(Y23:Y24)</f>
        <v>0</v>
      </c>
      <c r="Z25" s="958">
        <f>Z23</f>
        <v>0</v>
      </c>
      <c r="AA25" s="957">
        <f>AA23+AA24</f>
        <v>0</v>
      </c>
      <c r="AB25" s="958">
        <f>AB23</f>
        <v>0</v>
      </c>
      <c r="AC25" s="959">
        <f>SUM(AC23:AC24)</f>
        <v>0</v>
      </c>
      <c r="AD25" s="960">
        <f>AD23</f>
        <v>0</v>
      </c>
    </row>
    <row r="26" spans="1:30" s="824" customFormat="1" ht="21.75" customHeight="1" thickBot="1" x14ac:dyDescent="0.25">
      <c r="A26" s="961"/>
      <c r="B26" s="1207" t="s">
        <v>385</v>
      </c>
      <c r="C26" s="941" t="s">
        <v>375</v>
      </c>
      <c r="D26" s="942">
        <f>D17+D23</f>
        <v>13100001.24</v>
      </c>
      <c r="E26" s="943" t="e">
        <f>E17+E23</f>
        <v>#REF!</v>
      </c>
      <c r="F26" s="944" t="e">
        <f>F17+F23</f>
        <v>#REF!</v>
      </c>
      <c r="G26" s="943">
        <f>G23+G17</f>
        <v>1676800</v>
      </c>
      <c r="H26" s="942">
        <f>H17+H23</f>
        <v>11423201.24</v>
      </c>
      <c r="I26" s="943">
        <f>I23+I17</f>
        <v>1676800</v>
      </c>
      <c r="J26" s="942">
        <f>J17+J23</f>
        <v>9746401.2400000002</v>
      </c>
      <c r="K26" s="943">
        <f>K23+K17</f>
        <v>1676800</v>
      </c>
      <c r="L26" s="942">
        <f>L23+L17</f>
        <v>8069601.2400000002</v>
      </c>
      <c r="M26" s="943">
        <f>M17+M23</f>
        <v>1676800</v>
      </c>
      <c r="N26" s="942">
        <f>N17+N23</f>
        <v>6392801.2400000002</v>
      </c>
      <c r="O26" s="943">
        <f>O17+O23</f>
        <v>1676800</v>
      </c>
      <c r="P26" s="942">
        <f t="shared" ref="P26:U26" si="3">P23+P17</f>
        <v>4716001.24</v>
      </c>
      <c r="Q26" s="857">
        <f t="shared" si="3"/>
        <v>944800</v>
      </c>
      <c r="R26" s="843">
        <f t="shared" si="3"/>
        <v>3771201.24</v>
      </c>
      <c r="S26" s="962">
        <f t="shared" si="3"/>
        <v>944800</v>
      </c>
      <c r="T26" s="843">
        <f>T23+T17</f>
        <v>2826401.24</v>
      </c>
      <c r="U26" s="962">
        <f t="shared" si="3"/>
        <v>944800</v>
      </c>
      <c r="V26" s="843">
        <f>V17+V20</f>
        <v>1881601.2400000002</v>
      </c>
      <c r="W26" s="842">
        <f>W23+W17</f>
        <v>945000</v>
      </c>
      <c r="X26" s="843">
        <f>X17+X23</f>
        <v>936601.24000000022</v>
      </c>
      <c r="Y26" s="842">
        <f>Y23+Y17</f>
        <v>525000</v>
      </c>
      <c r="Z26" s="843">
        <f>Z23+Z17</f>
        <v>411601.24000000022</v>
      </c>
      <c r="AA26" s="842">
        <f>AA17+AA23</f>
        <v>411601.24</v>
      </c>
      <c r="AB26" s="843">
        <f>AB23</f>
        <v>0</v>
      </c>
      <c r="AC26" s="963">
        <f>AC23</f>
        <v>0</v>
      </c>
      <c r="AD26" s="940">
        <f>AD23</f>
        <v>0</v>
      </c>
    </row>
    <row r="27" spans="1:30" s="824" customFormat="1" ht="22.5" customHeight="1" thickBot="1" x14ac:dyDescent="0.25">
      <c r="A27" s="846"/>
      <c r="B27" s="1207"/>
      <c r="C27" s="847" t="s">
        <v>376</v>
      </c>
      <c r="D27" s="851"/>
      <c r="E27" s="849" t="e">
        <f>E18+E24</f>
        <v>#REF!</v>
      </c>
      <c r="F27" s="850"/>
      <c r="G27" s="849">
        <f>G18+G24</f>
        <v>462000</v>
      </c>
      <c r="H27" s="851"/>
      <c r="I27" s="849">
        <f>I18+I24</f>
        <v>400275</v>
      </c>
      <c r="J27" s="851"/>
      <c r="K27" s="849">
        <f>K18+K24</f>
        <v>338200</v>
      </c>
      <c r="L27" s="852"/>
      <c r="M27" s="849">
        <f>M18+M24</f>
        <v>276625</v>
      </c>
      <c r="N27" s="851"/>
      <c r="O27" s="849">
        <f>O18+O24</f>
        <v>214450</v>
      </c>
      <c r="P27" s="851"/>
      <c r="Q27" s="857">
        <f>Q24+Q18</f>
        <v>152975</v>
      </c>
      <c r="R27" s="964"/>
      <c r="S27" s="962">
        <f>S24+S18</f>
        <v>121900</v>
      </c>
      <c r="T27" s="964"/>
      <c r="U27" s="962">
        <f>U24+U18</f>
        <v>90825</v>
      </c>
      <c r="V27" s="964"/>
      <c r="W27" s="842">
        <f>W24+W18</f>
        <v>46550</v>
      </c>
      <c r="X27" s="964"/>
      <c r="Y27" s="842">
        <f>Y24+Y18</f>
        <v>25175</v>
      </c>
      <c r="Z27" s="964"/>
      <c r="AA27" s="842">
        <f>AA18+AA24</f>
        <v>12300</v>
      </c>
      <c r="AB27" s="964"/>
      <c r="AC27" s="963">
        <f>AC24</f>
        <v>0</v>
      </c>
      <c r="AD27" s="845"/>
    </row>
    <row r="28" spans="1:30" s="824" customFormat="1" ht="26.25" customHeight="1" thickBot="1" x14ac:dyDescent="0.25">
      <c r="A28" s="965"/>
      <c r="B28" s="1207"/>
      <c r="C28" s="952" t="s">
        <v>377</v>
      </c>
      <c r="D28" s="966">
        <f>D26</f>
        <v>13100001.24</v>
      </c>
      <c r="E28" s="967" t="e">
        <f>SUM(E26:E27)</f>
        <v>#REF!</v>
      </c>
      <c r="F28" s="968" t="e">
        <f>F26</f>
        <v>#REF!</v>
      </c>
      <c r="G28" s="967">
        <f>SUM(G26:G27)</f>
        <v>2138800</v>
      </c>
      <c r="H28" s="966">
        <f>SUM(H26)</f>
        <v>11423201.24</v>
      </c>
      <c r="I28" s="967">
        <f>I26+I27</f>
        <v>2077075</v>
      </c>
      <c r="J28" s="966">
        <f>J26</f>
        <v>9746401.2400000002</v>
      </c>
      <c r="K28" s="967">
        <f>SUM(K26:K27)</f>
        <v>2015000</v>
      </c>
      <c r="L28" s="966">
        <f>L26</f>
        <v>8069601.2400000002</v>
      </c>
      <c r="M28" s="967">
        <f>SUM(M26:M27)</f>
        <v>1953425</v>
      </c>
      <c r="N28" s="966">
        <f>N26</f>
        <v>6392801.2400000002</v>
      </c>
      <c r="O28" s="967">
        <f>SUM(O26:O27)</f>
        <v>1891250</v>
      </c>
      <c r="P28" s="966">
        <f>P26</f>
        <v>4716001.24</v>
      </c>
      <c r="Q28" s="857">
        <f>Q26+Q27</f>
        <v>1097775</v>
      </c>
      <c r="R28" s="843">
        <f>R26</f>
        <v>3771201.24</v>
      </c>
      <c r="S28" s="962">
        <f>S26+S27</f>
        <v>1066700</v>
      </c>
      <c r="T28" s="843">
        <f>T26</f>
        <v>2826401.24</v>
      </c>
      <c r="U28" s="962">
        <f>U26+U27</f>
        <v>1035625</v>
      </c>
      <c r="V28" s="843">
        <f>V26</f>
        <v>1881601.2400000002</v>
      </c>
      <c r="W28" s="842">
        <f>SUM(W26:W27)</f>
        <v>991550</v>
      </c>
      <c r="X28" s="843">
        <f>X26</f>
        <v>936601.24000000022</v>
      </c>
      <c r="Y28" s="842">
        <f>SUM(Y26:Y27)</f>
        <v>550175</v>
      </c>
      <c r="Z28" s="843">
        <f>Z26</f>
        <v>411601.24000000022</v>
      </c>
      <c r="AA28" s="842">
        <f>AA26+AA27</f>
        <v>423901.24</v>
      </c>
      <c r="AB28" s="843">
        <f>AB26</f>
        <v>0</v>
      </c>
      <c r="AC28" s="963">
        <f>AC25</f>
        <v>0</v>
      </c>
      <c r="AD28" s="940">
        <f>AD26</f>
        <v>0</v>
      </c>
    </row>
    <row r="29" spans="1:30" ht="18" customHeight="1" thickBot="1" x14ac:dyDescent="0.25">
      <c r="A29" s="969" t="s">
        <v>386</v>
      </c>
      <c r="B29" s="970" t="s">
        <v>387</v>
      </c>
      <c r="C29" s="971"/>
      <c r="D29" s="972"/>
      <c r="E29" s="973"/>
      <c r="F29" s="974"/>
      <c r="G29" s="973"/>
      <c r="H29" s="972"/>
      <c r="I29" s="973"/>
      <c r="J29" s="972"/>
      <c r="K29" s="973"/>
      <c r="L29" s="975"/>
      <c r="M29" s="973"/>
      <c r="N29" s="972"/>
      <c r="O29" s="973"/>
      <c r="P29" s="972"/>
      <c r="Q29" s="976"/>
      <c r="R29" s="977"/>
      <c r="S29" s="978"/>
      <c r="T29" s="977"/>
      <c r="U29" s="978"/>
      <c r="V29" s="977"/>
      <c r="W29" s="979"/>
      <c r="X29" s="977"/>
      <c r="Y29" s="979"/>
      <c r="Z29" s="977"/>
      <c r="AA29" s="979"/>
      <c r="AB29" s="977"/>
      <c r="AC29" s="980"/>
      <c r="AD29" s="981"/>
    </row>
    <row r="30" spans="1:30" ht="14.25" customHeight="1" x14ac:dyDescent="0.2">
      <c r="A30" s="982" t="s">
        <v>388</v>
      </c>
      <c r="B30" s="983" t="s">
        <v>389</v>
      </c>
      <c r="C30" s="984" t="s">
        <v>375</v>
      </c>
      <c r="D30" s="942"/>
      <c r="E30" s="943"/>
      <c r="F30" s="944"/>
      <c r="G30" s="943">
        <v>5200</v>
      </c>
      <c r="H30" s="942"/>
      <c r="I30" s="943"/>
      <c r="J30" s="942"/>
      <c r="K30" s="943"/>
      <c r="L30" s="985"/>
      <c r="M30" s="943"/>
      <c r="N30" s="942"/>
      <c r="O30" s="943"/>
      <c r="P30" s="942"/>
      <c r="Q30" s="879"/>
      <c r="R30" s="964"/>
      <c r="S30" s="986"/>
      <c r="T30" s="964"/>
      <c r="U30" s="986"/>
      <c r="V30" s="964"/>
      <c r="W30" s="987"/>
      <c r="X30" s="964"/>
      <c r="Y30" s="987"/>
      <c r="Z30" s="964"/>
      <c r="AA30" s="987"/>
      <c r="AB30" s="964"/>
      <c r="AC30" s="844"/>
      <c r="AD30" s="845"/>
    </row>
    <row r="31" spans="1:30" x14ac:dyDescent="0.2">
      <c r="A31" s="988"/>
      <c r="B31" s="989"/>
      <c r="C31" s="847" t="s">
        <v>376</v>
      </c>
      <c r="D31" s="851"/>
      <c r="E31" s="849">
        <v>30800</v>
      </c>
      <c r="F31" s="850"/>
      <c r="G31" s="849"/>
      <c r="H31" s="851"/>
      <c r="I31" s="849"/>
      <c r="J31" s="851"/>
      <c r="K31" s="849"/>
      <c r="L31" s="852"/>
      <c r="M31" s="849"/>
      <c r="N31" s="851"/>
      <c r="O31" s="849"/>
      <c r="P31" s="851"/>
      <c r="Q31" s="879"/>
      <c r="R31" s="964"/>
      <c r="S31" s="986"/>
      <c r="T31" s="964"/>
      <c r="U31" s="986"/>
      <c r="V31" s="964"/>
      <c r="W31" s="987"/>
      <c r="X31" s="964"/>
      <c r="Y31" s="987"/>
      <c r="Z31" s="964"/>
      <c r="AA31" s="987"/>
      <c r="AB31" s="964"/>
      <c r="AC31" s="844"/>
      <c r="AD31" s="845"/>
    </row>
    <row r="32" spans="1:30" ht="13.5" thickBot="1" x14ac:dyDescent="0.25">
      <c r="A32" s="988"/>
      <c r="B32" s="989"/>
      <c r="C32" s="952" t="s">
        <v>377</v>
      </c>
      <c r="D32" s="851"/>
      <c r="E32" s="849"/>
      <c r="F32" s="850"/>
      <c r="G32" s="849"/>
      <c r="H32" s="851"/>
      <c r="I32" s="849"/>
      <c r="J32" s="851"/>
      <c r="K32" s="849"/>
      <c r="L32" s="852"/>
      <c r="M32" s="849"/>
      <c r="N32" s="851"/>
      <c r="O32" s="849"/>
      <c r="P32" s="851"/>
      <c r="Q32" s="990"/>
      <c r="R32" s="991"/>
      <c r="S32" s="992"/>
      <c r="T32" s="991"/>
      <c r="U32" s="992"/>
      <c r="V32" s="991"/>
      <c r="W32" s="993"/>
      <c r="X32" s="991"/>
      <c r="Y32" s="987"/>
      <c r="Z32" s="964"/>
      <c r="AA32" s="987"/>
      <c r="AB32" s="964"/>
      <c r="AC32" s="844"/>
      <c r="AD32" s="845"/>
    </row>
    <row r="33" spans="1:30" ht="27.75" customHeight="1" thickBot="1" x14ac:dyDescent="0.25">
      <c r="A33" s="941"/>
      <c r="B33" s="1207" t="s">
        <v>390</v>
      </c>
      <c r="C33" s="890" t="s">
        <v>375</v>
      </c>
      <c r="D33" s="891">
        <f t="shared" ref="D33:AB33" si="4">D26</f>
        <v>13100001.24</v>
      </c>
      <c r="E33" s="892" t="e">
        <f t="shared" si="4"/>
        <v>#REF!</v>
      </c>
      <c r="F33" s="893" t="e">
        <f t="shared" si="4"/>
        <v>#REF!</v>
      </c>
      <c r="G33" s="892">
        <f t="shared" si="4"/>
        <v>1676800</v>
      </c>
      <c r="H33" s="891">
        <f t="shared" si="4"/>
        <v>11423201.24</v>
      </c>
      <c r="I33" s="892">
        <f t="shared" si="4"/>
        <v>1676800</v>
      </c>
      <c r="J33" s="891">
        <f t="shared" si="4"/>
        <v>9746401.2400000002</v>
      </c>
      <c r="K33" s="892">
        <f t="shared" si="4"/>
        <v>1676800</v>
      </c>
      <c r="L33" s="891">
        <f t="shared" si="4"/>
        <v>8069601.2400000002</v>
      </c>
      <c r="M33" s="892">
        <f t="shared" si="4"/>
        <v>1676800</v>
      </c>
      <c r="N33" s="891">
        <f t="shared" si="4"/>
        <v>6392801.2400000002</v>
      </c>
      <c r="O33" s="892">
        <f t="shared" si="4"/>
        <v>1676800</v>
      </c>
      <c r="P33" s="891">
        <f t="shared" si="4"/>
        <v>4716001.24</v>
      </c>
      <c r="Q33" s="902">
        <f t="shared" si="4"/>
        <v>944800</v>
      </c>
      <c r="R33" s="910">
        <f t="shared" si="4"/>
        <v>3771201.24</v>
      </c>
      <c r="S33" s="904">
        <f t="shared" si="4"/>
        <v>944800</v>
      </c>
      <c r="T33" s="910">
        <f t="shared" si="4"/>
        <v>2826401.24</v>
      </c>
      <c r="U33" s="904">
        <f t="shared" si="4"/>
        <v>944800</v>
      </c>
      <c r="V33" s="910">
        <f t="shared" si="4"/>
        <v>1881601.2400000002</v>
      </c>
      <c r="W33" s="905">
        <f t="shared" si="4"/>
        <v>945000</v>
      </c>
      <c r="X33" s="910">
        <f t="shared" si="4"/>
        <v>936601.24000000022</v>
      </c>
      <c r="Y33" s="994">
        <f t="shared" si="4"/>
        <v>525000</v>
      </c>
      <c r="Z33" s="995">
        <f t="shared" si="4"/>
        <v>411601.24000000022</v>
      </c>
      <c r="AA33" s="994">
        <f t="shared" si="4"/>
        <v>411601.24</v>
      </c>
      <c r="AB33" s="995">
        <f t="shared" si="4"/>
        <v>0</v>
      </c>
      <c r="AC33" s="948">
        <f>AC26</f>
        <v>0</v>
      </c>
      <c r="AD33" s="996">
        <f>AD26</f>
        <v>0</v>
      </c>
    </row>
    <row r="34" spans="1:30" ht="22.5" customHeight="1" thickBot="1" x14ac:dyDescent="0.25">
      <c r="A34" s="847"/>
      <c r="B34" s="1207"/>
      <c r="C34" s="898" t="s">
        <v>376</v>
      </c>
      <c r="D34" s="899"/>
      <c r="E34" s="900" t="e">
        <f>E27+E31</f>
        <v>#REF!</v>
      </c>
      <c r="F34" s="901"/>
      <c r="G34" s="900">
        <f>G27+G30</f>
        <v>467200</v>
      </c>
      <c r="H34" s="899"/>
      <c r="I34" s="900">
        <f>I27</f>
        <v>400275</v>
      </c>
      <c r="J34" s="899"/>
      <c r="K34" s="900">
        <f>K27</f>
        <v>338200</v>
      </c>
      <c r="L34" s="899"/>
      <c r="M34" s="900">
        <f>M27</f>
        <v>276625</v>
      </c>
      <c r="N34" s="899"/>
      <c r="O34" s="900">
        <f>O27</f>
        <v>214450</v>
      </c>
      <c r="P34" s="899"/>
      <c r="Q34" s="902">
        <f>Q27</f>
        <v>152975</v>
      </c>
      <c r="R34" s="903"/>
      <c r="S34" s="904">
        <f>S27</f>
        <v>121900</v>
      </c>
      <c r="T34" s="903"/>
      <c r="U34" s="904">
        <f>U27</f>
        <v>90825</v>
      </c>
      <c r="V34" s="903"/>
      <c r="W34" s="905">
        <f>W27</f>
        <v>46550</v>
      </c>
      <c r="X34" s="903"/>
      <c r="Y34" s="905">
        <f>Y27</f>
        <v>25175</v>
      </c>
      <c r="Z34" s="903"/>
      <c r="AA34" s="905">
        <f>AA27</f>
        <v>12300</v>
      </c>
      <c r="AB34" s="903"/>
      <c r="AC34" s="951">
        <f>AC27</f>
        <v>0</v>
      </c>
      <c r="AD34" s="997"/>
    </row>
    <row r="35" spans="1:30" ht="28.5" customHeight="1" thickBot="1" x14ac:dyDescent="0.25">
      <c r="A35" s="952"/>
      <c r="B35" s="1207"/>
      <c r="C35" s="906" t="s">
        <v>377</v>
      </c>
      <c r="D35" s="907">
        <f>D33</f>
        <v>13100001.24</v>
      </c>
      <c r="E35" s="908" t="e">
        <f>SUM(E33:E34)</f>
        <v>#REF!</v>
      </c>
      <c r="F35" s="909" t="e">
        <f>F33</f>
        <v>#REF!</v>
      </c>
      <c r="G35" s="908">
        <f>G33+G34</f>
        <v>2144000</v>
      </c>
      <c r="H35" s="907">
        <f>H33</f>
        <v>11423201.24</v>
      </c>
      <c r="I35" s="908">
        <f>SUM(I33:I34)</f>
        <v>2077075</v>
      </c>
      <c r="J35" s="907">
        <f>J33</f>
        <v>9746401.2400000002</v>
      </c>
      <c r="K35" s="908">
        <f>SUM(K33:K34)</f>
        <v>2015000</v>
      </c>
      <c r="L35" s="907">
        <f>L33</f>
        <v>8069601.2400000002</v>
      </c>
      <c r="M35" s="908">
        <f>SUM(M33:M34)</f>
        <v>1953425</v>
      </c>
      <c r="N35" s="907">
        <f>N33</f>
        <v>6392801.2400000002</v>
      </c>
      <c r="O35" s="908">
        <f>SUM(O33:O34)</f>
        <v>1891250</v>
      </c>
      <c r="P35" s="907">
        <f>P33</f>
        <v>4716001.24</v>
      </c>
      <c r="Q35" s="998">
        <f>SUM(Q33:Q34)</f>
        <v>1097775</v>
      </c>
      <c r="R35" s="958">
        <f>R33</f>
        <v>3771201.24</v>
      </c>
      <c r="S35" s="999">
        <f>S33+S34</f>
        <v>1066700</v>
      </c>
      <c r="T35" s="958">
        <f>T33</f>
        <v>2826401.24</v>
      </c>
      <c r="U35" s="999">
        <f>SUM(U33:U34)</f>
        <v>1035625</v>
      </c>
      <c r="V35" s="958">
        <f>V33</f>
        <v>1881601.2400000002</v>
      </c>
      <c r="W35" s="957">
        <f>SUM(W33:W34)</f>
        <v>991550</v>
      </c>
      <c r="X35" s="958">
        <f>X33</f>
        <v>936601.24000000022</v>
      </c>
      <c r="Y35" s="957">
        <f>SUM(Y33:Y34)</f>
        <v>550175</v>
      </c>
      <c r="Z35" s="958">
        <f>Z33</f>
        <v>411601.24000000022</v>
      </c>
      <c r="AA35" s="957">
        <f>SUM(AA33:AA34)</f>
        <v>423901.24</v>
      </c>
      <c r="AB35" s="958">
        <f>AB33</f>
        <v>0</v>
      </c>
      <c r="AC35" s="959">
        <f>AC33+AC34</f>
        <v>0</v>
      </c>
      <c r="AD35" s="1000">
        <f>AD28</f>
        <v>0</v>
      </c>
    </row>
    <row r="36" spans="1:30" x14ac:dyDescent="0.2">
      <c r="B36" s="1001"/>
    </row>
    <row r="37" spans="1:30" x14ac:dyDescent="0.2">
      <c r="B37" s="1001"/>
    </row>
    <row r="38" spans="1:30" x14ac:dyDescent="0.2">
      <c r="B38" s="1001"/>
    </row>
  </sheetData>
  <sheetProtection selectLockedCells="1" selectUnlockedCells="1"/>
  <mergeCells count="29">
    <mergeCell ref="A23:B25"/>
    <mergeCell ref="B26:B28"/>
    <mergeCell ref="B33:B35"/>
    <mergeCell ref="AA3:AB3"/>
    <mergeCell ref="AC3:AD3"/>
    <mergeCell ref="B5:B7"/>
    <mergeCell ref="B8:B10"/>
    <mergeCell ref="B11:B13"/>
    <mergeCell ref="B14:B16"/>
    <mergeCell ref="O3:P3"/>
    <mergeCell ref="Q3:R3"/>
    <mergeCell ref="S3:T3"/>
    <mergeCell ref="U3:V3"/>
    <mergeCell ref="W3:X3"/>
    <mergeCell ref="Y3:Z3"/>
    <mergeCell ref="A17:B19"/>
    <mergeCell ref="A20:A22"/>
    <mergeCell ref="B20:B22"/>
    <mergeCell ref="I1:N1"/>
    <mergeCell ref="A3:A4"/>
    <mergeCell ref="B3:B4"/>
    <mergeCell ref="C3:C4"/>
    <mergeCell ref="D3:D4"/>
    <mergeCell ref="E3:F3"/>
    <mergeCell ref="G3:H3"/>
    <mergeCell ref="I3:J3"/>
    <mergeCell ref="K3:L3"/>
    <mergeCell ref="M3:N3"/>
    <mergeCell ref="D1:H1"/>
  </mergeCells>
  <pageMargins left="0.98425196850393704" right="0" top="1.1023622047244095" bottom="0.11811023622047245" header="0.59055118110236227" footer="3.937007874015748E-2"/>
  <pageSetup paperSize="9" firstPageNumber="0" fitToWidth="0" orientation="portrait" r:id="rId1"/>
  <headerFooter alignWithMargins="0">
    <oddFooter>Strona &amp;P z &amp;N</oddFooter>
  </headerFooter>
  <colBreaks count="2" manualBreakCount="2">
    <brk id="20" max="1048575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 Zał.1 Dochody  </vt:lpstr>
      <vt:lpstr>Zał. 2 Wydatki   </vt:lpstr>
      <vt:lpstr> prognoza zadłużenia 2015) </vt:lpstr>
      <vt:lpstr>' prognoza zadłużenia 2015) '!Excel_BuiltIn_Print_Titles_1</vt:lpstr>
      <vt:lpstr>' prognoza zadłużenia 2015) '!Tytuły_wydruku</vt:lpstr>
      <vt:lpstr>' Zał.1 Dochody  '!Tytuły_wydruku</vt:lpstr>
      <vt:lpstr>'Zał. 2 Wydatki   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2014-11-10T09:57:32Z</cp:lastPrinted>
  <dcterms:created xsi:type="dcterms:W3CDTF">2014-11-03T11:45:34Z</dcterms:created>
  <dcterms:modified xsi:type="dcterms:W3CDTF">2014-11-10T09:57:34Z</dcterms:modified>
</cp:coreProperties>
</file>