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 activeTab="2"/>
  </bookViews>
  <sheets>
    <sheet name="Zał. 1 Dochody" sheetId="5" r:id="rId1"/>
    <sheet name="Zał. 2 Wydatki   " sheetId="2" r:id="rId2"/>
    <sheet name=" prognoza zadłużenia 2016 -2026" sheetId="6" r:id="rId3"/>
  </sheets>
  <externalReferences>
    <externalReference r:id="rId4"/>
  </externalReferences>
  <definedNames>
    <definedName name="_xlnm._FilterDatabase" localSheetId="1" hidden="1">'Zał. 2 Wydatki   '!$A$3:$Y$355</definedName>
    <definedName name="Excel_BuiltIn_Print_Titles_1" localSheetId="2">' prognoza zadłużenia 2016 -2026'!$A:$B</definedName>
    <definedName name="Excel_BuiltIn_Print_Titles_2" localSheetId="2">#REF!</definedName>
    <definedName name="Excel_BuiltIn_Print_Titles_2" localSheetId="0">#REF!</definedName>
    <definedName name="Excel_BuiltIn_Print_Titles_2" localSheetId="1">#REF!</definedName>
    <definedName name="Excel_BuiltIn_Print_Titles_2">#REF!</definedName>
    <definedName name="Excel_BuiltIn_Print_Titles_2_1" localSheetId="2">#REF!</definedName>
    <definedName name="Excel_BuiltIn_Print_Titles_2_1" localSheetId="0">#REF!</definedName>
    <definedName name="Excel_BuiltIn_Print_Titles_2_1" localSheetId="1">#REF!</definedName>
    <definedName name="Excel_BuiltIn_Print_Titles_2_1">#REF!</definedName>
    <definedName name="Excel_BuiltIn_Print_Titles_2_1_1" localSheetId="2">#REF!</definedName>
    <definedName name="Excel_BuiltIn_Print_Titles_2_1_1" localSheetId="0">#REF!</definedName>
    <definedName name="Excel_BuiltIn_Print_Titles_2_1_1" localSheetId="1">#REF!</definedName>
    <definedName name="Excel_BuiltIn_Print_Titles_2_1_1">#REF!</definedName>
    <definedName name="Excel_BuiltIn_Print_Titles_3_1" localSheetId="2">#REF!</definedName>
    <definedName name="Excel_BuiltIn_Print_Titles_3_1" localSheetId="0">#REF!</definedName>
    <definedName name="Excel_BuiltIn_Print_Titles_3_1" localSheetId="1">#REF!</definedName>
    <definedName name="Excel_BuiltIn_Print_Titles_3_1">#REF!</definedName>
    <definedName name="Excel_BuiltIn_Print_Titles_3_1_1" localSheetId="2">#REF!</definedName>
    <definedName name="Excel_BuiltIn_Print_Titles_3_1_1" localSheetId="0">#REF!</definedName>
    <definedName name="Excel_BuiltIn_Print_Titles_3_1_1">#REF!</definedName>
    <definedName name="Excel_BuiltIn_Print_Titles_5" localSheetId="2">#REF!</definedName>
    <definedName name="Excel_BuiltIn_Print_Titles_5" localSheetId="0">#REF!</definedName>
    <definedName name="Excel_BuiltIn_Print_Titles_5" localSheetId="1">#REF!</definedName>
    <definedName name="Excel_BuiltIn_Print_Titles_5">#REF!</definedName>
    <definedName name="Excel_BuiltIn_Print_Titles_5_1" localSheetId="2">#REF!</definedName>
    <definedName name="Excel_BuiltIn_Print_Titles_5_1" localSheetId="0">#REF!</definedName>
    <definedName name="Excel_BuiltIn_Print_Titles_5_1" localSheetId="1">#REF!</definedName>
    <definedName name="Excel_BuiltIn_Print_Titles_5_1">#REF!</definedName>
    <definedName name="Excel_BuiltIn_Print_Titles_6" localSheetId="2">#REF!</definedName>
    <definedName name="Excel_BuiltIn_Print_Titles_6" localSheetId="0">#REF!</definedName>
    <definedName name="Excel_BuiltIn_Print_Titles_6" localSheetId="1">#REF!</definedName>
    <definedName name="Excel_BuiltIn_Print_Titles_6">#REF!</definedName>
    <definedName name="Excel_BuiltIn_Print_Titles_6_1" localSheetId="2">#REF!</definedName>
    <definedName name="Excel_BuiltIn_Print_Titles_6_1" localSheetId="0">#REF!</definedName>
    <definedName name="Excel_BuiltIn_Print_Titles_6_1" localSheetId="1">#REF!</definedName>
    <definedName name="Excel_BuiltIn_Print_Titles_6_1">#REF!</definedName>
    <definedName name="Excel_BuiltIn_Print_Titles_8" localSheetId="2">#REF!</definedName>
    <definedName name="Excel_BuiltIn_Print_Titles_8" localSheetId="0">#REF!</definedName>
    <definedName name="Excel_BuiltIn_Print_Titles_8" localSheetId="1">#REF!</definedName>
    <definedName name="Excel_BuiltIn_Print_Titles_8">#REF!</definedName>
    <definedName name="Excel_BuiltIn_Print_Titles_8_1" localSheetId="2">#REF!</definedName>
    <definedName name="Excel_BuiltIn_Print_Titles_8_1" localSheetId="0">#REF!</definedName>
    <definedName name="Excel_BuiltIn_Print_Titles_8_1" localSheetId="1">#REF!</definedName>
    <definedName name="Excel_BuiltIn_Print_Titles_8_1">#REF!</definedName>
    <definedName name="_xlnm.Print_Titles" localSheetId="2">' prognoza zadłużenia 2016 -2026'!$A:$B,' prognoza zadłużenia 2016 -2026'!$1:$1</definedName>
    <definedName name="_xlnm.Print_Titles" localSheetId="0">'Zał. 1 Dochody'!$3:$3</definedName>
    <definedName name="_xlnm.Print_Titles" localSheetId="1">'Zał. 2 Wydatki   '!$3:$3</definedName>
    <definedName name="zal.3" localSheetId="2">#REF!</definedName>
    <definedName name="zal.3" localSheetId="0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L205" i="5" l="1"/>
  <c r="H599" i="2" l="1"/>
  <c r="H598" i="2"/>
  <c r="H597" i="2"/>
  <c r="H595" i="2"/>
  <c r="M584" i="2"/>
  <c r="H536" i="2"/>
  <c r="H531" i="2"/>
  <c r="H213" i="2"/>
  <c r="H189" i="2"/>
  <c r="H96" i="2"/>
  <c r="H88" i="2"/>
  <c r="H29" i="2"/>
  <c r="H28" i="2"/>
  <c r="G202" i="5" l="1"/>
  <c r="G200" i="5"/>
  <c r="G199" i="5"/>
  <c r="G198" i="5"/>
  <c r="I503" i="2"/>
  <c r="L589" i="2"/>
  <c r="J12" i="6" l="1"/>
  <c r="J9" i="6"/>
  <c r="J6" i="6"/>
  <c r="AF19" i="6"/>
  <c r="AG19" i="6"/>
  <c r="AH19" i="6"/>
  <c r="AF17" i="6"/>
  <c r="AG17" i="6"/>
  <c r="AH17" i="6"/>
  <c r="AH10" i="6"/>
  <c r="AH7" i="6"/>
  <c r="L35" i="6"/>
  <c r="L34" i="6"/>
  <c r="L33" i="6"/>
  <c r="L28" i="6"/>
  <c r="L27" i="6"/>
  <c r="L26" i="6"/>
  <c r="L19" i="6"/>
  <c r="L18" i="6"/>
  <c r="L17" i="6"/>
  <c r="J35" i="6"/>
  <c r="J33" i="6"/>
  <c r="J28" i="6"/>
  <c r="J26" i="6"/>
  <c r="J19" i="6"/>
  <c r="J17" i="6"/>
  <c r="H5" i="6"/>
  <c r="L25" i="6"/>
  <c r="L23" i="6"/>
  <c r="L22" i="6"/>
  <c r="AI38" i="6"/>
  <c r="AG38" i="6"/>
  <c r="AE38" i="6"/>
  <c r="AC38" i="6"/>
  <c r="AA38" i="6"/>
  <c r="Y38" i="6"/>
  <c r="W38" i="6"/>
  <c r="U38" i="6"/>
  <c r="S38" i="6"/>
  <c r="K37" i="6"/>
  <c r="R25" i="6"/>
  <c r="N25" i="6"/>
  <c r="G25" i="6"/>
  <c r="AH24" i="6"/>
  <c r="AH27" i="6" s="1"/>
  <c r="AH34" i="6" s="1"/>
  <c r="AH38" i="6" s="1"/>
  <c r="AF24" i="6"/>
  <c r="AF27" i="6" s="1"/>
  <c r="AF34" i="6" s="1"/>
  <c r="AF38" i="6" s="1"/>
  <c r="AD24" i="6"/>
  <c r="AB24" i="6"/>
  <c r="AB27" i="6" s="1"/>
  <c r="AB34" i="6" s="1"/>
  <c r="AB38" i="6" s="1"/>
  <c r="Z24" i="6"/>
  <c r="Z27" i="6" s="1"/>
  <c r="Z34" i="6" s="1"/>
  <c r="Z38" i="6" s="1"/>
  <c r="X24" i="6"/>
  <c r="X27" i="6" s="1"/>
  <c r="X34" i="6" s="1"/>
  <c r="X38" i="6" s="1"/>
  <c r="V24" i="6"/>
  <c r="V27" i="6" s="1"/>
  <c r="V34" i="6" s="1"/>
  <c r="V38" i="6" s="1"/>
  <c r="T24" i="6"/>
  <c r="T27" i="6" s="1"/>
  <c r="T34" i="6" s="1"/>
  <c r="T38" i="6" s="1"/>
  <c r="R24" i="6"/>
  <c r="P24" i="6"/>
  <c r="N24" i="6"/>
  <c r="K24" i="6"/>
  <c r="G24" i="6"/>
  <c r="E24" i="6"/>
  <c r="AI23" i="6"/>
  <c r="AI25" i="6" s="1"/>
  <c r="AH23" i="6"/>
  <c r="AH25" i="6" s="1"/>
  <c r="AH28" i="6" s="1"/>
  <c r="AH35" i="6" s="1"/>
  <c r="AF23" i="6"/>
  <c r="AF26" i="6" s="1"/>
  <c r="AF33" i="6" s="1"/>
  <c r="AF35" i="6" s="1"/>
  <c r="AD23" i="6"/>
  <c r="AD25" i="6" s="1"/>
  <c r="AB23" i="6"/>
  <c r="AB26" i="6" s="1"/>
  <c r="Z23" i="6"/>
  <c r="Z25" i="6" s="1"/>
  <c r="X23" i="6"/>
  <c r="X26" i="6" s="1"/>
  <c r="V23" i="6"/>
  <c r="V25" i="6" s="1"/>
  <c r="T23" i="6"/>
  <c r="T26" i="6" s="1"/>
  <c r="R23" i="6"/>
  <c r="P23" i="6"/>
  <c r="P25" i="6" s="1"/>
  <c r="N23" i="6"/>
  <c r="N26" i="6" s="1"/>
  <c r="M23" i="6"/>
  <c r="M25" i="6" s="1"/>
  <c r="K23" i="6"/>
  <c r="K26" i="6" s="1"/>
  <c r="H23" i="6"/>
  <c r="H25" i="6" s="1"/>
  <c r="G23" i="6"/>
  <c r="G26" i="6" s="1"/>
  <c r="F23" i="6"/>
  <c r="F25" i="6" s="1"/>
  <c r="E23" i="6"/>
  <c r="E25" i="6" s="1"/>
  <c r="D23" i="6"/>
  <c r="AH22" i="6"/>
  <c r="AF22" i="6"/>
  <c r="AD22" i="6"/>
  <c r="AB22" i="6"/>
  <c r="Z22" i="6"/>
  <c r="X22" i="6"/>
  <c r="V22" i="6"/>
  <c r="T22" i="6"/>
  <c r="R22" i="6"/>
  <c r="P22" i="6"/>
  <c r="O22" i="6"/>
  <c r="N22" i="6"/>
  <c r="M22" i="6"/>
  <c r="K22" i="6"/>
  <c r="H22" i="6"/>
  <c r="G22" i="6"/>
  <c r="F22" i="6"/>
  <c r="E22" i="6"/>
  <c r="Q20" i="6"/>
  <c r="Q22" i="6" s="1"/>
  <c r="O20" i="6"/>
  <c r="O23" i="6" s="1"/>
  <c r="AD18" i="6"/>
  <c r="AD27" i="6" s="1"/>
  <c r="AD34" i="6" s="1"/>
  <c r="AD38" i="6" s="1"/>
  <c r="AB18" i="6"/>
  <c r="Z18" i="6"/>
  <c r="X18" i="6"/>
  <c r="V18" i="6"/>
  <c r="T18" i="6"/>
  <c r="R18" i="6"/>
  <c r="R27" i="6" s="1"/>
  <c r="R34" i="6" s="1"/>
  <c r="R38" i="6" s="1"/>
  <c r="P18" i="6"/>
  <c r="P27" i="6" s="1"/>
  <c r="P34" i="6" s="1"/>
  <c r="P38" i="6" s="1"/>
  <c r="N18" i="6"/>
  <c r="N27" i="6" s="1"/>
  <c r="N34" i="6" s="1"/>
  <c r="N38" i="6" s="1"/>
  <c r="K18" i="6"/>
  <c r="K27" i="6" s="1"/>
  <c r="K34" i="6" s="1"/>
  <c r="K38" i="6" s="1"/>
  <c r="G18" i="6"/>
  <c r="G27" i="6" s="1"/>
  <c r="G34" i="6" s="1"/>
  <c r="G38" i="6" s="1"/>
  <c r="E18" i="6"/>
  <c r="E27" i="6" s="1"/>
  <c r="E34" i="6" s="1"/>
  <c r="AD17" i="6"/>
  <c r="AD26" i="6" s="1"/>
  <c r="AB17" i="6"/>
  <c r="AB19" i="6" s="1"/>
  <c r="Z17" i="6"/>
  <c r="Z19" i="6" s="1"/>
  <c r="X17" i="6"/>
  <c r="X19" i="6" s="1"/>
  <c r="V17" i="6"/>
  <c r="V19" i="6" s="1"/>
  <c r="T17" i="6"/>
  <c r="T19" i="6" s="1"/>
  <c r="R17" i="6"/>
  <c r="R26" i="6" s="1"/>
  <c r="P17" i="6"/>
  <c r="P26" i="6" s="1"/>
  <c r="N17" i="6"/>
  <c r="N19" i="6" s="1"/>
  <c r="K17" i="6"/>
  <c r="K19" i="6" s="1"/>
  <c r="G17" i="6"/>
  <c r="G19" i="6" s="1"/>
  <c r="E17" i="6"/>
  <c r="E26" i="6" s="1"/>
  <c r="D17" i="6"/>
  <c r="D26" i="6" s="1"/>
  <c r="AD16" i="6"/>
  <c r="AB16" i="6"/>
  <c r="Z16" i="6"/>
  <c r="X16" i="6"/>
  <c r="V16" i="6"/>
  <c r="T16" i="6"/>
  <c r="R16" i="6"/>
  <c r="P16" i="6"/>
  <c r="N16" i="6"/>
  <c r="K16" i="6"/>
  <c r="G16" i="6"/>
  <c r="E16" i="6"/>
  <c r="M14" i="6"/>
  <c r="M16" i="6" s="1"/>
  <c r="H14" i="6"/>
  <c r="F14" i="6"/>
  <c r="F16" i="6" s="1"/>
  <c r="R13" i="6"/>
  <c r="P13" i="6"/>
  <c r="N13" i="6"/>
  <c r="K13" i="6"/>
  <c r="G13" i="6"/>
  <c r="E13" i="6"/>
  <c r="D12" i="6"/>
  <c r="H11" i="6"/>
  <c r="M11" i="6" s="1"/>
  <c r="F11" i="6"/>
  <c r="F13" i="6" s="1"/>
  <c r="AB10" i="6"/>
  <c r="Z10" i="6"/>
  <c r="X10" i="6"/>
  <c r="V10" i="6"/>
  <c r="T10" i="6"/>
  <c r="R10" i="6"/>
  <c r="P10" i="6"/>
  <c r="N10" i="6"/>
  <c r="K10" i="6"/>
  <c r="G10" i="6"/>
  <c r="E10" i="6"/>
  <c r="D9" i="6"/>
  <c r="H8" i="6"/>
  <c r="M8" i="6" s="1"/>
  <c r="O8" i="6" s="1"/>
  <c r="Q8" i="6" s="1"/>
  <c r="S8" i="6" s="1"/>
  <c r="U8" i="6" s="1"/>
  <c r="W8" i="6" s="1"/>
  <c r="Y8" i="6" s="1"/>
  <c r="AA8" i="6" s="1"/>
  <c r="AC8" i="6" s="1"/>
  <c r="F8" i="6"/>
  <c r="F17" i="6" s="1"/>
  <c r="Z7" i="6"/>
  <c r="X7" i="6"/>
  <c r="V7" i="6"/>
  <c r="T7" i="6"/>
  <c r="R7" i="6"/>
  <c r="P7" i="6"/>
  <c r="N7" i="6"/>
  <c r="K7" i="6"/>
  <c r="G7" i="6"/>
  <c r="E7" i="6"/>
  <c r="D6" i="6"/>
  <c r="M5" i="6"/>
  <c r="M17" i="6" s="1"/>
  <c r="H7" i="6"/>
  <c r="F5" i="6"/>
  <c r="F7" i="6" s="1"/>
  <c r="M599" i="2"/>
  <c r="M597" i="2"/>
  <c r="M594" i="2"/>
  <c r="M593" i="2"/>
  <c r="M592" i="2"/>
  <c r="M591" i="2"/>
  <c r="M590" i="2"/>
  <c r="M589" i="2"/>
  <c r="M588" i="2"/>
  <c r="H594" i="2"/>
  <c r="H591" i="2"/>
  <c r="H592" i="2"/>
  <c r="H593" i="2"/>
  <c r="H590" i="2"/>
  <c r="H589" i="2"/>
  <c r="H588" i="2"/>
  <c r="H586" i="2"/>
  <c r="Y594" i="2"/>
  <c r="Y593" i="2"/>
  <c r="Y592" i="2"/>
  <c r="Y591" i="2"/>
  <c r="Y589" i="2"/>
  <c r="O589" i="2"/>
  <c r="P589" i="2"/>
  <c r="Q589" i="2"/>
  <c r="R589" i="2"/>
  <c r="S589" i="2"/>
  <c r="T589" i="2"/>
  <c r="U589" i="2"/>
  <c r="V589" i="2"/>
  <c r="W589" i="2"/>
  <c r="X589" i="2"/>
  <c r="K589" i="2"/>
  <c r="J589" i="2"/>
  <c r="G589" i="2"/>
  <c r="I589" i="2"/>
  <c r="O590" i="2"/>
  <c r="P590" i="2"/>
  <c r="Q590" i="2"/>
  <c r="R590" i="2"/>
  <c r="S590" i="2"/>
  <c r="U590" i="2"/>
  <c r="V590" i="2"/>
  <c r="W590" i="2"/>
  <c r="X590" i="2"/>
  <c r="O592" i="2"/>
  <c r="P592" i="2"/>
  <c r="Q592" i="2"/>
  <c r="R592" i="2"/>
  <c r="T592" i="2"/>
  <c r="U592" i="2"/>
  <c r="V592" i="2"/>
  <c r="U588" i="2"/>
  <c r="O588" i="2"/>
  <c r="P588" i="2"/>
  <c r="G598" i="2"/>
  <c r="G10" i="2"/>
  <c r="I10" i="2"/>
  <c r="G19" i="2"/>
  <c r="I19" i="2"/>
  <c r="G25" i="2"/>
  <c r="I25" i="2"/>
  <c r="G32" i="2"/>
  <c r="I32" i="2"/>
  <c r="G43" i="2"/>
  <c r="I43" i="2"/>
  <c r="G52" i="2"/>
  <c r="I52" i="2"/>
  <c r="G83" i="2"/>
  <c r="I83" i="2"/>
  <c r="G122" i="2"/>
  <c r="I122" i="2"/>
  <c r="G126" i="2"/>
  <c r="I126" i="2"/>
  <c r="G131" i="2"/>
  <c r="I131" i="2"/>
  <c r="G135" i="2"/>
  <c r="I135" i="2"/>
  <c r="G144" i="2"/>
  <c r="I144" i="2"/>
  <c r="G153" i="2"/>
  <c r="I153" i="2"/>
  <c r="G161" i="2"/>
  <c r="I161" i="2"/>
  <c r="G176" i="2"/>
  <c r="I176" i="2"/>
  <c r="G195" i="2"/>
  <c r="I195" i="2"/>
  <c r="G206" i="2"/>
  <c r="I206" i="2"/>
  <c r="G212" i="2"/>
  <c r="I212" i="2"/>
  <c r="G233" i="2"/>
  <c r="I233" i="2"/>
  <c r="G282" i="2"/>
  <c r="I282" i="2"/>
  <c r="G308" i="2"/>
  <c r="I308" i="2"/>
  <c r="G324" i="2"/>
  <c r="I324" i="2"/>
  <c r="G328" i="2"/>
  <c r="I328" i="2"/>
  <c r="G365" i="2"/>
  <c r="I365" i="2"/>
  <c r="G378" i="2"/>
  <c r="I378" i="2"/>
  <c r="G402" i="2"/>
  <c r="I402" i="2"/>
  <c r="G412" i="2"/>
  <c r="I412" i="2"/>
  <c r="G439" i="2"/>
  <c r="I439" i="2"/>
  <c r="G460" i="2"/>
  <c r="I460" i="2"/>
  <c r="G467" i="2"/>
  <c r="I467" i="2"/>
  <c r="G475" i="2"/>
  <c r="I475" i="2"/>
  <c r="G487" i="2"/>
  <c r="I487" i="2"/>
  <c r="G496" i="2"/>
  <c r="G509" i="2"/>
  <c r="I509" i="2"/>
  <c r="G514" i="2"/>
  <c r="I514" i="2"/>
  <c r="G519" i="2"/>
  <c r="I519" i="2"/>
  <c r="G525" i="2"/>
  <c r="I525" i="2"/>
  <c r="G535" i="2"/>
  <c r="I535" i="2"/>
  <c r="G539" i="2"/>
  <c r="I539" i="2"/>
  <c r="G559" i="2"/>
  <c r="I559" i="2"/>
  <c r="G564" i="2"/>
  <c r="I564" i="2"/>
  <c r="G576" i="2"/>
  <c r="I576" i="2"/>
  <c r="I393" i="2"/>
  <c r="G30" i="2"/>
  <c r="G590" i="2"/>
  <c r="J592" i="2"/>
  <c r="K592" i="2"/>
  <c r="G592" i="2"/>
  <c r="M7" i="6" l="1"/>
  <c r="O5" i="6"/>
  <c r="O7" i="6" s="1"/>
  <c r="T33" i="6"/>
  <c r="T35" i="6" s="1"/>
  <c r="T28" i="6"/>
  <c r="AB33" i="6"/>
  <c r="AB35" i="6" s="1"/>
  <c r="AB28" i="6"/>
  <c r="M26" i="6"/>
  <c r="M19" i="6"/>
  <c r="D33" i="6"/>
  <c r="D35" i="6" s="1"/>
  <c r="D28" i="6"/>
  <c r="AD33" i="6"/>
  <c r="AD35" i="6" s="1"/>
  <c r="AD28" i="6"/>
  <c r="G33" i="6"/>
  <c r="G35" i="6" s="1"/>
  <c r="G28" i="6"/>
  <c r="N33" i="6"/>
  <c r="N35" i="6" s="1"/>
  <c r="N28" i="6"/>
  <c r="M13" i="6"/>
  <c r="O11" i="6"/>
  <c r="E33" i="6"/>
  <c r="E35" i="6" s="1"/>
  <c r="E28" i="6"/>
  <c r="P33" i="6"/>
  <c r="P35" i="6" s="1"/>
  <c r="P28" i="6"/>
  <c r="O25" i="6"/>
  <c r="X33" i="6"/>
  <c r="X35" i="6" s="1"/>
  <c r="X28" i="6"/>
  <c r="F26" i="6"/>
  <c r="F19" i="6"/>
  <c r="R33" i="6"/>
  <c r="R35" i="6" s="1"/>
  <c r="R28" i="6"/>
  <c r="K33" i="6"/>
  <c r="K35" i="6" s="1"/>
  <c r="K28" i="6"/>
  <c r="Q5" i="6"/>
  <c r="F10" i="6"/>
  <c r="O14" i="6"/>
  <c r="O17" i="6" s="1"/>
  <c r="H17" i="6"/>
  <c r="R19" i="6"/>
  <c r="AD19" i="6"/>
  <c r="S20" i="6"/>
  <c r="Q23" i="6"/>
  <c r="Q25" i="6" s="1"/>
  <c r="V26" i="6"/>
  <c r="Z26" i="6"/>
  <c r="AH26" i="6"/>
  <c r="D19" i="6"/>
  <c r="K25" i="6"/>
  <c r="T25" i="6"/>
  <c r="X25" i="6"/>
  <c r="AB25" i="6"/>
  <c r="AF25" i="6"/>
  <c r="AF28" i="6" s="1"/>
  <c r="E19" i="6"/>
  <c r="P19" i="6"/>
  <c r="R588" i="2"/>
  <c r="K75" i="2"/>
  <c r="K308" i="2"/>
  <c r="G257" i="5"/>
  <c r="G258" i="5"/>
  <c r="G260" i="5"/>
  <c r="G261" i="5"/>
  <c r="G262" i="5"/>
  <c r="G263" i="5"/>
  <c r="G256" i="5"/>
  <c r="F145" i="5"/>
  <c r="I161" i="5"/>
  <c r="J161" i="5"/>
  <c r="H145" i="5"/>
  <c r="H161" i="5"/>
  <c r="F262" i="5"/>
  <c r="H262" i="5"/>
  <c r="I262" i="5"/>
  <c r="J262" i="5"/>
  <c r="H263" i="5"/>
  <c r="I263" i="5"/>
  <c r="J263" i="5"/>
  <c r="F263" i="5"/>
  <c r="F258" i="5"/>
  <c r="H258" i="5"/>
  <c r="I258" i="5"/>
  <c r="J258" i="5"/>
  <c r="E258" i="5"/>
  <c r="E263" i="5"/>
  <c r="AH33" i="6" l="1"/>
  <c r="AI33" i="6" s="1"/>
  <c r="AI26" i="6"/>
  <c r="O19" i="6"/>
  <c r="O26" i="6"/>
  <c r="S5" i="6"/>
  <c r="Q7" i="6"/>
  <c r="S22" i="6"/>
  <c r="S23" i="6"/>
  <c r="U20" i="6"/>
  <c r="H26" i="6"/>
  <c r="H19" i="6"/>
  <c r="Z33" i="6"/>
  <c r="Z35" i="6" s="1"/>
  <c r="Z28" i="6"/>
  <c r="O16" i="6"/>
  <c r="Q14" i="6"/>
  <c r="F33" i="6"/>
  <c r="F35" i="6" s="1"/>
  <c r="F28" i="6"/>
  <c r="M33" i="6"/>
  <c r="M35" i="6" s="1"/>
  <c r="M28" i="6"/>
  <c r="V33" i="6"/>
  <c r="V35" i="6" s="1"/>
  <c r="V28" i="6"/>
  <c r="Q11" i="6"/>
  <c r="O13" i="6"/>
  <c r="E262" i="5"/>
  <c r="F188" i="5"/>
  <c r="H188" i="5"/>
  <c r="I188" i="5"/>
  <c r="J188" i="5"/>
  <c r="E188" i="5"/>
  <c r="K190" i="5"/>
  <c r="P174" i="2"/>
  <c r="Q174" i="2"/>
  <c r="R174" i="2"/>
  <c r="S174" i="2"/>
  <c r="T174" i="2"/>
  <c r="U174" i="2"/>
  <c r="V174" i="2"/>
  <c r="W174" i="2"/>
  <c r="X174" i="2"/>
  <c r="O174" i="2"/>
  <c r="K174" i="2"/>
  <c r="J174" i="2"/>
  <c r="I174" i="2"/>
  <c r="G174" i="2"/>
  <c r="F174" i="2"/>
  <c r="Y175" i="2"/>
  <c r="Y174" i="2" s="1"/>
  <c r="L175" i="2"/>
  <c r="L174" i="2" s="1"/>
  <c r="H33" i="6" l="1"/>
  <c r="H35" i="6" s="1"/>
  <c r="H28" i="6"/>
  <c r="W20" i="6"/>
  <c r="U22" i="6"/>
  <c r="U23" i="6"/>
  <c r="S7" i="6"/>
  <c r="U5" i="6"/>
  <c r="S25" i="6"/>
  <c r="O33" i="6"/>
  <c r="O35" i="6" s="1"/>
  <c r="O28" i="6"/>
  <c r="Q17" i="6"/>
  <c r="Q13" i="6"/>
  <c r="S11" i="6"/>
  <c r="S13" i="6" s="1"/>
  <c r="S14" i="6"/>
  <c r="Q16" i="6"/>
  <c r="M174" i="2"/>
  <c r="M175" i="2"/>
  <c r="V582" i="2"/>
  <c r="V580" i="2"/>
  <c r="T540" i="2"/>
  <c r="V529" i="2"/>
  <c r="V512" i="2"/>
  <c r="V510" i="2"/>
  <c r="K207" i="2"/>
  <c r="S88" i="2"/>
  <c r="S86" i="2"/>
  <c r="Q68" i="2"/>
  <c r="Q65" i="2"/>
  <c r="Q61" i="2"/>
  <c r="V38" i="2"/>
  <c r="V36" i="2"/>
  <c r="S16" i="6" l="1"/>
  <c r="U14" i="6"/>
  <c r="S17" i="6"/>
  <c r="W5" i="6"/>
  <c r="U7" i="6"/>
  <c r="W22" i="6"/>
  <c r="Y20" i="6"/>
  <c r="W23" i="6"/>
  <c r="Q26" i="6"/>
  <c r="Q19" i="6"/>
  <c r="U25" i="6"/>
  <c r="G123" i="5"/>
  <c r="K91" i="2"/>
  <c r="K92" i="2"/>
  <c r="K120" i="2"/>
  <c r="K115" i="2"/>
  <c r="K102" i="2"/>
  <c r="K99" i="2"/>
  <c r="K95" i="2"/>
  <c r="Y22" i="6" l="1"/>
  <c r="Y23" i="6"/>
  <c r="Y25" i="6" s="1"/>
  <c r="AA20" i="6"/>
  <c r="W7" i="6"/>
  <c r="Y5" i="6"/>
  <c r="S19" i="6"/>
  <c r="S26" i="6"/>
  <c r="Q33" i="6"/>
  <c r="Q35" i="6" s="1"/>
  <c r="Q28" i="6"/>
  <c r="U16" i="6"/>
  <c r="W14" i="6"/>
  <c r="W25" i="6"/>
  <c r="U17" i="6"/>
  <c r="L498" i="2"/>
  <c r="T498" i="2" s="1"/>
  <c r="L499" i="2"/>
  <c r="T499" i="2" s="1"/>
  <c r="L500" i="2"/>
  <c r="T500" i="2" s="1"/>
  <c r="L501" i="2"/>
  <c r="T501" i="2" s="1"/>
  <c r="L505" i="2"/>
  <c r="T505" i="2" s="1"/>
  <c r="L506" i="2"/>
  <c r="S506" i="2" s="1"/>
  <c r="W16" i="6" l="1"/>
  <c r="Y14" i="6"/>
  <c r="S33" i="6"/>
  <c r="S35" i="6" s="1"/>
  <c r="S28" i="6"/>
  <c r="U19" i="6"/>
  <c r="U26" i="6"/>
  <c r="AA22" i="6"/>
  <c r="AA23" i="6"/>
  <c r="AA25" i="6" s="1"/>
  <c r="AC20" i="6"/>
  <c r="Y17" i="6"/>
  <c r="AA5" i="6"/>
  <c r="Y7" i="6"/>
  <c r="W17" i="6"/>
  <c r="K260" i="2"/>
  <c r="K258" i="2"/>
  <c r="AA14" i="6" l="1"/>
  <c r="Y16" i="6"/>
  <c r="AA7" i="6"/>
  <c r="AA17" i="6"/>
  <c r="Y26" i="6"/>
  <c r="Y19" i="6"/>
  <c r="U33" i="6"/>
  <c r="U35" i="6" s="1"/>
  <c r="U28" i="6"/>
  <c r="W19" i="6"/>
  <c r="W26" i="6"/>
  <c r="AE20" i="6"/>
  <c r="AC22" i="6"/>
  <c r="AC23" i="6"/>
  <c r="K447" i="2"/>
  <c r="K590" i="2" s="1"/>
  <c r="K259" i="2"/>
  <c r="K353" i="2"/>
  <c r="K352" i="2" s="1"/>
  <c r="K256" i="2"/>
  <c r="K591" i="2" s="1"/>
  <c r="K249" i="2"/>
  <c r="K341" i="2"/>
  <c r="K340" i="2" s="1"/>
  <c r="AA26" i="6" l="1"/>
  <c r="AA19" i="6"/>
  <c r="AG20" i="6"/>
  <c r="AE23" i="6"/>
  <c r="W33" i="6"/>
  <c r="W35" i="6" s="1"/>
  <c r="W28" i="6"/>
  <c r="AC25" i="6"/>
  <c r="Y33" i="6"/>
  <c r="Y35" i="6" s="1"/>
  <c r="Y28" i="6"/>
  <c r="AA16" i="6"/>
  <c r="AC14" i="6"/>
  <c r="K101" i="2"/>
  <c r="K588" i="2" s="1"/>
  <c r="K98" i="2"/>
  <c r="K94" i="2"/>
  <c r="AG23" i="6" l="1"/>
  <c r="AG22" i="6"/>
  <c r="AC16" i="6"/>
  <c r="AE14" i="6"/>
  <c r="AC17" i="6"/>
  <c r="AE26" i="6"/>
  <c r="AE25" i="6"/>
  <c r="AA33" i="6"/>
  <c r="AA35" i="6" s="1"/>
  <c r="AA28" i="6"/>
  <c r="K89" i="2"/>
  <c r="K599" i="2"/>
  <c r="K598" i="2"/>
  <c r="K597" i="2"/>
  <c r="K594" i="2"/>
  <c r="K593" i="2"/>
  <c r="L17" i="2"/>
  <c r="K153" i="2"/>
  <c r="K195" i="2"/>
  <c r="K576" i="2"/>
  <c r="L578" i="2"/>
  <c r="L581" i="2"/>
  <c r="L583" i="2"/>
  <c r="L577" i="2"/>
  <c r="K564" i="2"/>
  <c r="K563" i="2" s="1"/>
  <c r="L566" i="2"/>
  <c r="L567" i="2"/>
  <c r="L568" i="2"/>
  <c r="L569" i="2"/>
  <c r="L571" i="2"/>
  <c r="L573" i="2"/>
  <c r="L574" i="2"/>
  <c r="L575" i="2"/>
  <c r="L565" i="2"/>
  <c r="K539" i="2"/>
  <c r="K559" i="2"/>
  <c r="L561" i="2"/>
  <c r="L562" i="2"/>
  <c r="L560" i="2"/>
  <c r="K557" i="2"/>
  <c r="L558" i="2"/>
  <c r="K555" i="2"/>
  <c r="L556" i="2"/>
  <c r="K552" i="2"/>
  <c r="L554" i="2"/>
  <c r="L553" i="2"/>
  <c r="L542" i="2"/>
  <c r="L543" i="2"/>
  <c r="L546" i="2"/>
  <c r="L548" i="2"/>
  <c r="L549" i="2"/>
  <c r="L550" i="2"/>
  <c r="L551" i="2"/>
  <c r="K535" i="2"/>
  <c r="L537" i="2"/>
  <c r="L538" i="2"/>
  <c r="L536" i="2"/>
  <c r="K525" i="2"/>
  <c r="L527" i="2"/>
  <c r="L528" i="2"/>
  <c r="L530" i="2"/>
  <c r="L531" i="2"/>
  <c r="L532" i="2"/>
  <c r="L533" i="2"/>
  <c r="L526" i="2"/>
  <c r="K523" i="2"/>
  <c r="L524" i="2"/>
  <c r="L523" i="2" s="1"/>
  <c r="K519" i="2"/>
  <c r="L522" i="2"/>
  <c r="L520" i="2"/>
  <c r="V520" i="2" s="1"/>
  <c r="K514" i="2"/>
  <c r="L516" i="2"/>
  <c r="L517" i="2"/>
  <c r="L515" i="2"/>
  <c r="K509" i="2"/>
  <c r="L511" i="2"/>
  <c r="L513" i="2"/>
  <c r="L508" i="2"/>
  <c r="K507" i="2"/>
  <c r="K496" i="2"/>
  <c r="L504" i="2"/>
  <c r="T504" i="2" s="1"/>
  <c r="L497" i="2"/>
  <c r="K493" i="2"/>
  <c r="L494" i="2"/>
  <c r="K490" i="2"/>
  <c r="L491" i="2"/>
  <c r="L490" i="2" s="1"/>
  <c r="K487" i="2"/>
  <c r="L489" i="2"/>
  <c r="L488" i="2"/>
  <c r="L487" i="2" s="1"/>
  <c r="K475" i="2"/>
  <c r="L486" i="2"/>
  <c r="X486" i="2" s="1"/>
  <c r="L477" i="2"/>
  <c r="X477" i="2" s="1"/>
  <c r="L478" i="2"/>
  <c r="X478" i="2" s="1"/>
  <c r="L479" i="2"/>
  <c r="X479" i="2" s="1"/>
  <c r="L480" i="2"/>
  <c r="X480" i="2" s="1"/>
  <c r="L481" i="2"/>
  <c r="X481" i="2" s="1"/>
  <c r="L482" i="2"/>
  <c r="X482" i="2" s="1"/>
  <c r="L483" i="2"/>
  <c r="X483" i="2" s="1"/>
  <c r="L484" i="2"/>
  <c r="X484" i="2" s="1"/>
  <c r="L485" i="2"/>
  <c r="X485" i="2" s="1"/>
  <c r="L476" i="2"/>
  <c r="X476" i="2" s="1"/>
  <c r="K467" i="2"/>
  <c r="L469" i="2"/>
  <c r="L470" i="2"/>
  <c r="L471" i="2"/>
  <c r="L472" i="2"/>
  <c r="L473" i="2"/>
  <c r="L468" i="2"/>
  <c r="K465" i="2"/>
  <c r="L466" i="2"/>
  <c r="L465" i="2" s="1"/>
  <c r="K460" i="2"/>
  <c r="L462" i="2"/>
  <c r="L463" i="2"/>
  <c r="W463" i="2" s="1"/>
  <c r="L464" i="2"/>
  <c r="L461" i="2"/>
  <c r="W461" i="2" s="1"/>
  <c r="K439" i="2"/>
  <c r="L441" i="2"/>
  <c r="W441" i="2" s="1"/>
  <c r="L442" i="2"/>
  <c r="W442" i="2" s="1"/>
  <c r="L443" i="2"/>
  <c r="W443" i="2" s="1"/>
  <c r="L444" i="2"/>
  <c r="W444" i="2" s="1"/>
  <c r="L445" i="2"/>
  <c r="W445" i="2" s="1"/>
  <c r="L446" i="2"/>
  <c r="W446" i="2" s="1"/>
  <c r="L447" i="2"/>
  <c r="W447" i="2" s="1"/>
  <c r="L448" i="2"/>
  <c r="W448" i="2" s="1"/>
  <c r="L449" i="2"/>
  <c r="W449" i="2" s="1"/>
  <c r="L450" i="2"/>
  <c r="W450" i="2" s="1"/>
  <c r="L451" i="2"/>
  <c r="W451" i="2" s="1"/>
  <c r="L452" i="2"/>
  <c r="W452" i="2" s="1"/>
  <c r="L453" i="2"/>
  <c r="W453" i="2" s="1"/>
  <c r="L454" i="2"/>
  <c r="W454" i="2" s="1"/>
  <c r="L455" i="2"/>
  <c r="W455" i="2" s="1"/>
  <c r="L456" i="2"/>
  <c r="W456" i="2" s="1"/>
  <c r="L457" i="2"/>
  <c r="W457" i="2" s="1"/>
  <c r="L458" i="2"/>
  <c r="W458" i="2" s="1"/>
  <c r="L459" i="2"/>
  <c r="W459" i="2" s="1"/>
  <c r="L440" i="2"/>
  <c r="W440" i="2" s="1"/>
  <c r="K436" i="2"/>
  <c r="L438" i="2"/>
  <c r="W438" i="2" s="1"/>
  <c r="L437" i="2"/>
  <c r="L436" i="2" s="1"/>
  <c r="K433" i="2"/>
  <c r="L435" i="2"/>
  <c r="L434" i="2"/>
  <c r="L433" i="2" s="1"/>
  <c r="K431" i="2"/>
  <c r="L432" i="2"/>
  <c r="K428" i="2"/>
  <c r="L430" i="2"/>
  <c r="L429" i="2"/>
  <c r="K412" i="2"/>
  <c r="L414" i="2"/>
  <c r="W414" i="2" s="1"/>
  <c r="L415" i="2"/>
  <c r="W415" i="2" s="1"/>
  <c r="L416" i="2"/>
  <c r="W416" i="2" s="1"/>
  <c r="L417" i="2"/>
  <c r="L418" i="2"/>
  <c r="W418" i="2" s="1"/>
  <c r="L419" i="2"/>
  <c r="W419" i="2" s="1"/>
  <c r="L420" i="2"/>
  <c r="W420" i="2" s="1"/>
  <c r="L421" i="2"/>
  <c r="L422" i="2"/>
  <c r="W422" i="2" s="1"/>
  <c r="L423" i="2"/>
  <c r="W423" i="2" s="1"/>
  <c r="L424" i="2"/>
  <c r="W424" i="2" s="1"/>
  <c r="L425" i="2"/>
  <c r="M425" i="2" s="1"/>
  <c r="L426" i="2"/>
  <c r="W426" i="2" s="1"/>
  <c r="L427" i="2"/>
  <c r="W427" i="2" s="1"/>
  <c r="L413" i="2"/>
  <c r="K395" i="2"/>
  <c r="K397" i="2"/>
  <c r="K399" i="2"/>
  <c r="K402" i="2"/>
  <c r="L404" i="2"/>
  <c r="L405" i="2"/>
  <c r="L406" i="2"/>
  <c r="L407" i="2"/>
  <c r="L408" i="2"/>
  <c r="L409" i="2"/>
  <c r="L410" i="2"/>
  <c r="L411" i="2"/>
  <c r="L403" i="2"/>
  <c r="L401" i="2"/>
  <c r="L400" i="2"/>
  <c r="L399" i="2" s="1"/>
  <c r="L398" i="2"/>
  <c r="L396" i="2"/>
  <c r="K393" i="2"/>
  <c r="L394" i="2"/>
  <c r="W394" i="2" s="1"/>
  <c r="K390" i="2"/>
  <c r="L391" i="2"/>
  <c r="L385" i="2"/>
  <c r="L386" i="2"/>
  <c r="L387" i="2"/>
  <c r="L388" i="2"/>
  <c r="L389" i="2"/>
  <c r="L380" i="2"/>
  <c r="L379" i="2"/>
  <c r="K378" i="2"/>
  <c r="K373" i="2"/>
  <c r="L375" i="2"/>
  <c r="L376" i="2"/>
  <c r="L377" i="2"/>
  <c r="L374" i="2"/>
  <c r="K370" i="2"/>
  <c r="L370" i="2"/>
  <c r="L372" i="2"/>
  <c r="L371" i="2"/>
  <c r="K365" i="2"/>
  <c r="L367" i="2"/>
  <c r="L368" i="2"/>
  <c r="L366" i="2"/>
  <c r="L358" i="2"/>
  <c r="L359" i="2"/>
  <c r="L360" i="2"/>
  <c r="L361" i="2"/>
  <c r="L362" i="2"/>
  <c r="L363" i="2"/>
  <c r="L364" i="2"/>
  <c r="L357" i="2"/>
  <c r="L355" i="2"/>
  <c r="L353" i="2" s="1"/>
  <c r="L346" i="2"/>
  <c r="L347" i="2"/>
  <c r="L348" i="2"/>
  <c r="L349" i="2"/>
  <c r="L350" i="2"/>
  <c r="L351" i="2"/>
  <c r="L345" i="2"/>
  <c r="L344" i="2"/>
  <c r="L343" i="2"/>
  <c r="K328" i="2"/>
  <c r="L330" i="2"/>
  <c r="X330" i="2" s="1"/>
  <c r="L331" i="2"/>
  <c r="X331" i="2" s="1"/>
  <c r="L332" i="2"/>
  <c r="X332" i="2" s="1"/>
  <c r="L333" i="2"/>
  <c r="X333" i="2" s="1"/>
  <c r="L334" i="2"/>
  <c r="X334" i="2" s="1"/>
  <c r="L335" i="2"/>
  <c r="X335" i="2" s="1"/>
  <c r="L336" i="2"/>
  <c r="X336" i="2" s="1"/>
  <c r="L337" i="2"/>
  <c r="X337" i="2" s="1"/>
  <c r="L338" i="2"/>
  <c r="X338" i="2" s="1"/>
  <c r="L339" i="2"/>
  <c r="X339" i="2" s="1"/>
  <c r="L329" i="2"/>
  <c r="X329" i="2" s="1"/>
  <c r="K324" i="2"/>
  <c r="L326" i="2"/>
  <c r="X326" i="2" s="1"/>
  <c r="L327" i="2"/>
  <c r="X327" i="2" s="1"/>
  <c r="L325" i="2"/>
  <c r="X325" i="2" s="1"/>
  <c r="L310" i="2"/>
  <c r="X310" i="2" s="1"/>
  <c r="L311" i="2"/>
  <c r="X311" i="2" s="1"/>
  <c r="L312" i="2"/>
  <c r="X312" i="2" s="1"/>
  <c r="L313" i="2"/>
  <c r="X313" i="2" s="1"/>
  <c r="L314" i="2"/>
  <c r="X314" i="2" s="1"/>
  <c r="L315" i="2"/>
  <c r="X315" i="2" s="1"/>
  <c r="L316" i="2"/>
  <c r="X316" i="2" s="1"/>
  <c r="L317" i="2"/>
  <c r="X317" i="2" s="1"/>
  <c r="L318" i="2"/>
  <c r="X318" i="2" s="1"/>
  <c r="L319" i="2"/>
  <c r="L320" i="2"/>
  <c r="X320" i="2" s="1"/>
  <c r="L321" i="2"/>
  <c r="X321" i="2" s="1"/>
  <c r="L322" i="2"/>
  <c r="X322" i="2" s="1"/>
  <c r="L323" i="2"/>
  <c r="L309" i="2"/>
  <c r="K304" i="2"/>
  <c r="L306" i="2"/>
  <c r="L305" i="2"/>
  <c r="K282" i="2"/>
  <c r="L284" i="2"/>
  <c r="L285" i="2"/>
  <c r="L286" i="2"/>
  <c r="X286" i="2" s="1"/>
  <c r="L287" i="2"/>
  <c r="X287" i="2" s="1"/>
  <c r="L288" i="2"/>
  <c r="X288" i="2" s="1"/>
  <c r="L289" i="2"/>
  <c r="X289" i="2" s="1"/>
  <c r="L290" i="2"/>
  <c r="X290" i="2" s="1"/>
  <c r="L291" i="2"/>
  <c r="X291" i="2" s="1"/>
  <c r="L292" i="2"/>
  <c r="X292" i="2" s="1"/>
  <c r="L293" i="2"/>
  <c r="X293" i="2" s="1"/>
  <c r="L294" i="2"/>
  <c r="X294" i="2" s="1"/>
  <c r="L295" i="2"/>
  <c r="X295" i="2" s="1"/>
  <c r="L296" i="2"/>
  <c r="X296" i="2" s="1"/>
  <c r="L297" i="2"/>
  <c r="X297" i="2" s="1"/>
  <c r="L298" i="2"/>
  <c r="X298" i="2" s="1"/>
  <c r="L299" i="2"/>
  <c r="X299" i="2" s="1"/>
  <c r="L300" i="2"/>
  <c r="X300" i="2" s="1"/>
  <c r="L301" i="2"/>
  <c r="X301" i="2" s="1"/>
  <c r="L302" i="2"/>
  <c r="X302" i="2" s="1"/>
  <c r="L303" i="2"/>
  <c r="X303" i="2" s="1"/>
  <c r="L283" i="2"/>
  <c r="T283" i="2" s="1"/>
  <c r="K248" i="2"/>
  <c r="L262" i="2"/>
  <c r="X262" i="2" s="1"/>
  <c r="L263" i="2"/>
  <c r="X263" i="2" s="1"/>
  <c r="L264" i="2"/>
  <c r="X264" i="2" s="1"/>
  <c r="L265" i="2"/>
  <c r="X265" i="2" s="1"/>
  <c r="L266" i="2"/>
  <c r="X266" i="2" s="1"/>
  <c r="L267" i="2"/>
  <c r="X267" i="2" s="1"/>
  <c r="L268" i="2"/>
  <c r="X268" i="2" s="1"/>
  <c r="L269" i="2"/>
  <c r="X269" i="2" s="1"/>
  <c r="L270" i="2"/>
  <c r="X270" i="2" s="1"/>
  <c r="L271" i="2"/>
  <c r="X271" i="2" s="1"/>
  <c r="L272" i="2"/>
  <c r="X272" i="2" s="1"/>
  <c r="L273" i="2"/>
  <c r="X273" i="2" s="1"/>
  <c r="L274" i="2"/>
  <c r="X274" i="2" s="1"/>
  <c r="L275" i="2"/>
  <c r="X275" i="2" s="1"/>
  <c r="L276" i="2"/>
  <c r="X276" i="2" s="1"/>
  <c r="L277" i="2"/>
  <c r="X277" i="2" s="1"/>
  <c r="L278" i="2"/>
  <c r="X278" i="2" s="1"/>
  <c r="L279" i="2"/>
  <c r="X279" i="2" s="1"/>
  <c r="L280" i="2"/>
  <c r="X280" i="2" s="1"/>
  <c r="L281" i="2"/>
  <c r="X281" i="2" s="1"/>
  <c r="L261" i="2"/>
  <c r="X261" i="2" s="1"/>
  <c r="L259" i="2"/>
  <c r="L260" i="2"/>
  <c r="L258" i="2"/>
  <c r="M258" i="2" s="1"/>
  <c r="L252" i="2"/>
  <c r="L253" i="2"/>
  <c r="M253" i="2" s="1"/>
  <c r="L254" i="2"/>
  <c r="M254" i="2" s="1"/>
  <c r="L255" i="2"/>
  <c r="L251" i="2"/>
  <c r="K233" i="2"/>
  <c r="L235" i="2"/>
  <c r="X235" i="2" s="1"/>
  <c r="L236" i="2"/>
  <c r="X236" i="2" s="1"/>
  <c r="L237" i="2"/>
  <c r="X237" i="2" s="1"/>
  <c r="L238" i="2"/>
  <c r="L239" i="2"/>
  <c r="X239" i="2" s="1"/>
  <c r="L240" i="2"/>
  <c r="X240" i="2" s="1"/>
  <c r="L241" i="2"/>
  <c r="X241" i="2" s="1"/>
  <c r="L242" i="2"/>
  <c r="X242" i="2" s="1"/>
  <c r="L243" i="2"/>
  <c r="X243" i="2" s="1"/>
  <c r="L244" i="2"/>
  <c r="X244" i="2" s="1"/>
  <c r="L245" i="2"/>
  <c r="X245" i="2" s="1"/>
  <c r="L246" i="2"/>
  <c r="X246" i="2" s="1"/>
  <c r="L247" i="2"/>
  <c r="X247" i="2" s="1"/>
  <c r="L234" i="2"/>
  <c r="M234" i="2" s="1"/>
  <c r="K212" i="2"/>
  <c r="L214" i="2"/>
  <c r="X214" i="2" s="1"/>
  <c r="L215" i="2"/>
  <c r="X215" i="2" s="1"/>
  <c r="L216" i="2"/>
  <c r="X216" i="2" s="1"/>
  <c r="L217" i="2"/>
  <c r="X217" i="2" s="1"/>
  <c r="L218" i="2"/>
  <c r="L219" i="2"/>
  <c r="X219" i="2" s="1"/>
  <c r="L220" i="2"/>
  <c r="X220" i="2" s="1"/>
  <c r="L221" i="2"/>
  <c r="X221" i="2" s="1"/>
  <c r="L222" i="2"/>
  <c r="X222" i="2" s="1"/>
  <c r="L223" i="2"/>
  <c r="X223" i="2" s="1"/>
  <c r="L224" i="2"/>
  <c r="X224" i="2" s="1"/>
  <c r="L225" i="2"/>
  <c r="X225" i="2" s="1"/>
  <c r="L226" i="2"/>
  <c r="X226" i="2" s="1"/>
  <c r="L227" i="2"/>
  <c r="X227" i="2" s="1"/>
  <c r="L228" i="2"/>
  <c r="X228" i="2" s="1"/>
  <c r="L229" i="2"/>
  <c r="X229" i="2" s="1"/>
  <c r="L230" i="2"/>
  <c r="X230" i="2" s="1"/>
  <c r="L231" i="2"/>
  <c r="X231" i="2" s="1"/>
  <c r="L232" i="2"/>
  <c r="X232" i="2" s="1"/>
  <c r="L213" i="2"/>
  <c r="K206" i="2"/>
  <c r="K205" i="2" s="1"/>
  <c r="L208" i="2"/>
  <c r="L209" i="2"/>
  <c r="M209" i="2" s="1"/>
  <c r="L210" i="2"/>
  <c r="M210" i="2" s="1"/>
  <c r="K203" i="2"/>
  <c r="K202" i="2" s="1"/>
  <c r="L204" i="2"/>
  <c r="L594" i="2" s="1"/>
  <c r="F604" i="2" s="1"/>
  <c r="L197" i="2"/>
  <c r="M197" i="2" s="1"/>
  <c r="L198" i="2"/>
  <c r="L199" i="2"/>
  <c r="M199" i="2" s="1"/>
  <c r="L200" i="2"/>
  <c r="M200" i="2" s="1"/>
  <c r="L201" i="2"/>
  <c r="L196" i="2"/>
  <c r="K191" i="2"/>
  <c r="L193" i="2"/>
  <c r="L194" i="2"/>
  <c r="M194" i="2" s="1"/>
  <c r="L192" i="2"/>
  <c r="K176" i="2"/>
  <c r="L178" i="2"/>
  <c r="M178" i="2" s="1"/>
  <c r="L179" i="2"/>
  <c r="M179" i="2" s="1"/>
  <c r="L180" i="2"/>
  <c r="L181" i="2"/>
  <c r="M181" i="2" s="1"/>
  <c r="L183" i="2"/>
  <c r="M183" i="2" s="1"/>
  <c r="L184" i="2"/>
  <c r="M184" i="2" s="1"/>
  <c r="L185" i="2"/>
  <c r="L186" i="2"/>
  <c r="M186" i="2" s="1"/>
  <c r="L187" i="2"/>
  <c r="L188" i="2"/>
  <c r="M188" i="2" s="1"/>
  <c r="L189" i="2"/>
  <c r="L190" i="2"/>
  <c r="M190" i="2" s="1"/>
  <c r="L177" i="2"/>
  <c r="M177" i="2" s="1"/>
  <c r="L173" i="2"/>
  <c r="M173" i="2" s="1"/>
  <c r="K171" i="2"/>
  <c r="L172" i="2"/>
  <c r="M172" i="2" s="1"/>
  <c r="K161" i="2"/>
  <c r="L163" i="2"/>
  <c r="M163" i="2" s="1"/>
  <c r="L164" i="2"/>
  <c r="L165" i="2"/>
  <c r="M165" i="2" s="1"/>
  <c r="L166" i="2"/>
  <c r="M166" i="2" s="1"/>
  <c r="L167" i="2"/>
  <c r="M167" i="2" s="1"/>
  <c r="L168" i="2"/>
  <c r="L169" i="2"/>
  <c r="M169" i="2" s="1"/>
  <c r="L162" i="2"/>
  <c r="M162" i="2" s="1"/>
  <c r="L155" i="2"/>
  <c r="M155" i="2" s="1"/>
  <c r="L156" i="2"/>
  <c r="L157" i="2"/>
  <c r="M157" i="2" s="1"/>
  <c r="L158" i="2"/>
  <c r="L159" i="2"/>
  <c r="M159" i="2" s="1"/>
  <c r="L160" i="2"/>
  <c r="L154" i="2"/>
  <c r="M154" i="2" s="1"/>
  <c r="K144" i="2"/>
  <c r="L146" i="2"/>
  <c r="M146" i="2" s="1"/>
  <c r="L147" i="2"/>
  <c r="L148" i="2"/>
  <c r="M148" i="2" s="1"/>
  <c r="L149" i="2"/>
  <c r="L150" i="2"/>
  <c r="M150" i="2" s="1"/>
  <c r="L151" i="2"/>
  <c r="L152" i="2"/>
  <c r="L145" i="2"/>
  <c r="K135" i="2"/>
  <c r="L137" i="2"/>
  <c r="L138" i="2"/>
  <c r="M138" i="2" s="1"/>
  <c r="L139" i="2"/>
  <c r="M139" i="2" s="1"/>
  <c r="L140" i="2"/>
  <c r="M140" i="2" s="1"/>
  <c r="L141" i="2"/>
  <c r="L142" i="2"/>
  <c r="M142" i="2" s="1"/>
  <c r="L143" i="2"/>
  <c r="M143" i="2" s="1"/>
  <c r="L136" i="2"/>
  <c r="K131" i="2"/>
  <c r="L133" i="2"/>
  <c r="T133" i="2" s="1"/>
  <c r="L134" i="2"/>
  <c r="T134" i="2" s="1"/>
  <c r="L132" i="2"/>
  <c r="T132" i="2" s="1"/>
  <c r="K126" i="2"/>
  <c r="L128" i="2"/>
  <c r="L127" i="2"/>
  <c r="M127" i="2" s="1"/>
  <c r="K122" i="2"/>
  <c r="L124" i="2"/>
  <c r="V124" i="2" s="1"/>
  <c r="L125" i="2"/>
  <c r="V125" i="2" s="1"/>
  <c r="L123" i="2"/>
  <c r="M123" i="2" s="1"/>
  <c r="L106" i="2"/>
  <c r="L107" i="2"/>
  <c r="M107" i="2" s="1"/>
  <c r="L108" i="2"/>
  <c r="M108" i="2" s="1"/>
  <c r="L109" i="2"/>
  <c r="S109" i="2" s="1"/>
  <c r="L110" i="2"/>
  <c r="M110" i="2" s="1"/>
  <c r="L111" i="2"/>
  <c r="S111" i="2" s="1"/>
  <c r="L112" i="2"/>
  <c r="M112" i="2" s="1"/>
  <c r="L113" i="2"/>
  <c r="M113" i="2" s="1"/>
  <c r="L114" i="2"/>
  <c r="M114" i="2" s="1"/>
  <c r="L115" i="2"/>
  <c r="S115" i="2" s="1"/>
  <c r="L116" i="2"/>
  <c r="M116" i="2" s="1"/>
  <c r="L117" i="2"/>
  <c r="M117" i="2" s="1"/>
  <c r="L118" i="2"/>
  <c r="T118" i="2" s="1"/>
  <c r="L119" i="2"/>
  <c r="T119" i="2" s="1"/>
  <c r="L120" i="2"/>
  <c r="S120" i="2" s="1"/>
  <c r="L121" i="2"/>
  <c r="S121" i="2" s="1"/>
  <c r="L105" i="2"/>
  <c r="M105" i="2" s="1"/>
  <c r="L104" i="2"/>
  <c r="M104" i="2" s="1"/>
  <c r="L103" i="2"/>
  <c r="T103" i="2" s="1"/>
  <c r="L102" i="2"/>
  <c r="T102" i="2" s="1"/>
  <c r="L100" i="2"/>
  <c r="T100" i="2" s="1"/>
  <c r="L99" i="2"/>
  <c r="T99" i="2" s="1"/>
  <c r="L96" i="2"/>
  <c r="T96" i="2" s="1"/>
  <c r="L95" i="2"/>
  <c r="T95" i="2" s="1"/>
  <c r="L93" i="2"/>
  <c r="T93" i="2" s="1"/>
  <c r="L92" i="2"/>
  <c r="L90" i="2"/>
  <c r="M90" i="2" s="1"/>
  <c r="K83" i="2"/>
  <c r="L85" i="2"/>
  <c r="L86" i="2"/>
  <c r="M86" i="2" s="1"/>
  <c r="L87" i="2"/>
  <c r="M87" i="2" s="1"/>
  <c r="L88" i="2"/>
  <c r="M88" i="2" s="1"/>
  <c r="L84" i="2"/>
  <c r="M84" i="2" s="1"/>
  <c r="L77" i="2"/>
  <c r="L78" i="2"/>
  <c r="T78" i="2" s="1"/>
  <c r="L79" i="2"/>
  <c r="L80" i="2"/>
  <c r="L81" i="2"/>
  <c r="L82" i="2"/>
  <c r="L76" i="2"/>
  <c r="K72" i="2"/>
  <c r="K69" i="2"/>
  <c r="L71" i="2"/>
  <c r="M71" i="2" s="1"/>
  <c r="L70" i="2"/>
  <c r="K67" i="2"/>
  <c r="L68" i="2"/>
  <c r="L67" i="2" s="1"/>
  <c r="K52" i="2"/>
  <c r="L54" i="2"/>
  <c r="M54" i="2" s="1"/>
  <c r="L56" i="2"/>
  <c r="L57" i="2"/>
  <c r="M57" i="2" s="1"/>
  <c r="L58" i="2"/>
  <c r="M58" i="2" s="1"/>
  <c r="L59" i="2"/>
  <c r="M59" i="2" s="1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53" i="2"/>
  <c r="M53" i="2" s="1"/>
  <c r="K50" i="2"/>
  <c r="L51" i="2"/>
  <c r="L50" i="2" s="1"/>
  <c r="L45" i="2"/>
  <c r="L46" i="2"/>
  <c r="M46" i="2" s="1"/>
  <c r="L47" i="2"/>
  <c r="M47" i="2" s="1"/>
  <c r="L48" i="2"/>
  <c r="L597" i="2" s="1"/>
  <c r="K43" i="2"/>
  <c r="K42" i="2" s="1"/>
  <c r="L44" i="2"/>
  <c r="M44" i="2" s="1"/>
  <c r="K32" i="2"/>
  <c r="L34" i="2"/>
  <c r="M34" i="2" s="1"/>
  <c r="L35" i="2"/>
  <c r="M35" i="2" s="1"/>
  <c r="L37" i="2"/>
  <c r="M37" i="2" s="1"/>
  <c r="L39" i="2"/>
  <c r="M39" i="2" s="1"/>
  <c r="L40" i="2"/>
  <c r="M40" i="2" s="1"/>
  <c r="L41" i="2"/>
  <c r="M41" i="2" s="1"/>
  <c r="L33" i="2"/>
  <c r="M33" i="2" s="1"/>
  <c r="K30" i="2"/>
  <c r="L31" i="2"/>
  <c r="L30" i="2" s="1"/>
  <c r="K28" i="2"/>
  <c r="L29" i="2"/>
  <c r="M29" i="2" s="1"/>
  <c r="K25" i="2"/>
  <c r="K24" i="2" s="1"/>
  <c r="L27" i="2"/>
  <c r="M27" i="2" s="1"/>
  <c r="L26" i="2"/>
  <c r="M26" i="2" s="1"/>
  <c r="M17" i="2"/>
  <c r="M76" i="2"/>
  <c r="M102" i="2"/>
  <c r="M106" i="2"/>
  <c r="M124" i="2"/>
  <c r="M128" i="2"/>
  <c r="M136" i="2"/>
  <c r="M137" i="2"/>
  <c r="M141" i="2"/>
  <c r="M145" i="2"/>
  <c r="M147" i="2"/>
  <c r="M149" i="2"/>
  <c r="M151" i="2"/>
  <c r="M152" i="2"/>
  <c r="M156" i="2"/>
  <c r="M158" i="2"/>
  <c r="M160" i="2"/>
  <c r="M164" i="2"/>
  <c r="M168" i="2"/>
  <c r="M180" i="2"/>
  <c r="M185" i="2"/>
  <c r="M187" i="2"/>
  <c r="M189" i="2"/>
  <c r="M192" i="2"/>
  <c r="M193" i="2"/>
  <c r="M196" i="2"/>
  <c r="M198" i="2"/>
  <c r="M204" i="2"/>
  <c r="M213" i="2"/>
  <c r="M215" i="2"/>
  <c r="M217" i="2"/>
  <c r="M221" i="2"/>
  <c r="M225" i="2"/>
  <c r="M226" i="2"/>
  <c r="M229" i="2"/>
  <c r="M232" i="2"/>
  <c r="M235" i="2"/>
  <c r="M237" i="2"/>
  <c r="M239" i="2"/>
  <c r="M241" i="2"/>
  <c r="M243" i="2"/>
  <c r="M245" i="2"/>
  <c r="M247" i="2"/>
  <c r="M251" i="2"/>
  <c r="M252" i="2"/>
  <c r="M255" i="2"/>
  <c r="M259" i="2"/>
  <c r="M260" i="2"/>
  <c r="M261" i="2"/>
  <c r="M262" i="2"/>
  <c r="M263" i="2"/>
  <c r="M264" i="2"/>
  <c r="M266" i="2"/>
  <c r="M267" i="2"/>
  <c r="M268" i="2"/>
  <c r="M270" i="2"/>
  <c r="M271" i="2"/>
  <c r="M272" i="2"/>
  <c r="M274" i="2"/>
  <c r="M275" i="2"/>
  <c r="M276" i="2"/>
  <c r="M278" i="2"/>
  <c r="M279" i="2"/>
  <c r="M280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5" i="2"/>
  <c r="M306" i="2"/>
  <c r="M309" i="2"/>
  <c r="M310" i="2"/>
  <c r="M311" i="2"/>
  <c r="M312" i="2"/>
  <c r="M313" i="2"/>
  <c r="M314" i="2"/>
  <c r="M315" i="2"/>
  <c r="M316" i="2"/>
  <c r="M320" i="2"/>
  <c r="M321" i="2"/>
  <c r="M322" i="2"/>
  <c r="M325" i="2"/>
  <c r="M326" i="2"/>
  <c r="M327" i="2"/>
  <c r="M329" i="2"/>
  <c r="M330" i="2"/>
  <c r="M331" i="2"/>
  <c r="M332" i="2"/>
  <c r="M333" i="2"/>
  <c r="M334" i="2"/>
  <c r="M336" i="2"/>
  <c r="M338" i="2"/>
  <c r="M339" i="2"/>
  <c r="M343" i="2"/>
  <c r="M344" i="2"/>
  <c r="M345" i="2"/>
  <c r="M346" i="2"/>
  <c r="M347" i="2"/>
  <c r="M348" i="2"/>
  <c r="M349" i="2"/>
  <c r="M350" i="2"/>
  <c r="M351" i="2"/>
  <c r="M355" i="2"/>
  <c r="M357" i="2"/>
  <c r="M358" i="2"/>
  <c r="M359" i="2"/>
  <c r="M360" i="2"/>
  <c r="M361" i="2"/>
  <c r="M362" i="2"/>
  <c r="M363" i="2"/>
  <c r="M364" i="2"/>
  <c r="M366" i="2"/>
  <c r="M367" i="2"/>
  <c r="M368" i="2"/>
  <c r="M371" i="2"/>
  <c r="M372" i="2"/>
  <c r="M376" i="2"/>
  <c r="M377" i="2"/>
  <c r="M379" i="2"/>
  <c r="M380" i="2"/>
  <c r="M385" i="2"/>
  <c r="M387" i="2"/>
  <c r="M388" i="2"/>
  <c r="M389" i="2"/>
  <c r="M391" i="2"/>
  <c r="M400" i="2"/>
  <c r="M401" i="2"/>
  <c r="M403" i="2"/>
  <c r="M404" i="2"/>
  <c r="M405" i="2"/>
  <c r="M406" i="2"/>
  <c r="M407" i="2"/>
  <c r="M408" i="2"/>
  <c r="M409" i="2"/>
  <c r="M410" i="2"/>
  <c r="M411" i="2"/>
  <c r="M413" i="2"/>
  <c r="M414" i="2"/>
  <c r="M415" i="2"/>
  <c r="M416" i="2"/>
  <c r="M418" i="2"/>
  <c r="M419" i="2"/>
  <c r="M420" i="2"/>
  <c r="M422" i="2"/>
  <c r="M423" i="2"/>
  <c r="M424" i="2"/>
  <c r="M426" i="2"/>
  <c r="M427" i="2"/>
  <c r="M429" i="2"/>
  <c r="M430" i="2"/>
  <c r="M434" i="2"/>
  <c r="M435" i="2"/>
  <c r="M437" i="2"/>
  <c r="M438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61" i="2"/>
  <c r="M462" i="2"/>
  <c r="M463" i="2"/>
  <c r="M464" i="2"/>
  <c r="M468" i="2"/>
  <c r="M469" i="2"/>
  <c r="M470" i="2"/>
  <c r="M471" i="2"/>
  <c r="M472" i="2"/>
  <c r="M473" i="2"/>
  <c r="M476" i="2"/>
  <c r="M477" i="2"/>
  <c r="M478" i="2"/>
  <c r="M479" i="2"/>
  <c r="M480" i="2"/>
  <c r="M481" i="2"/>
  <c r="M482" i="2"/>
  <c r="M483" i="2"/>
  <c r="M484" i="2"/>
  <c r="M485" i="2"/>
  <c r="M486" i="2"/>
  <c r="M488" i="2"/>
  <c r="M489" i="2"/>
  <c r="M491" i="2"/>
  <c r="M494" i="2"/>
  <c r="M497" i="2"/>
  <c r="M504" i="2"/>
  <c r="M508" i="2"/>
  <c r="M511" i="2"/>
  <c r="M513" i="2"/>
  <c r="M515" i="2"/>
  <c r="M516" i="2"/>
  <c r="M517" i="2"/>
  <c r="M518" i="2"/>
  <c r="M520" i="2"/>
  <c r="M522" i="2"/>
  <c r="M526" i="2"/>
  <c r="M528" i="2"/>
  <c r="M530" i="2"/>
  <c r="M531" i="2"/>
  <c r="M532" i="2"/>
  <c r="M533" i="2"/>
  <c r="M536" i="2"/>
  <c r="M537" i="2"/>
  <c r="M538" i="2"/>
  <c r="M542" i="2"/>
  <c r="M543" i="2"/>
  <c r="M546" i="2"/>
  <c r="M548" i="2"/>
  <c r="M549" i="2"/>
  <c r="M550" i="2"/>
  <c r="M551" i="2"/>
  <c r="M553" i="2"/>
  <c r="M554" i="2"/>
  <c r="M556" i="2"/>
  <c r="M558" i="2"/>
  <c r="M560" i="2"/>
  <c r="M561" i="2"/>
  <c r="M562" i="2"/>
  <c r="M565" i="2"/>
  <c r="M566" i="2"/>
  <c r="M567" i="2"/>
  <c r="M568" i="2"/>
  <c r="M569" i="2"/>
  <c r="M574" i="2"/>
  <c r="M575" i="2"/>
  <c r="M577" i="2"/>
  <c r="M578" i="2"/>
  <c r="M581" i="2"/>
  <c r="M583" i="2"/>
  <c r="K19" i="2"/>
  <c r="K18" i="2" s="1"/>
  <c r="L23" i="2"/>
  <c r="M23" i="2" s="1"/>
  <c r="L21" i="2"/>
  <c r="L22" i="2"/>
  <c r="M22" i="2" s="1"/>
  <c r="L20" i="2"/>
  <c r="M20" i="2" s="1"/>
  <c r="K10" i="2"/>
  <c r="L12" i="2"/>
  <c r="M12" i="2" s="1"/>
  <c r="L13" i="2"/>
  <c r="M13" i="2" s="1"/>
  <c r="L14" i="2"/>
  <c r="M14" i="2" s="1"/>
  <c r="L16" i="2"/>
  <c r="M16" i="2" s="1"/>
  <c r="L11" i="2"/>
  <c r="M11" i="2" s="1"/>
  <c r="K8" i="2"/>
  <c r="L9" i="2"/>
  <c r="M9" i="2" s="1"/>
  <c r="L7" i="2"/>
  <c r="M7" i="2" s="1"/>
  <c r="L6" i="2"/>
  <c r="M6" i="2" s="1"/>
  <c r="K5" i="2"/>
  <c r="J268" i="5"/>
  <c r="J267" i="5"/>
  <c r="J266" i="5"/>
  <c r="J264" i="5"/>
  <c r="J261" i="5"/>
  <c r="J260" i="5"/>
  <c r="J257" i="5"/>
  <c r="J256" i="5"/>
  <c r="L11" i="5"/>
  <c r="L22" i="5"/>
  <c r="L23" i="5"/>
  <c r="L24" i="5"/>
  <c r="L29" i="5"/>
  <c r="L43" i="5"/>
  <c r="L55" i="5"/>
  <c r="J199" i="5"/>
  <c r="J198" i="5" s="1"/>
  <c r="J194" i="5"/>
  <c r="J192" i="5"/>
  <c r="J185" i="5"/>
  <c r="J180" i="5"/>
  <c r="J176" i="5"/>
  <c r="J175" i="5" s="1"/>
  <c r="J172" i="5"/>
  <c r="J168" i="5"/>
  <c r="J166" i="5"/>
  <c r="J163" i="5"/>
  <c r="J157" i="5"/>
  <c r="J153" i="5"/>
  <c r="J148" i="5"/>
  <c r="J146" i="5"/>
  <c r="J142" i="5"/>
  <c r="J141" i="5"/>
  <c r="J139" i="5"/>
  <c r="J135" i="5"/>
  <c r="J133" i="5"/>
  <c r="J127" i="5"/>
  <c r="J117" i="5"/>
  <c r="J114" i="5"/>
  <c r="J108" i="5"/>
  <c r="J105" i="5"/>
  <c r="J99" i="5"/>
  <c r="J97" i="5"/>
  <c r="J95" i="5"/>
  <c r="J91" i="5"/>
  <c r="J85" i="5"/>
  <c r="J74" i="5"/>
  <c r="J65" i="5"/>
  <c r="J62" i="5"/>
  <c r="J58" i="5"/>
  <c r="J57" i="5"/>
  <c r="J53" i="5"/>
  <c r="J51" i="5"/>
  <c r="J49" i="5"/>
  <c r="J47" i="5"/>
  <c r="J42" i="5"/>
  <c r="J39" i="5"/>
  <c r="J38" i="5" s="1"/>
  <c r="J28" i="5"/>
  <c r="J27" i="5" s="1"/>
  <c r="J20" i="5"/>
  <c r="J19" i="5" s="1"/>
  <c r="J17" i="5"/>
  <c r="J16" i="5" s="1"/>
  <c r="J10" i="5"/>
  <c r="J4" i="5" s="1"/>
  <c r="J8" i="5"/>
  <c r="K8" i="5"/>
  <c r="J22" i="5"/>
  <c r="J23" i="5"/>
  <c r="K48" i="5"/>
  <c r="K47" i="5" s="1"/>
  <c r="L47" i="5" s="1"/>
  <c r="K50" i="5"/>
  <c r="K49" i="5" s="1"/>
  <c r="L49" i="5" s="1"/>
  <c r="K52" i="5"/>
  <c r="K51" i="5" s="1"/>
  <c r="L51" i="5" s="1"/>
  <c r="K54" i="5"/>
  <c r="K53" i="5" s="1"/>
  <c r="L53" i="5" s="1"/>
  <c r="K56" i="5"/>
  <c r="L56" i="5" s="1"/>
  <c r="K59" i="5"/>
  <c r="L59" i="5" s="1"/>
  <c r="K60" i="5"/>
  <c r="L60" i="5" s="1"/>
  <c r="K63" i="5"/>
  <c r="L63" i="5" s="1"/>
  <c r="K64" i="5"/>
  <c r="K66" i="5"/>
  <c r="K67" i="5"/>
  <c r="L67" i="5" s="1"/>
  <c r="K68" i="5"/>
  <c r="L68" i="5" s="1"/>
  <c r="K69" i="5"/>
  <c r="L69" i="5" s="1"/>
  <c r="K70" i="5"/>
  <c r="L70" i="5" s="1"/>
  <c r="K71" i="5"/>
  <c r="L71" i="5" s="1"/>
  <c r="K72" i="5"/>
  <c r="L72" i="5" s="1"/>
  <c r="K73" i="5"/>
  <c r="L73" i="5" s="1"/>
  <c r="K75" i="5"/>
  <c r="L75" i="5" s="1"/>
  <c r="K76" i="5"/>
  <c r="L76" i="5" s="1"/>
  <c r="K77" i="5"/>
  <c r="L77" i="5" s="1"/>
  <c r="K78" i="5"/>
  <c r="L78" i="5" s="1"/>
  <c r="K79" i="5"/>
  <c r="L79" i="5" s="1"/>
  <c r="K80" i="5"/>
  <c r="L80" i="5" s="1"/>
  <c r="K81" i="5"/>
  <c r="L81" i="5" s="1"/>
  <c r="K82" i="5"/>
  <c r="K83" i="5"/>
  <c r="L83" i="5" s="1"/>
  <c r="K84" i="5"/>
  <c r="L84" i="5" s="1"/>
  <c r="K86" i="5"/>
  <c r="L86" i="5" s="1"/>
  <c r="K87" i="5"/>
  <c r="L87" i="5" s="1"/>
  <c r="K88" i="5"/>
  <c r="L88" i="5" s="1"/>
  <c r="K89" i="5"/>
  <c r="K90" i="5"/>
  <c r="K92" i="5"/>
  <c r="K256" i="5" s="1"/>
  <c r="K93" i="5"/>
  <c r="L93" i="5" s="1"/>
  <c r="K96" i="5"/>
  <c r="K98" i="5"/>
  <c r="K97" i="5" s="1"/>
  <c r="L97" i="5" s="1"/>
  <c r="K100" i="5"/>
  <c r="K101" i="5"/>
  <c r="L101" i="5" s="1"/>
  <c r="K102" i="5"/>
  <c r="L102" i="5" s="1"/>
  <c r="K103" i="5"/>
  <c r="L103" i="5" s="1"/>
  <c r="K104" i="5"/>
  <c r="L104" i="5" s="1"/>
  <c r="K106" i="5"/>
  <c r="L106" i="5" s="1"/>
  <c r="K109" i="5"/>
  <c r="K110" i="5"/>
  <c r="L110" i="5" s="1"/>
  <c r="K111" i="5"/>
  <c r="L111" i="5" s="1"/>
  <c r="K112" i="5"/>
  <c r="L112" i="5" s="1"/>
  <c r="K113" i="5"/>
  <c r="L113" i="5" s="1"/>
  <c r="K115" i="5"/>
  <c r="L115" i="5" s="1"/>
  <c r="K116" i="5"/>
  <c r="K118" i="5"/>
  <c r="K119" i="5"/>
  <c r="K120" i="5"/>
  <c r="L120" i="5" s="1"/>
  <c r="K121" i="5"/>
  <c r="L121" i="5" s="1"/>
  <c r="K122" i="5"/>
  <c r="L122" i="5" s="1"/>
  <c r="K123" i="5"/>
  <c r="L123" i="5" s="1"/>
  <c r="K124" i="5"/>
  <c r="L124" i="5" s="1"/>
  <c r="K125" i="5"/>
  <c r="K126" i="5"/>
  <c r="K128" i="5"/>
  <c r="K129" i="5"/>
  <c r="L129" i="5" s="1"/>
  <c r="K130" i="5"/>
  <c r="K131" i="5"/>
  <c r="L131" i="5" s="1"/>
  <c r="K132" i="5"/>
  <c r="L132" i="5" s="1"/>
  <c r="K134" i="5"/>
  <c r="K133" i="5" s="1"/>
  <c r="K136" i="5"/>
  <c r="K137" i="5"/>
  <c r="L137" i="5" s="1"/>
  <c r="K138" i="5"/>
  <c r="L138" i="5" s="1"/>
  <c r="K140" i="5"/>
  <c r="K139" i="5" s="1"/>
  <c r="L139" i="5" s="1"/>
  <c r="K143" i="5"/>
  <c r="K144" i="5"/>
  <c r="K147" i="5"/>
  <c r="L147" i="5" s="1"/>
  <c r="K149" i="5"/>
  <c r="L149" i="5" s="1"/>
  <c r="K150" i="5"/>
  <c r="L150" i="5" s="1"/>
  <c r="K151" i="5"/>
  <c r="L151" i="5" s="1"/>
  <c r="K152" i="5"/>
  <c r="L152" i="5" s="1"/>
  <c r="K154" i="5"/>
  <c r="L154" i="5" s="1"/>
  <c r="K155" i="5"/>
  <c r="L155" i="5" s="1"/>
  <c r="K156" i="5"/>
  <c r="L156" i="5" s="1"/>
  <c r="K158" i="5"/>
  <c r="L158" i="5" s="1"/>
  <c r="K159" i="5"/>
  <c r="L159" i="5" s="1"/>
  <c r="K160" i="5"/>
  <c r="L160" i="5" s="1"/>
  <c r="K162" i="5"/>
  <c r="K164" i="5"/>
  <c r="L164" i="5" s="1"/>
  <c r="K165" i="5"/>
  <c r="L165" i="5" s="1"/>
  <c r="K167" i="5"/>
  <c r="L167" i="5" s="1"/>
  <c r="K169" i="5"/>
  <c r="L169" i="5" s="1"/>
  <c r="K170" i="5"/>
  <c r="L170" i="5" s="1"/>
  <c r="K171" i="5"/>
  <c r="L171" i="5" s="1"/>
  <c r="K173" i="5"/>
  <c r="L173" i="5" s="1"/>
  <c r="K174" i="5"/>
  <c r="L174" i="5" s="1"/>
  <c r="K177" i="5"/>
  <c r="L177" i="5" s="1"/>
  <c r="K178" i="5"/>
  <c r="L178" i="5" s="1"/>
  <c r="K181" i="5"/>
  <c r="L181" i="5" s="1"/>
  <c r="K182" i="5"/>
  <c r="L182" i="5" s="1"/>
  <c r="K183" i="5"/>
  <c r="K180" i="5" s="1"/>
  <c r="L180" i="5" s="1"/>
  <c r="K184" i="5"/>
  <c r="K186" i="5"/>
  <c r="K187" i="5"/>
  <c r="K189" i="5"/>
  <c r="K188" i="5" s="1"/>
  <c r="K193" i="5"/>
  <c r="K195" i="5"/>
  <c r="L195" i="5" s="1"/>
  <c r="K196" i="5"/>
  <c r="K197" i="5"/>
  <c r="K200" i="5"/>
  <c r="K201" i="5"/>
  <c r="K202" i="5"/>
  <c r="K44" i="5"/>
  <c r="K42" i="5" s="1"/>
  <c r="L42" i="5" s="1"/>
  <c r="K45" i="5"/>
  <c r="L45" i="5" s="1"/>
  <c r="K43" i="5"/>
  <c r="K41" i="5"/>
  <c r="K40" i="5"/>
  <c r="K30" i="5"/>
  <c r="K31" i="5"/>
  <c r="L31" i="5" s="1"/>
  <c r="K32" i="5"/>
  <c r="L32" i="5" s="1"/>
  <c r="K33" i="5"/>
  <c r="L33" i="5" s="1"/>
  <c r="K34" i="5"/>
  <c r="K35" i="5"/>
  <c r="L35" i="5" s="1"/>
  <c r="K36" i="5"/>
  <c r="L36" i="5" s="1"/>
  <c r="K37" i="5"/>
  <c r="L37" i="5" s="1"/>
  <c r="K29" i="5"/>
  <c r="K25" i="5"/>
  <c r="K26" i="5"/>
  <c r="K24" i="5"/>
  <c r="K23" i="5"/>
  <c r="K22" i="5"/>
  <c r="K127" i="5" l="1"/>
  <c r="L127" i="5" s="1"/>
  <c r="K261" i="5"/>
  <c r="L261" i="5" s="1"/>
  <c r="L140" i="5"/>
  <c r="L162" i="5"/>
  <c r="K161" i="5"/>
  <c r="L161" i="5" s="1"/>
  <c r="K185" i="5"/>
  <c r="L185" i="5" s="1"/>
  <c r="K142" i="5"/>
  <c r="K141" i="5" s="1"/>
  <c r="L256" i="5"/>
  <c r="AE16" i="6"/>
  <c r="AE17" i="6"/>
  <c r="AE19" i="6" s="1"/>
  <c r="AE33" i="6"/>
  <c r="AE35" i="6" s="1"/>
  <c r="AE28" i="6"/>
  <c r="AC19" i="6"/>
  <c r="AC26" i="6"/>
  <c r="AG26" i="6"/>
  <c r="AG25" i="6"/>
  <c r="L514" i="2"/>
  <c r="M96" i="2"/>
  <c r="K534" i="2"/>
  <c r="L552" i="2"/>
  <c r="M318" i="2"/>
  <c r="M281" i="2"/>
  <c r="M277" i="2"/>
  <c r="M273" i="2"/>
  <c r="M269" i="2"/>
  <c r="M265" i="2"/>
  <c r="M246" i="2"/>
  <c r="M242" i="2"/>
  <c r="M230" i="2"/>
  <c r="M220" i="2"/>
  <c r="M214" i="2"/>
  <c r="M132" i="2"/>
  <c r="M118" i="2"/>
  <c r="M224" i="2"/>
  <c r="M337" i="2"/>
  <c r="M244" i="2"/>
  <c r="M240" i="2"/>
  <c r="M228" i="2"/>
  <c r="M222" i="2"/>
  <c r="M216" i="2"/>
  <c r="M99" i="2"/>
  <c r="L69" i="2"/>
  <c r="T76" i="2"/>
  <c r="L75" i="2"/>
  <c r="M70" i="2"/>
  <c r="L25" i="2"/>
  <c r="M218" i="2"/>
  <c r="X218" i="2"/>
  <c r="M238" i="2"/>
  <c r="X238" i="2"/>
  <c r="L308" i="2"/>
  <c r="X309" i="2"/>
  <c r="L373" i="2"/>
  <c r="L592" i="2"/>
  <c r="L8" i="2"/>
  <c r="M236" i="2"/>
  <c r="M231" i="2"/>
  <c r="M227" i="2"/>
  <c r="M223" i="2"/>
  <c r="M219" i="2"/>
  <c r="M109" i="2"/>
  <c r="M103" i="2"/>
  <c r="M93" i="2"/>
  <c r="M78" i="2"/>
  <c r="M51" i="2"/>
  <c r="K170" i="2"/>
  <c r="K211" i="2"/>
  <c r="M323" i="2"/>
  <c r="X323" i="2"/>
  <c r="M319" i="2"/>
  <c r="X319" i="2"/>
  <c r="L559" i="2"/>
  <c r="K108" i="5"/>
  <c r="L108" i="5" s="1"/>
  <c r="K172" i="5"/>
  <c r="L172" i="5" s="1"/>
  <c r="L186" i="5"/>
  <c r="K199" i="5"/>
  <c r="K58" i="5"/>
  <c r="K105" i="5"/>
  <c r="L105" i="5" s="1"/>
  <c r="L48" i="5"/>
  <c r="K135" i="5"/>
  <c r="L135" i="5" s="1"/>
  <c r="L92" i="5"/>
  <c r="K28" i="5"/>
  <c r="L200" i="5"/>
  <c r="K192" i="5"/>
  <c r="L192" i="5" s="1"/>
  <c r="K85" i="5"/>
  <c r="L85" i="5" s="1"/>
  <c r="L136" i="5"/>
  <c r="K257" i="5"/>
  <c r="L257" i="5" s="1"/>
  <c r="K474" i="2"/>
  <c r="K57" i="5"/>
  <c r="L57" i="5" s="1"/>
  <c r="L58" i="5"/>
  <c r="K27" i="5"/>
  <c r="L27" i="5" s="1"/>
  <c r="L28" i="5"/>
  <c r="K198" i="5"/>
  <c r="L198" i="5" s="1"/>
  <c r="L199" i="5"/>
  <c r="K179" i="5"/>
  <c r="K95" i="5"/>
  <c r="L95" i="5" s="1"/>
  <c r="L98" i="5"/>
  <c r="L52" i="5"/>
  <c r="L44" i="5"/>
  <c r="K267" i="5"/>
  <c r="L267" i="5" s="1"/>
  <c r="K194" i="5"/>
  <c r="L194" i="5" s="1"/>
  <c r="K91" i="5"/>
  <c r="L91" i="5" s="1"/>
  <c r="K146" i="5"/>
  <c r="L146" i="5" s="1"/>
  <c r="K157" i="5"/>
  <c r="L157" i="5" s="1"/>
  <c r="L202" i="5"/>
  <c r="L197" i="5"/>
  <c r="L96" i="5"/>
  <c r="L54" i="5"/>
  <c r="L50" i="5"/>
  <c r="L34" i="5"/>
  <c r="L193" i="5"/>
  <c r="K176" i="5"/>
  <c r="K117" i="5"/>
  <c r="L117" i="5" s="1"/>
  <c r="K114" i="5"/>
  <c r="L114" i="5" s="1"/>
  <c r="M133" i="2"/>
  <c r="M120" i="2"/>
  <c r="M100" i="2"/>
  <c r="M95" i="2"/>
  <c r="M31" i="2"/>
  <c r="L28" i="2"/>
  <c r="K130" i="2"/>
  <c r="L203" i="2"/>
  <c r="L390" i="2"/>
  <c r="S391" i="2"/>
  <c r="L428" i="2"/>
  <c r="W430" i="2"/>
  <c r="L460" i="2"/>
  <c r="W462" i="2"/>
  <c r="K4" i="2"/>
  <c r="M125" i="2"/>
  <c r="L395" i="2"/>
  <c r="W396" i="2"/>
  <c r="L507" i="2"/>
  <c r="V508" i="2"/>
  <c r="V588" i="2" s="1"/>
  <c r="L535" i="2"/>
  <c r="L555" i="2"/>
  <c r="T556" i="2"/>
  <c r="V577" i="2"/>
  <c r="L397" i="2"/>
  <c r="W398" i="2"/>
  <c r="M421" i="2"/>
  <c r="W421" i="2"/>
  <c r="M417" i="2"/>
  <c r="W417" i="2"/>
  <c r="L431" i="2"/>
  <c r="W432" i="2"/>
  <c r="M134" i="2"/>
  <c r="L598" i="2"/>
  <c r="M598" i="2" s="1"/>
  <c r="L393" i="2"/>
  <c r="L557" i="2"/>
  <c r="T558" i="2"/>
  <c r="L171" i="2"/>
  <c r="M82" i="2"/>
  <c r="S82" i="2"/>
  <c r="M81" i="2"/>
  <c r="S81" i="2"/>
  <c r="M77" i="2"/>
  <c r="T77" i="2"/>
  <c r="M80" i="2"/>
  <c r="S80" i="2"/>
  <c r="M119" i="2"/>
  <c r="M115" i="2"/>
  <c r="M111" i="2"/>
  <c r="M79" i="2"/>
  <c r="T79" i="2"/>
  <c r="T92" i="2"/>
  <c r="K66" i="2"/>
  <c r="K49" i="2"/>
  <c r="L125" i="5"/>
  <c r="K99" i="5"/>
  <c r="K94" i="5" s="1"/>
  <c r="L94" i="5" s="1"/>
  <c r="K74" i="5"/>
  <c r="L74" i="5" s="1"/>
  <c r="K260" i="5"/>
  <c r="L260" i="5" s="1"/>
  <c r="K65" i="5"/>
  <c r="L65" i="5" s="1"/>
  <c r="L66" i="5"/>
  <c r="K62" i="5"/>
  <c r="L62" i="5" s="1"/>
  <c r="L324" i="2"/>
  <c r="L161" i="2"/>
  <c r="L83" i="2"/>
  <c r="L122" i="2"/>
  <c r="L212" i="2"/>
  <c r="L191" i="2"/>
  <c r="L365" i="2"/>
  <c r="L402" i="2"/>
  <c r="L475" i="2"/>
  <c r="L135" i="2"/>
  <c r="L282" i="2"/>
  <c r="L328" i="2"/>
  <c r="L19" i="2"/>
  <c r="L18" i="2" s="1"/>
  <c r="L144" i="2"/>
  <c r="L153" i="2"/>
  <c r="L233" i="2"/>
  <c r="L467" i="2"/>
  <c r="L195" i="2"/>
  <c r="M85" i="2"/>
  <c r="M48" i="2"/>
  <c r="L43" i="2"/>
  <c r="L42" i="2" s="1"/>
  <c r="L352" i="2"/>
  <c r="L593" i="2"/>
  <c r="M21" i="2"/>
  <c r="L131" i="2"/>
  <c r="L599" i="2"/>
  <c r="M45" i="2"/>
  <c r="L439" i="2"/>
  <c r="K392" i="2"/>
  <c r="M432" i="2"/>
  <c r="L412" i="2"/>
  <c r="K74" i="2"/>
  <c r="K595" i="2"/>
  <c r="K492" i="2"/>
  <c r="K369" i="2"/>
  <c r="L5" i="2"/>
  <c r="K168" i="5"/>
  <c r="L168" i="5" s="1"/>
  <c r="K166" i="5"/>
  <c r="L166" i="5" s="1"/>
  <c r="K163" i="5"/>
  <c r="L163" i="5" s="1"/>
  <c r="K153" i="5"/>
  <c r="L153" i="5" s="1"/>
  <c r="L40" i="5"/>
  <c r="K39" i="5"/>
  <c r="L39" i="5" s="1"/>
  <c r="K148" i="5"/>
  <c r="L148" i="5" s="1"/>
  <c r="K191" i="5"/>
  <c r="L191" i="5" s="1"/>
  <c r="J191" i="5"/>
  <c r="J179" i="5"/>
  <c r="J145" i="5"/>
  <c r="J107" i="5"/>
  <c r="J94" i="5"/>
  <c r="J61" i="5"/>
  <c r="K46" i="5"/>
  <c r="L46" i="5" s="1"/>
  <c r="J46" i="5"/>
  <c r="K21" i="5"/>
  <c r="K258" i="5" s="1"/>
  <c r="K18" i="5"/>
  <c r="K266" i="5" s="1"/>
  <c r="L266" i="5" s="1"/>
  <c r="K12" i="5"/>
  <c r="K263" i="5" s="1"/>
  <c r="L263" i="5" s="1"/>
  <c r="K13" i="5"/>
  <c r="L13" i="5" s="1"/>
  <c r="K14" i="5"/>
  <c r="L14" i="5" s="1"/>
  <c r="K15" i="5"/>
  <c r="L15" i="5" s="1"/>
  <c r="K11" i="5"/>
  <c r="K9" i="5"/>
  <c r="L258" i="5" l="1"/>
  <c r="K262" i="5"/>
  <c r="L262" i="5" s="1"/>
  <c r="AG33" i="6"/>
  <c r="AG28" i="6"/>
  <c r="AG35" i="6" s="1"/>
  <c r="AC33" i="6"/>
  <c r="AC35" i="6" s="1"/>
  <c r="AC28" i="6"/>
  <c r="L595" i="2"/>
  <c r="K145" i="5"/>
  <c r="K175" i="5"/>
  <c r="L175" i="5" s="1"/>
  <c r="L176" i="5"/>
  <c r="L18" i="5"/>
  <c r="K17" i="5"/>
  <c r="K20" i="5"/>
  <c r="L21" i="5"/>
  <c r="K264" i="5"/>
  <c r="K268" i="5"/>
  <c r="L268" i="5" s="1"/>
  <c r="K10" i="5"/>
  <c r="K107" i="5"/>
  <c r="L107" i="5" s="1"/>
  <c r="K61" i="5"/>
  <c r="L61" i="5" s="1"/>
  <c r="L130" i="2"/>
  <c r="L202" i="2"/>
  <c r="L99" i="5"/>
  <c r="J203" i="5"/>
  <c r="J205" i="5" s="1"/>
  <c r="L474" i="2"/>
  <c r="K584" i="2"/>
  <c r="K586" i="2" s="1"/>
  <c r="L392" i="2"/>
  <c r="K38" i="5"/>
  <c r="L38" i="5" s="1"/>
  <c r="L145" i="5"/>
  <c r="H528" i="2"/>
  <c r="H526" i="2"/>
  <c r="J514" i="2"/>
  <c r="H581" i="2"/>
  <c r="F602" i="2" l="1"/>
  <c r="M595" i="2"/>
  <c r="L264" i="5"/>
  <c r="K16" i="5"/>
  <c r="L16" i="5" s="1"/>
  <c r="L17" i="5"/>
  <c r="K4" i="5"/>
  <c r="L4" i="5" s="1"/>
  <c r="L10" i="5"/>
  <c r="L20" i="5"/>
  <c r="K19" i="5"/>
  <c r="L19" i="5" s="1"/>
  <c r="H513" i="2"/>
  <c r="H435" i="2"/>
  <c r="H401" i="2"/>
  <c r="H355" i="2"/>
  <c r="H344" i="2"/>
  <c r="H343" i="2"/>
  <c r="H380" i="2"/>
  <c r="H372" i="2"/>
  <c r="H371" i="2"/>
  <c r="H366" i="2"/>
  <c r="I590" i="2" l="1"/>
  <c r="I496" i="2"/>
  <c r="K203" i="5"/>
  <c r="H285" i="2"/>
  <c r="I261" i="2"/>
  <c r="I592" i="2" s="1"/>
  <c r="I256" i="2"/>
  <c r="K205" i="5" l="1"/>
  <c r="H260" i="2"/>
  <c r="G256" i="2"/>
  <c r="G249" i="2"/>
  <c r="I249" i="2"/>
  <c r="I248" i="2" s="1"/>
  <c r="G248" i="2" l="1"/>
  <c r="H167" i="2"/>
  <c r="H150" i="2"/>
  <c r="H141" i="2"/>
  <c r="X89" i="2"/>
  <c r="P89" i="2"/>
  <c r="Q89" i="2"/>
  <c r="R89" i="2"/>
  <c r="S89" i="2"/>
  <c r="U89" i="2"/>
  <c r="V89" i="2"/>
  <c r="W89" i="2"/>
  <c r="O89" i="2"/>
  <c r="I103" i="2"/>
  <c r="I102" i="2"/>
  <c r="G99" i="2"/>
  <c r="G94" i="2"/>
  <c r="H46" i="2" l="1"/>
  <c r="H44" i="2"/>
  <c r="F5" i="2"/>
  <c r="M5" i="2" s="1"/>
  <c r="G5" i="2"/>
  <c r="I5" i="2"/>
  <c r="J5" i="2"/>
  <c r="N5" i="2"/>
  <c r="O5" i="2"/>
  <c r="P5" i="2"/>
  <c r="Q5" i="2"/>
  <c r="R5" i="2"/>
  <c r="S5" i="2"/>
  <c r="U5" i="2"/>
  <c r="V5" i="2"/>
  <c r="W5" i="2"/>
  <c r="X5" i="2"/>
  <c r="H6" i="2"/>
  <c r="T6" i="2"/>
  <c r="T5" i="2" s="1"/>
  <c r="Y7" i="2"/>
  <c r="F8" i="2"/>
  <c r="M8" i="2" s="1"/>
  <c r="G8" i="2"/>
  <c r="I8" i="2"/>
  <c r="J8" i="2"/>
  <c r="O8" i="2"/>
  <c r="P8" i="2"/>
  <c r="Q8" i="2"/>
  <c r="R8" i="2"/>
  <c r="S8" i="2"/>
  <c r="U8" i="2"/>
  <c r="V8" i="2"/>
  <c r="W8" i="2"/>
  <c r="X8" i="2"/>
  <c r="H9" i="2"/>
  <c r="T9" i="2"/>
  <c r="F10" i="2"/>
  <c r="H10" i="2" s="1"/>
  <c r="O10" i="2"/>
  <c r="P10" i="2"/>
  <c r="Q10" i="2"/>
  <c r="R10" i="2"/>
  <c r="S10" i="2"/>
  <c r="T10" i="2"/>
  <c r="U10" i="2"/>
  <c r="V10" i="2"/>
  <c r="W10" i="2"/>
  <c r="X10" i="2"/>
  <c r="H11" i="2"/>
  <c r="Y11" i="2"/>
  <c r="H12" i="2"/>
  <c r="Y12" i="2"/>
  <c r="H13" i="2"/>
  <c r="Y13" i="2"/>
  <c r="H14" i="2"/>
  <c r="Y14" i="2"/>
  <c r="H15" i="2"/>
  <c r="J15" i="2"/>
  <c r="L15" i="2" s="1"/>
  <c r="Y15" i="2"/>
  <c r="H16" i="2"/>
  <c r="Y16" i="2"/>
  <c r="H17" i="2"/>
  <c r="Y17" i="2"/>
  <c r="F19" i="2"/>
  <c r="H19" i="2" s="1"/>
  <c r="G18" i="2"/>
  <c r="I18" i="2"/>
  <c r="J19" i="2"/>
  <c r="J18" i="2" s="1"/>
  <c r="O19" i="2"/>
  <c r="P19" i="2"/>
  <c r="P18" i="2" s="1"/>
  <c r="R19" i="2"/>
  <c r="R18" i="2" s="1"/>
  <c r="S19" i="2"/>
  <c r="S18" i="2" s="1"/>
  <c r="T19" i="2"/>
  <c r="T18" i="2" s="1"/>
  <c r="U19" i="2"/>
  <c r="U18" i="2" s="1"/>
  <c r="V19" i="2"/>
  <c r="V18" i="2" s="1"/>
  <c r="W19" i="2"/>
  <c r="W18" i="2" s="1"/>
  <c r="X19" i="2"/>
  <c r="X18" i="2" s="1"/>
  <c r="H20" i="2"/>
  <c r="Q20" i="2"/>
  <c r="H21" i="2"/>
  <c r="Q21" i="2"/>
  <c r="H22" i="2"/>
  <c r="Q22" i="2"/>
  <c r="Y22" i="2" s="1"/>
  <c r="H23" i="2"/>
  <c r="Q23" i="2"/>
  <c r="Y23" i="2" s="1"/>
  <c r="F25" i="2"/>
  <c r="J25" i="2"/>
  <c r="O25" i="2"/>
  <c r="P25" i="2"/>
  <c r="Q25" i="2"/>
  <c r="R25" i="2"/>
  <c r="S25" i="2"/>
  <c r="T25" i="2"/>
  <c r="U25" i="2"/>
  <c r="W25" i="2"/>
  <c r="X25" i="2"/>
  <c r="H26" i="2"/>
  <c r="V26" i="2"/>
  <c r="H27" i="2"/>
  <c r="Y27" i="2"/>
  <c r="F28" i="2"/>
  <c r="M28" i="2" s="1"/>
  <c r="G28" i="2"/>
  <c r="I28" i="2"/>
  <c r="J28" i="2"/>
  <c r="O28" i="2"/>
  <c r="P28" i="2"/>
  <c r="Q28" i="2"/>
  <c r="R28" i="2"/>
  <c r="S28" i="2"/>
  <c r="T28" i="2"/>
  <c r="U28" i="2"/>
  <c r="V28" i="2"/>
  <c r="W28" i="2"/>
  <c r="X28" i="2"/>
  <c r="Y29" i="2"/>
  <c r="Y28" i="2" s="1"/>
  <c r="F30" i="2"/>
  <c r="I30" i="2"/>
  <c r="J30" i="2"/>
  <c r="O30" i="2"/>
  <c r="P30" i="2"/>
  <c r="Q30" i="2"/>
  <c r="R30" i="2"/>
  <c r="S30" i="2"/>
  <c r="U30" i="2"/>
  <c r="V30" i="2"/>
  <c r="W30" i="2"/>
  <c r="X30" i="2"/>
  <c r="H31" i="2"/>
  <c r="T31" i="2"/>
  <c r="T30" i="2" s="1"/>
  <c r="F32" i="2"/>
  <c r="H32" i="2" s="1"/>
  <c r="O32" i="2"/>
  <c r="P32" i="2"/>
  <c r="Q32" i="2"/>
  <c r="T32" i="2"/>
  <c r="U32" i="2"/>
  <c r="V32" i="2"/>
  <c r="W32" i="2"/>
  <c r="X32" i="2"/>
  <c r="Y33" i="2"/>
  <c r="Y34" i="2"/>
  <c r="Y35" i="2"/>
  <c r="H36" i="2"/>
  <c r="J36" i="2"/>
  <c r="L36" i="2" s="1"/>
  <c r="Y36" i="2"/>
  <c r="H37" i="2"/>
  <c r="Y37" i="2"/>
  <c r="H38" i="2"/>
  <c r="J38" i="2"/>
  <c r="L38" i="2" s="1"/>
  <c r="M38" i="2" s="1"/>
  <c r="Y38" i="2"/>
  <c r="H39" i="2"/>
  <c r="Y39" i="2"/>
  <c r="H40" i="2"/>
  <c r="Y40" i="2"/>
  <c r="H41" i="2"/>
  <c r="Y41" i="2"/>
  <c r="F43" i="2"/>
  <c r="H43" i="2" s="1"/>
  <c r="I42" i="2"/>
  <c r="J43" i="2"/>
  <c r="J42" i="2" s="1"/>
  <c r="N43" i="2"/>
  <c r="N42" i="2" s="1"/>
  <c r="O43" i="2"/>
  <c r="O42" i="2" s="1"/>
  <c r="P43" i="2"/>
  <c r="P42" i="2" s="1"/>
  <c r="Q43" i="2"/>
  <c r="Q42" i="2" s="1"/>
  <c r="R43" i="2"/>
  <c r="R42" i="2" s="1"/>
  <c r="S43" i="2"/>
  <c r="S42" i="2" s="1"/>
  <c r="T43" i="2"/>
  <c r="T42" i="2" s="1"/>
  <c r="U43" i="2"/>
  <c r="U42" i="2" s="1"/>
  <c r="W43" i="2"/>
  <c r="W42" i="2" s="1"/>
  <c r="X43" i="2"/>
  <c r="X42" i="2" s="1"/>
  <c r="Y44" i="2"/>
  <c r="H45" i="2"/>
  <c r="V43" i="2"/>
  <c r="V42" i="2" s="1"/>
  <c r="Y46" i="2"/>
  <c r="H47" i="2"/>
  <c r="Y47" i="2"/>
  <c r="H48" i="2"/>
  <c r="Y48" i="2"/>
  <c r="Y597" i="2" s="1"/>
  <c r="F50" i="2"/>
  <c r="M50" i="2" s="1"/>
  <c r="G50" i="2"/>
  <c r="I50" i="2"/>
  <c r="J50" i="2"/>
  <c r="O50" i="2"/>
  <c r="P50" i="2"/>
  <c r="Q50" i="2"/>
  <c r="R50" i="2"/>
  <c r="S50" i="2"/>
  <c r="U50" i="2"/>
  <c r="V50" i="2"/>
  <c r="W50" i="2"/>
  <c r="X50" i="2"/>
  <c r="H51" i="2"/>
  <c r="T50" i="2"/>
  <c r="F52" i="2"/>
  <c r="H52" i="2" s="1"/>
  <c r="G49" i="2"/>
  <c r="O52" i="2"/>
  <c r="P52" i="2"/>
  <c r="R52" i="2"/>
  <c r="S52" i="2"/>
  <c r="T52" i="2"/>
  <c r="U52" i="2"/>
  <c r="W52" i="2"/>
  <c r="H53" i="2"/>
  <c r="X53" i="2"/>
  <c r="Y53" i="2" s="1"/>
  <c r="H54" i="2"/>
  <c r="Y54" i="2"/>
  <c r="H55" i="2"/>
  <c r="J55" i="2"/>
  <c r="Y55" i="2"/>
  <c r="Q56" i="2"/>
  <c r="Y56" i="2" s="1"/>
  <c r="H57" i="2"/>
  <c r="Q57" i="2"/>
  <c r="Y57" i="2" s="1"/>
  <c r="H58" i="2"/>
  <c r="Q58" i="2"/>
  <c r="Y58" i="2" s="1"/>
  <c r="H59" i="2"/>
  <c r="Q59" i="2"/>
  <c r="Y59" i="2" s="1"/>
  <c r="H60" i="2"/>
  <c r="Q60" i="2"/>
  <c r="Y60" i="2" s="1"/>
  <c r="H61" i="2"/>
  <c r="Y61" i="2"/>
  <c r="H62" i="2"/>
  <c r="Q62" i="2"/>
  <c r="Y62" i="2" s="1"/>
  <c r="H63" i="2"/>
  <c r="Q63" i="2"/>
  <c r="H64" i="2"/>
  <c r="V64" i="2"/>
  <c r="V52" i="2" s="1"/>
  <c r="H65" i="2"/>
  <c r="Y65" i="2"/>
  <c r="F67" i="2"/>
  <c r="G67" i="2"/>
  <c r="I67" i="2"/>
  <c r="J67" i="2"/>
  <c r="O67" i="2"/>
  <c r="P67" i="2"/>
  <c r="R67" i="2"/>
  <c r="S67" i="2"/>
  <c r="T67" i="2"/>
  <c r="U67" i="2"/>
  <c r="V67" i="2"/>
  <c r="W67" i="2"/>
  <c r="X67" i="2"/>
  <c r="Q67" i="2"/>
  <c r="F69" i="2"/>
  <c r="M69" i="2" s="1"/>
  <c r="G69" i="2"/>
  <c r="I69" i="2"/>
  <c r="J69" i="2"/>
  <c r="O69" i="2"/>
  <c r="P69" i="2"/>
  <c r="Q69" i="2"/>
  <c r="R69" i="2"/>
  <c r="S69" i="2"/>
  <c r="T69" i="2"/>
  <c r="U69" i="2"/>
  <c r="V69" i="2"/>
  <c r="W69" i="2"/>
  <c r="X69" i="2"/>
  <c r="H70" i="2"/>
  <c r="Y70" i="2"/>
  <c r="H71" i="2"/>
  <c r="Y71" i="2"/>
  <c r="F72" i="2"/>
  <c r="G72" i="2"/>
  <c r="I72" i="2"/>
  <c r="O72" i="2"/>
  <c r="P72" i="2"/>
  <c r="Q72" i="2"/>
  <c r="R72" i="2"/>
  <c r="S72" i="2"/>
  <c r="T72" i="2"/>
  <c r="U72" i="2"/>
  <c r="V72" i="2"/>
  <c r="W72" i="2"/>
  <c r="X72" i="2"/>
  <c r="H73" i="2"/>
  <c r="J73" i="2"/>
  <c r="Y73" i="2"/>
  <c r="F75" i="2"/>
  <c r="M75" i="2" s="1"/>
  <c r="G75" i="2"/>
  <c r="I75" i="2"/>
  <c r="J75" i="2"/>
  <c r="O75" i="2"/>
  <c r="P75" i="2"/>
  <c r="Q75" i="2"/>
  <c r="R75" i="2"/>
  <c r="S75" i="2"/>
  <c r="T75" i="2"/>
  <c r="U75" i="2"/>
  <c r="V75" i="2"/>
  <c r="W75" i="2"/>
  <c r="X75" i="2"/>
  <c r="H76" i="2"/>
  <c r="Y76" i="2"/>
  <c r="H77" i="2"/>
  <c r="Y77" i="2"/>
  <c r="H78" i="2"/>
  <c r="Y78" i="2"/>
  <c r="H79" i="2"/>
  <c r="Y79" i="2"/>
  <c r="H80" i="2"/>
  <c r="Y80" i="2"/>
  <c r="H81" i="2"/>
  <c r="Y81" i="2"/>
  <c r="H82" i="2"/>
  <c r="Y82" i="2"/>
  <c r="F83" i="2"/>
  <c r="J83" i="2"/>
  <c r="O83" i="2"/>
  <c r="P83" i="2"/>
  <c r="Q83" i="2"/>
  <c r="R83" i="2"/>
  <c r="T83" i="2"/>
  <c r="U83" i="2"/>
  <c r="V83" i="2"/>
  <c r="W83" i="2"/>
  <c r="X83" i="2"/>
  <c r="H84" i="2"/>
  <c r="S84" i="2"/>
  <c r="Y84" i="2" s="1"/>
  <c r="H85" i="2"/>
  <c r="S85" i="2"/>
  <c r="Y85" i="2" s="1"/>
  <c r="H86" i="2"/>
  <c r="Y86" i="2"/>
  <c r="H87" i="2"/>
  <c r="S87" i="2"/>
  <c r="S588" i="2" s="1"/>
  <c r="Y88" i="2"/>
  <c r="H90" i="2"/>
  <c r="Y90" i="2"/>
  <c r="G91" i="2"/>
  <c r="G89" i="2" s="1"/>
  <c r="I91" i="2"/>
  <c r="J91" i="2"/>
  <c r="F92" i="2"/>
  <c r="M92" i="2" s="1"/>
  <c r="Y92" i="2"/>
  <c r="H93" i="2"/>
  <c r="Y93" i="2"/>
  <c r="F94" i="2"/>
  <c r="I94" i="2"/>
  <c r="J94" i="2"/>
  <c r="L94" i="2" s="1"/>
  <c r="H95" i="2"/>
  <c r="Y95" i="2"/>
  <c r="Y96" i="2"/>
  <c r="Y97" i="2"/>
  <c r="F98" i="2"/>
  <c r="G98" i="2"/>
  <c r="I98" i="2"/>
  <c r="J98" i="2"/>
  <c r="L98" i="2" s="1"/>
  <c r="H99" i="2"/>
  <c r="Y99" i="2"/>
  <c r="H100" i="2"/>
  <c r="Y100" i="2"/>
  <c r="F101" i="2"/>
  <c r="F589" i="2" s="1"/>
  <c r="G101" i="2"/>
  <c r="I101" i="2"/>
  <c r="I588" i="2" s="1"/>
  <c r="J101" i="2"/>
  <c r="L101" i="2" s="1"/>
  <c r="H102" i="2"/>
  <c r="H103" i="2"/>
  <c r="Y103" i="2"/>
  <c r="H104" i="2"/>
  <c r="Y104" i="2"/>
  <c r="H105" i="2"/>
  <c r="Y105" i="2"/>
  <c r="H106" i="2"/>
  <c r="Y106" i="2"/>
  <c r="H107" i="2"/>
  <c r="Y107" i="2"/>
  <c r="H108" i="2"/>
  <c r="Y108" i="2"/>
  <c r="H109" i="2"/>
  <c r="Y109" i="2"/>
  <c r="H110" i="2"/>
  <c r="Y110" i="2"/>
  <c r="H111" i="2"/>
  <c r="Y111" i="2"/>
  <c r="H112" i="2"/>
  <c r="Y112" i="2"/>
  <c r="H113" i="2"/>
  <c r="Y113" i="2"/>
  <c r="H114" i="2"/>
  <c r="Y114" i="2"/>
  <c r="H115" i="2"/>
  <c r="Y115" i="2"/>
  <c r="Y116" i="2"/>
  <c r="H117" i="2"/>
  <c r="Y117" i="2"/>
  <c r="H118" i="2"/>
  <c r="Y118" i="2"/>
  <c r="H119" i="2"/>
  <c r="Y119" i="2"/>
  <c r="H120" i="2"/>
  <c r="Y120" i="2"/>
  <c r="Y121" i="2"/>
  <c r="F122" i="2"/>
  <c r="J122" i="2"/>
  <c r="O122" i="2"/>
  <c r="P122" i="2"/>
  <c r="Q122" i="2"/>
  <c r="R122" i="2"/>
  <c r="S122" i="2"/>
  <c r="T122" i="2"/>
  <c r="U122" i="2"/>
  <c r="V122" i="2"/>
  <c r="W122" i="2"/>
  <c r="X122" i="2"/>
  <c r="H123" i="2"/>
  <c r="Y123" i="2"/>
  <c r="H124" i="2"/>
  <c r="Y124" i="2"/>
  <c r="H125" i="2"/>
  <c r="Y125" i="2"/>
  <c r="F126" i="2"/>
  <c r="H126" i="2" s="1"/>
  <c r="O126" i="2"/>
  <c r="P126" i="2"/>
  <c r="Q126" i="2"/>
  <c r="R126" i="2"/>
  <c r="T126" i="2"/>
  <c r="U126" i="2"/>
  <c r="V126" i="2"/>
  <c r="W126" i="2"/>
  <c r="X126" i="2"/>
  <c r="H127" i="2"/>
  <c r="S127" i="2"/>
  <c r="H128" i="2"/>
  <c r="Y128" i="2"/>
  <c r="H129" i="2"/>
  <c r="J129" i="2"/>
  <c r="Y129" i="2"/>
  <c r="F131" i="2"/>
  <c r="J131" i="2"/>
  <c r="O131" i="2"/>
  <c r="P131" i="2"/>
  <c r="Q131" i="2"/>
  <c r="R131" i="2"/>
  <c r="S131" i="2"/>
  <c r="T131" i="2"/>
  <c r="U131" i="2"/>
  <c r="V131" i="2"/>
  <c r="W131" i="2"/>
  <c r="X131" i="2"/>
  <c r="H132" i="2"/>
  <c r="Y132" i="2"/>
  <c r="H133" i="2"/>
  <c r="Y133" i="2"/>
  <c r="H134" i="2"/>
  <c r="Y134" i="2"/>
  <c r="F135" i="2"/>
  <c r="J135" i="2"/>
  <c r="O135" i="2"/>
  <c r="P135" i="2"/>
  <c r="Q135" i="2"/>
  <c r="R135" i="2"/>
  <c r="S135" i="2"/>
  <c r="T135" i="2"/>
  <c r="U135" i="2"/>
  <c r="V135" i="2"/>
  <c r="W135" i="2"/>
  <c r="X135" i="2"/>
  <c r="H136" i="2"/>
  <c r="Y136" i="2"/>
  <c r="H137" i="2"/>
  <c r="Y137" i="2"/>
  <c r="H138" i="2"/>
  <c r="Y138" i="2"/>
  <c r="H139" i="2"/>
  <c r="Y139" i="2"/>
  <c r="H140" i="2"/>
  <c r="Y140" i="2"/>
  <c r="Y141" i="2"/>
  <c r="H142" i="2"/>
  <c r="Y142" i="2"/>
  <c r="H143" i="2"/>
  <c r="Y143" i="2"/>
  <c r="F144" i="2"/>
  <c r="J144" i="2"/>
  <c r="O144" i="2"/>
  <c r="P144" i="2"/>
  <c r="Q144" i="2"/>
  <c r="R144" i="2"/>
  <c r="S144" i="2"/>
  <c r="T144" i="2"/>
  <c r="U144" i="2"/>
  <c r="V144" i="2"/>
  <c r="W144" i="2"/>
  <c r="X144" i="2"/>
  <c r="H145" i="2"/>
  <c r="Y145" i="2"/>
  <c r="H146" i="2"/>
  <c r="Y146" i="2"/>
  <c r="H147" i="2"/>
  <c r="Y147" i="2"/>
  <c r="H148" i="2"/>
  <c r="Y148" i="2"/>
  <c r="H149" i="2"/>
  <c r="Y149" i="2"/>
  <c r="Y150" i="2"/>
  <c r="H151" i="2"/>
  <c r="Y151" i="2"/>
  <c r="H152" i="2"/>
  <c r="Y152" i="2"/>
  <c r="F153" i="2"/>
  <c r="J153" i="2"/>
  <c r="O153" i="2"/>
  <c r="P153" i="2"/>
  <c r="Q153" i="2"/>
  <c r="R153" i="2"/>
  <c r="S153" i="2"/>
  <c r="T153" i="2"/>
  <c r="U153" i="2"/>
  <c r="V153" i="2"/>
  <c r="W153" i="2"/>
  <c r="X153" i="2"/>
  <c r="H154" i="2"/>
  <c r="Y154" i="2"/>
  <c r="H155" i="2"/>
  <c r="Y155" i="2"/>
  <c r="H156" i="2"/>
  <c r="Y156" i="2"/>
  <c r="H157" i="2"/>
  <c r="Y157" i="2"/>
  <c r="H158" i="2"/>
  <c r="Y158" i="2"/>
  <c r="H159" i="2"/>
  <c r="Y159" i="2"/>
  <c r="H160" i="2"/>
  <c r="Y160" i="2"/>
  <c r="F161" i="2"/>
  <c r="J161" i="2"/>
  <c r="O161" i="2"/>
  <c r="P161" i="2"/>
  <c r="Q161" i="2"/>
  <c r="R161" i="2"/>
  <c r="S161" i="2"/>
  <c r="T161" i="2"/>
  <c r="U161" i="2"/>
  <c r="V161" i="2"/>
  <c r="W161" i="2"/>
  <c r="X161" i="2"/>
  <c r="H162" i="2"/>
  <c r="Y162" i="2"/>
  <c r="H163" i="2"/>
  <c r="Y163" i="2"/>
  <c r="H164" i="2"/>
  <c r="Y164" i="2"/>
  <c r="H165" i="2"/>
  <c r="Y165" i="2"/>
  <c r="H166" i="2"/>
  <c r="Y166" i="2"/>
  <c r="Y167" i="2"/>
  <c r="H168" i="2"/>
  <c r="Y168" i="2"/>
  <c r="H169" i="2"/>
  <c r="Y169" i="2"/>
  <c r="F171" i="2"/>
  <c r="G171" i="2"/>
  <c r="I171" i="2"/>
  <c r="J171" i="2"/>
  <c r="O171" i="2"/>
  <c r="P171" i="2"/>
  <c r="Q171" i="2"/>
  <c r="R171" i="2"/>
  <c r="S171" i="2"/>
  <c r="T171" i="2"/>
  <c r="U171" i="2"/>
  <c r="V171" i="2"/>
  <c r="W171" i="2"/>
  <c r="X171" i="2"/>
  <c r="H172" i="2"/>
  <c r="Y172" i="2"/>
  <c r="H173" i="2"/>
  <c r="Y173" i="2"/>
  <c r="F176" i="2"/>
  <c r="H176" i="2" s="1"/>
  <c r="O176" i="2"/>
  <c r="P176" i="2"/>
  <c r="Q176" i="2"/>
  <c r="R176" i="2"/>
  <c r="S176" i="2"/>
  <c r="U176" i="2"/>
  <c r="V176" i="2"/>
  <c r="W176" i="2"/>
  <c r="X176" i="2"/>
  <c r="H177" i="2"/>
  <c r="Y177" i="2"/>
  <c r="H178" i="2"/>
  <c r="Y178" i="2"/>
  <c r="H179" i="2"/>
  <c r="T179" i="2"/>
  <c r="Y179" i="2" s="1"/>
  <c r="H180" i="2"/>
  <c r="T180" i="2"/>
  <c r="H181" i="2"/>
  <c r="T181" i="2"/>
  <c r="H182" i="2"/>
  <c r="J182" i="2"/>
  <c r="Y182" i="2"/>
  <c r="H183" i="2"/>
  <c r="Y183" i="2"/>
  <c r="H184" i="2"/>
  <c r="Y184" i="2"/>
  <c r="H185" i="2"/>
  <c r="Y185" i="2"/>
  <c r="H186" i="2"/>
  <c r="Y186" i="2"/>
  <c r="H187" i="2"/>
  <c r="Y187" i="2"/>
  <c r="H188" i="2"/>
  <c r="Y188" i="2"/>
  <c r="Y189" i="2"/>
  <c r="H190" i="2"/>
  <c r="Y190" i="2"/>
  <c r="F191" i="2"/>
  <c r="M191" i="2" s="1"/>
  <c r="G191" i="2"/>
  <c r="I191" i="2"/>
  <c r="J191" i="2"/>
  <c r="O191" i="2"/>
  <c r="P191" i="2"/>
  <c r="Q191" i="2"/>
  <c r="R191" i="2"/>
  <c r="S191" i="2"/>
  <c r="T191" i="2"/>
  <c r="U191" i="2"/>
  <c r="V191" i="2"/>
  <c r="W191" i="2"/>
  <c r="X191" i="2"/>
  <c r="H192" i="2"/>
  <c r="Y192" i="2"/>
  <c r="H193" i="2"/>
  <c r="Y193" i="2"/>
  <c r="H194" i="2"/>
  <c r="Y194" i="2"/>
  <c r="F195" i="2"/>
  <c r="J195" i="2"/>
  <c r="O195" i="2"/>
  <c r="P195" i="2"/>
  <c r="Q195" i="2"/>
  <c r="R195" i="2"/>
  <c r="S195" i="2"/>
  <c r="T195" i="2"/>
  <c r="U195" i="2"/>
  <c r="V195" i="2"/>
  <c r="W195" i="2"/>
  <c r="X195" i="2"/>
  <c r="H196" i="2"/>
  <c r="Y196" i="2"/>
  <c r="H197" i="2"/>
  <c r="Y197" i="2"/>
  <c r="H198" i="2"/>
  <c r="Y198" i="2"/>
  <c r="H199" i="2"/>
  <c r="Y199" i="2"/>
  <c r="H200" i="2"/>
  <c r="Y200" i="2"/>
  <c r="Y201" i="2"/>
  <c r="F203" i="2"/>
  <c r="G203" i="2"/>
  <c r="I203" i="2"/>
  <c r="I202" i="2" s="1"/>
  <c r="J203" i="2"/>
  <c r="J202" i="2" s="1"/>
  <c r="N203" i="2"/>
  <c r="N202" i="2" s="1"/>
  <c r="O203" i="2"/>
  <c r="O202" i="2" s="1"/>
  <c r="P203" i="2"/>
  <c r="P202" i="2" s="1"/>
  <c r="Q203" i="2"/>
  <c r="Q202" i="2" s="1"/>
  <c r="R203" i="2"/>
  <c r="R202" i="2" s="1"/>
  <c r="S203" i="2"/>
  <c r="S202" i="2" s="1"/>
  <c r="U203" i="2"/>
  <c r="U202" i="2" s="1"/>
  <c r="V203" i="2"/>
  <c r="V202" i="2" s="1"/>
  <c r="W203" i="2"/>
  <c r="W202" i="2" s="1"/>
  <c r="X203" i="2"/>
  <c r="X202" i="2" s="1"/>
  <c r="H204" i="2"/>
  <c r="T204" i="2"/>
  <c r="T203" i="2" s="1"/>
  <c r="G205" i="2"/>
  <c r="I205" i="2"/>
  <c r="O206" i="2"/>
  <c r="O205" i="2" s="1"/>
  <c r="P206" i="2"/>
  <c r="P205" i="2" s="1"/>
  <c r="Q206" i="2"/>
  <c r="Q205" i="2" s="1"/>
  <c r="R206" i="2"/>
  <c r="R205" i="2" s="1"/>
  <c r="S206" i="2"/>
  <c r="S205" i="2" s="1"/>
  <c r="U206" i="2"/>
  <c r="U205" i="2" s="1"/>
  <c r="V206" i="2"/>
  <c r="V205" i="2" s="1"/>
  <c r="W206" i="2"/>
  <c r="W205" i="2" s="1"/>
  <c r="X206" i="2"/>
  <c r="X205" i="2" s="1"/>
  <c r="F207" i="2"/>
  <c r="F590" i="2" s="1"/>
  <c r="J207" i="2"/>
  <c r="Y208" i="2"/>
  <c r="Y209" i="2"/>
  <c r="Y210" i="2"/>
  <c r="F212" i="2"/>
  <c r="J212" i="2"/>
  <c r="O212" i="2"/>
  <c r="P212" i="2"/>
  <c r="Q212" i="2"/>
  <c r="R212" i="2"/>
  <c r="S212" i="2"/>
  <c r="U212" i="2"/>
  <c r="V212" i="2"/>
  <c r="W212" i="2"/>
  <c r="T213" i="2"/>
  <c r="H214" i="2"/>
  <c r="H215" i="2"/>
  <c r="Y215" i="2"/>
  <c r="H216" i="2"/>
  <c r="Y216" i="2"/>
  <c r="H217" i="2"/>
  <c r="Y217" i="2"/>
  <c r="H218" i="2"/>
  <c r="Y218" i="2"/>
  <c r="H219" i="2"/>
  <c r="Y219" i="2"/>
  <c r="H220" i="2"/>
  <c r="Y220" i="2"/>
  <c r="H221" i="2"/>
  <c r="Y221" i="2"/>
  <c r="H222" i="2"/>
  <c r="Y222" i="2"/>
  <c r="H223" i="2"/>
  <c r="Y223" i="2"/>
  <c r="H224" i="2"/>
  <c r="Y224" i="2"/>
  <c r="H225" i="2"/>
  <c r="Y225" i="2"/>
  <c r="H226" i="2"/>
  <c r="Y226" i="2"/>
  <c r="H227" i="2"/>
  <c r="Y227" i="2"/>
  <c r="H228" i="2"/>
  <c r="Y228" i="2"/>
  <c r="H229" i="2"/>
  <c r="Y229" i="2"/>
  <c r="H230" i="2"/>
  <c r="Y230" i="2"/>
  <c r="H231" i="2"/>
  <c r="Y231" i="2"/>
  <c r="H232" i="2"/>
  <c r="Y232" i="2"/>
  <c r="F233" i="2"/>
  <c r="J233" i="2"/>
  <c r="O233" i="2"/>
  <c r="P233" i="2"/>
  <c r="Q233" i="2"/>
  <c r="R233" i="2"/>
  <c r="S233" i="2"/>
  <c r="U233" i="2"/>
  <c r="V233" i="2"/>
  <c r="W233" i="2"/>
  <c r="H234" i="2"/>
  <c r="T234" i="2"/>
  <c r="T233" i="2" s="1"/>
  <c r="H235" i="2"/>
  <c r="Y235" i="2"/>
  <c r="H236" i="2"/>
  <c r="Y236" i="2"/>
  <c r="H237" i="2"/>
  <c r="Y237" i="2"/>
  <c r="H238" i="2"/>
  <c r="Y238" i="2"/>
  <c r="H239" i="2"/>
  <c r="Y239" i="2"/>
  <c r="H240" i="2"/>
  <c r="Y240" i="2"/>
  <c r="H241" i="2"/>
  <c r="Y241" i="2"/>
  <c r="H242" i="2"/>
  <c r="Y242" i="2"/>
  <c r="H243" i="2"/>
  <c r="Y243" i="2"/>
  <c r="H244" i="2"/>
  <c r="Y244" i="2"/>
  <c r="H245" i="2"/>
  <c r="Y245" i="2"/>
  <c r="H246" i="2"/>
  <c r="Y246" i="2"/>
  <c r="H247" i="2"/>
  <c r="Y247" i="2"/>
  <c r="O248" i="2"/>
  <c r="P248" i="2"/>
  <c r="Q248" i="2"/>
  <c r="R248" i="2"/>
  <c r="S248" i="2"/>
  <c r="U248" i="2"/>
  <c r="V248" i="2"/>
  <c r="W248" i="2"/>
  <c r="F249" i="2"/>
  <c r="J249" i="2"/>
  <c r="L249" i="2" s="1"/>
  <c r="Y250" i="2"/>
  <c r="H251" i="2"/>
  <c r="Y251" i="2"/>
  <c r="H252" i="2"/>
  <c r="Y252" i="2"/>
  <c r="H253" i="2"/>
  <c r="Y253" i="2"/>
  <c r="H254" i="2"/>
  <c r="Y254" i="2"/>
  <c r="H255" i="2"/>
  <c r="Y255" i="2"/>
  <c r="F256" i="2"/>
  <c r="J256" i="2"/>
  <c r="Y257" i="2"/>
  <c r="H258" i="2"/>
  <c r="Y258" i="2"/>
  <c r="H259" i="2"/>
  <c r="Y259" i="2"/>
  <c r="Y260" i="2"/>
  <c r="H261" i="2"/>
  <c r="H262" i="2"/>
  <c r="Y262" i="2"/>
  <c r="H263" i="2"/>
  <c r="Y263" i="2"/>
  <c r="H264" i="2"/>
  <c r="Y264" i="2"/>
  <c r="H265" i="2"/>
  <c r="Y265" i="2"/>
  <c r="H266" i="2"/>
  <c r="Y266" i="2"/>
  <c r="H267" i="2"/>
  <c r="Y267" i="2"/>
  <c r="H268" i="2"/>
  <c r="Y268" i="2"/>
  <c r="H269" i="2"/>
  <c r="Y269" i="2"/>
  <c r="H270" i="2"/>
  <c r="Y270" i="2"/>
  <c r="H271" i="2"/>
  <c r="Y271" i="2"/>
  <c r="H272" i="2"/>
  <c r="Y272" i="2"/>
  <c r="H273" i="2"/>
  <c r="Y273" i="2"/>
  <c r="H274" i="2"/>
  <c r="Y274" i="2"/>
  <c r="H275" i="2"/>
  <c r="Y275" i="2"/>
  <c r="H276" i="2"/>
  <c r="Y276" i="2"/>
  <c r="H277" i="2"/>
  <c r="Y277" i="2"/>
  <c r="H278" i="2"/>
  <c r="Y278" i="2"/>
  <c r="H279" i="2"/>
  <c r="Y279" i="2"/>
  <c r="H280" i="2"/>
  <c r="Y280" i="2"/>
  <c r="H281" i="2"/>
  <c r="Y281" i="2"/>
  <c r="F282" i="2"/>
  <c r="J282" i="2"/>
  <c r="O282" i="2"/>
  <c r="P282" i="2"/>
  <c r="Q282" i="2"/>
  <c r="R282" i="2"/>
  <c r="S282" i="2"/>
  <c r="U282" i="2"/>
  <c r="V282" i="2"/>
  <c r="W282" i="2"/>
  <c r="H283" i="2"/>
  <c r="Y283" i="2"/>
  <c r="H284" i="2"/>
  <c r="T284" i="2"/>
  <c r="T285" i="2"/>
  <c r="Y285" i="2" s="1"/>
  <c r="H286" i="2"/>
  <c r="H287" i="2"/>
  <c r="Y287" i="2"/>
  <c r="H288" i="2"/>
  <c r="Y288" i="2"/>
  <c r="H289" i="2"/>
  <c r="Y289" i="2"/>
  <c r="H290" i="2"/>
  <c r="Y290" i="2"/>
  <c r="H291" i="2"/>
  <c r="Y291" i="2"/>
  <c r="H292" i="2"/>
  <c r="Y292" i="2"/>
  <c r="H293" i="2"/>
  <c r="Y293" i="2"/>
  <c r="H294" i="2"/>
  <c r="Y294" i="2"/>
  <c r="H295" i="2"/>
  <c r="Y295" i="2"/>
  <c r="H296" i="2"/>
  <c r="Y296" i="2"/>
  <c r="H297" i="2"/>
  <c r="Y297" i="2"/>
  <c r="H298" i="2"/>
  <c r="Y298" i="2"/>
  <c r="H299" i="2"/>
  <c r="Y299" i="2"/>
  <c r="H300" i="2"/>
  <c r="Y300" i="2"/>
  <c r="H301" i="2"/>
  <c r="Y301" i="2"/>
  <c r="H302" i="2"/>
  <c r="Y302" i="2"/>
  <c r="H303" i="2"/>
  <c r="Y303" i="2"/>
  <c r="F304" i="2"/>
  <c r="G304" i="2"/>
  <c r="I304" i="2"/>
  <c r="O304" i="2"/>
  <c r="P304" i="2"/>
  <c r="Q304" i="2"/>
  <c r="R304" i="2"/>
  <c r="S304" i="2"/>
  <c r="T304" i="2"/>
  <c r="U304" i="2"/>
  <c r="V304" i="2"/>
  <c r="W304" i="2"/>
  <c r="X305" i="2"/>
  <c r="X306" i="2"/>
  <c r="Y306" i="2" s="1"/>
  <c r="H307" i="2"/>
  <c r="J307" i="2"/>
  <c r="L307" i="2" s="1"/>
  <c r="F308" i="2"/>
  <c r="J308" i="2"/>
  <c r="O308" i="2"/>
  <c r="P308" i="2"/>
  <c r="Q308" i="2"/>
  <c r="R308" i="2"/>
  <c r="S308" i="2"/>
  <c r="T308" i="2"/>
  <c r="U308" i="2"/>
  <c r="V308" i="2"/>
  <c r="W308" i="2"/>
  <c r="H309" i="2"/>
  <c r="Y309" i="2"/>
  <c r="H310" i="2"/>
  <c r="Y310" i="2"/>
  <c r="H311" i="2"/>
  <c r="Y311" i="2"/>
  <c r="H312" i="2"/>
  <c r="Y312" i="2"/>
  <c r="H313" i="2"/>
  <c r="Y313" i="2"/>
  <c r="H314" i="2"/>
  <c r="Y314" i="2"/>
  <c r="H315" i="2"/>
  <c r="Y315" i="2"/>
  <c r="H316" i="2"/>
  <c r="Y316" i="2"/>
  <c r="Y317" i="2"/>
  <c r="H318" i="2"/>
  <c r="Y318" i="2"/>
  <c r="H319" i="2"/>
  <c r="Y319" i="2"/>
  <c r="H320" i="2"/>
  <c r="Y320" i="2"/>
  <c r="H321" i="2"/>
  <c r="Y321" i="2"/>
  <c r="H322" i="2"/>
  <c r="Y322" i="2"/>
  <c r="H323" i="2"/>
  <c r="Y323" i="2"/>
  <c r="F324" i="2"/>
  <c r="J324" i="2"/>
  <c r="O324" i="2"/>
  <c r="P324" i="2"/>
  <c r="Q324" i="2"/>
  <c r="R324" i="2"/>
  <c r="S324" i="2"/>
  <c r="T324" i="2"/>
  <c r="U324" i="2"/>
  <c r="V324" i="2"/>
  <c r="W324" i="2"/>
  <c r="H325" i="2"/>
  <c r="Y325" i="2"/>
  <c r="H326" i="2"/>
  <c r="Y326" i="2"/>
  <c r="H327" i="2"/>
  <c r="Y327" i="2"/>
  <c r="F328" i="2"/>
  <c r="J328" i="2"/>
  <c r="O328" i="2"/>
  <c r="P328" i="2"/>
  <c r="Q328" i="2"/>
  <c r="R328" i="2"/>
  <c r="S328" i="2"/>
  <c r="T328" i="2"/>
  <c r="U328" i="2"/>
  <c r="V328" i="2"/>
  <c r="W328" i="2"/>
  <c r="H329" i="2"/>
  <c r="H330" i="2"/>
  <c r="Y330" i="2"/>
  <c r="H331" i="2"/>
  <c r="Y331" i="2"/>
  <c r="H332" i="2"/>
  <c r="Y332" i="2"/>
  <c r="H333" i="2"/>
  <c r="Y333" i="2"/>
  <c r="H334" i="2"/>
  <c r="Y334" i="2"/>
  <c r="Y335" i="2"/>
  <c r="H336" i="2"/>
  <c r="Y336" i="2"/>
  <c r="H337" i="2"/>
  <c r="Y337" i="2"/>
  <c r="H338" i="2"/>
  <c r="Y338" i="2"/>
  <c r="H339" i="2"/>
  <c r="Y339" i="2"/>
  <c r="F341" i="2"/>
  <c r="F340" i="2" s="1"/>
  <c r="G341" i="2"/>
  <c r="G340" i="2" s="1"/>
  <c r="I341" i="2"/>
  <c r="I340" i="2" s="1"/>
  <c r="J341" i="2"/>
  <c r="O341" i="2"/>
  <c r="P341" i="2"/>
  <c r="Q341" i="2"/>
  <c r="R341" i="2"/>
  <c r="S341" i="2"/>
  <c r="U341" i="2"/>
  <c r="U340" i="2" s="1"/>
  <c r="V341" i="2"/>
  <c r="W341" i="2"/>
  <c r="X341" i="2"/>
  <c r="H345" i="2"/>
  <c r="X345" i="2"/>
  <c r="Y345" i="2" s="1"/>
  <c r="H346" i="2"/>
  <c r="X346" i="2"/>
  <c r="Y346" i="2" s="1"/>
  <c r="H347" i="2"/>
  <c r="X347" i="2"/>
  <c r="Y347" i="2" s="1"/>
  <c r="H348" i="2"/>
  <c r="X348" i="2"/>
  <c r="Y348" i="2" s="1"/>
  <c r="H349" i="2"/>
  <c r="X349" i="2"/>
  <c r="Y349" i="2" s="1"/>
  <c r="H350" i="2"/>
  <c r="X350" i="2"/>
  <c r="Y350" i="2" s="1"/>
  <c r="H351" i="2"/>
  <c r="X351" i="2"/>
  <c r="Y351" i="2" s="1"/>
  <c r="F353" i="2"/>
  <c r="G353" i="2"/>
  <c r="I353" i="2"/>
  <c r="J353" i="2"/>
  <c r="O353" i="2"/>
  <c r="P353" i="2"/>
  <c r="P591" i="2" s="1"/>
  <c r="Q353" i="2"/>
  <c r="Q591" i="2" s="1"/>
  <c r="R353" i="2"/>
  <c r="S353" i="2"/>
  <c r="U353" i="2"/>
  <c r="U591" i="2" s="1"/>
  <c r="V353" i="2"/>
  <c r="W353" i="2"/>
  <c r="X353" i="2"/>
  <c r="H357" i="2"/>
  <c r="X357" i="2"/>
  <c r="H358" i="2"/>
  <c r="X358" i="2"/>
  <c r="Y358" i="2" s="1"/>
  <c r="H359" i="2"/>
  <c r="X359" i="2"/>
  <c r="Y359" i="2" s="1"/>
  <c r="H360" i="2"/>
  <c r="X360" i="2"/>
  <c r="Y360" i="2" s="1"/>
  <c r="H361" i="2"/>
  <c r="X361" i="2"/>
  <c r="Y361" i="2" s="1"/>
  <c r="H362" i="2"/>
  <c r="X362" i="2"/>
  <c r="Y362" i="2" s="1"/>
  <c r="H363" i="2"/>
  <c r="X363" i="2"/>
  <c r="Y363" i="2" s="1"/>
  <c r="H364" i="2"/>
  <c r="X364" i="2"/>
  <c r="Y364" i="2" s="1"/>
  <c r="F365" i="2"/>
  <c r="J365" i="2"/>
  <c r="O365" i="2"/>
  <c r="P365" i="2"/>
  <c r="Q365" i="2"/>
  <c r="R365" i="2"/>
  <c r="S365" i="2"/>
  <c r="T365" i="2"/>
  <c r="U365" i="2"/>
  <c r="V365" i="2"/>
  <c r="W365" i="2"/>
  <c r="Y366" i="2"/>
  <c r="H367" i="2"/>
  <c r="Y367" i="2"/>
  <c r="H368" i="2"/>
  <c r="X368" i="2"/>
  <c r="X365" i="2" s="1"/>
  <c r="F370" i="2"/>
  <c r="M370" i="2" s="1"/>
  <c r="G370" i="2"/>
  <c r="I370" i="2"/>
  <c r="J370" i="2"/>
  <c r="N370" i="2"/>
  <c r="O370" i="2"/>
  <c r="P370" i="2"/>
  <c r="Q370" i="2"/>
  <c r="R370" i="2"/>
  <c r="S370" i="2"/>
  <c r="T370" i="2"/>
  <c r="U370" i="2"/>
  <c r="V370" i="2"/>
  <c r="W370" i="2"/>
  <c r="X370" i="2"/>
  <c r="Y371" i="2"/>
  <c r="Y372" i="2"/>
  <c r="F373" i="2"/>
  <c r="M373" i="2" s="1"/>
  <c r="G373" i="2"/>
  <c r="I373" i="2"/>
  <c r="J373" i="2"/>
  <c r="O373" i="2"/>
  <c r="P373" i="2"/>
  <c r="Q373" i="2"/>
  <c r="R373" i="2"/>
  <c r="S373" i="2"/>
  <c r="T373" i="2"/>
  <c r="U373" i="2"/>
  <c r="V373" i="2"/>
  <c r="W373" i="2"/>
  <c r="X373" i="2"/>
  <c r="Y374" i="2"/>
  <c r="Y375" i="2"/>
  <c r="H376" i="2"/>
  <c r="Y376" i="2"/>
  <c r="H377" i="2"/>
  <c r="Y377" i="2"/>
  <c r="F378" i="2"/>
  <c r="H378" i="2" s="1"/>
  <c r="O378" i="2"/>
  <c r="P378" i="2"/>
  <c r="Q378" i="2"/>
  <c r="R378" i="2"/>
  <c r="S378" i="2"/>
  <c r="T378" i="2"/>
  <c r="U378" i="2"/>
  <c r="V378" i="2"/>
  <c r="W378" i="2"/>
  <c r="X378" i="2"/>
  <c r="H379" i="2"/>
  <c r="Y379" i="2"/>
  <c r="Y380" i="2"/>
  <c r="H381" i="2"/>
  <c r="J381" i="2"/>
  <c r="L381" i="2" s="1"/>
  <c r="Y381" i="2"/>
  <c r="H382" i="2"/>
  <c r="J382" i="2"/>
  <c r="L382" i="2" s="1"/>
  <c r="M382" i="2" s="1"/>
  <c r="Y382" i="2"/>
  <c r="H383" i="2"/>
  <c r="J383" i="2"/>
  <c r="Y383" i="2"/>
  <c r="H384" i="2"/>
  <c r="J384" i="2"/>
  <c r="L384" i="2" s="1"/>
  <c r="M384" i="2" s="1"/>
  <c r="Y384" i="2"/>
  <c r="H385" i="2"/>
  <c r="Y385" i="2"/>
  <c r="Y386" i="2"/>
  <c r="H387" i="2"/>
  <c r="Y387" i="2"/>
  <c r="H388" i="2"/>
  <c r="Y388" i="2"/>
  <c r="H389" i="2"/>
  <c r="Y389" i="2"/>
  <c r="F390" i="2"/>
  <c r="M390" i="2" s="1"/>
  <c r="G390" i="2"/>
  <c r="I390" i="2"/>
  <c r="J390" i="2"/>
  <c r="O390" i="2"/>
  <c r="P390" i="2"/>
  <c r="Q390" i="2"/>
  <c r="R390" i="2"/>
  <c r="S390" i="2"/>
  <c r="T390" i="2"/>
  <c r="U390" i="2"/>
  <c r="V390" i="2"/>
  <c r="W390" i="2"/>
  <c r="X390" i="2"/>
  <c r="H391" i="2"/>
  <c r="Y391" i="2"/>
  <c r="F393" i="2"/>
  <c r="G393" i="2"/>
  <c r="J393" i="2"/>
  <c r="O393" i="2"/>
  <c r="P393" i="2"/>
  <c r="Q393" i="2"/>
  <c r="R393" i="2"/>
  <c r="S393" i="2"/>
  <c r="T393" i="2"/>
  <c r="U393" i="2"/>
  <c r="V393" i="2"/>
  <c r="W393" i="2"/>
  <c r="X393" i="2"/>
  <c r="Y394" i="2"/>
  <c r="Y393" i="2" s="1"/>
  <c r="F395" i="2"/>
  <c r="G395" i="2"/>
  <c r="I395" i="2"/>
  <c r="J395" i="2"/>
  <c r="O395" i="2"/>
  <c r="P395" i="2"/>
  <c r="Q395" i="2"/>
  <c r="R395" i="2"/>
  <c r="S395" i="2"/>
  <c r="T395" i="2"/>
  <c r="U395" i="2"/>
  <c r="V395" i="2"/>
  <c r="X395" i="2"/>
  <c r="W395" i="2"/>
  <c r="F397" i="2"/>
  <c r="G397" i="2"/>
  <c r="I397" i="2"/>
  <c r="J397" i="2"/>
  <c r="O397" i="2"/>
  <c r="P397" i="2"/>
  <c r="Q397" i="2"/>
  <c r="R397" i="2"/>
  <c r="S397" i="2"/>
  <c r="T397" i="2"/>
  <c r="U397" i="2"/>
  <c r="V397" i="2"/>
  <c r="X397" i="2"/>
  <c r="Y398" i="2"/>
  <c r="Y397" i="2" s="1"/>
  <c r="F399" i="2"/>
  <c r="M399" i="2" s="1"/>
  <c r="G399" i="2"/>
  <c r="I399" i="2"/>
  <c r="J399" i="2"/>
  <c r="O399" i="2"/>
  <c r="P399" i="2"/>
  <c r="Q399" i="2"/>
  <c r="R399" i="2"/>
  <c r="S399" i="2"/>
  <c r="T399" i="2"/>
  <c r="U399" i="2"/>
  <c r="V399" i="2"/>
  <c r="X399" i="2"/>
  <c r="H400" i="2"/>
  <c r="W400" i="2"/>
  <c r="Y400" i="2" s="1"/>
  <c r="W401" i="2"/>
  <c r="Y401" i="2" s="1"/>
  <c r="F402" i="2"/>
  <c r="J402" i="2"/>
  <c r="O402" i="2"/>
  <c r="P402" i="2"/>
  <c r="Q402" i="2"/>
  <c r="R402" i="2"/>
  <c r="S402" i="2"/>
  <c r="T402" i="2"/>
  <c r="U402" i="2"/>
  <c r="V402" i="2"/>
  <c r="X402" i="2"/>
  <c r="H403" i="2"/>
  <c r="W403" i="2"/>
  <c r="H404" i="2"/>
  <c r="W404" i="2"/>
  <c r="Y404" i="2" s="1"/>
  <c r="H405" i="2"/>
  <c r="W405" i="2"/>
  <c r="Y405" i="2" s="1"/>
  <c r="H406" i="2"/>
  <c r="W406" i="2"/>
  <c r="Y406" i="2" s="1"/>
  <c r="H407" i="2"/>
  <c r="W407" i="2"/>
  <c r="Y407" i="2" s="1"/>
  <c r="H408" i="2"/>
  <c r="W408" i="2"/>
  <c r="Y408" i="2" s="1"/>
  <c r="H409" i="2"/>
  <c r="W409" i="2"/>
  <c r="Y409" i="2" s="1"/>
  <c r="H410" i="2"/>
  <c r="W410" i="2"/>
  <c r="Y410" i="2" s="1"/>
  <c r="H411" i="2"/>
  <c r="W411" i="2"/>
  <c r="Y411" i="2" s="1"/>
  <c r="F412" i="2"/>
  <c r="J412" i="2"/>
  <c r="O412" i="2"/>
  <c r="P412" i="2"/>
  <c r="Q412" i="2"/>
  <c r="R412" i="2"/>
  <c r="S412" i="2"/>
  <c r="U412" i="2"/>
  <c r="V412" i="2"/>
  <c r="X412" i="2"/>
  <c r="H413" i="2"/>
  <c r="T413" i="2"/>
  <c r="Y413" i="2" s="1"/>
  <c r="H414" i="2"/>
  <c r="H415" i="2"/>
  <c r="Y415" i="2"/>
  <c r="H416" i="2"/>
  <c r="Y416" i="2"/>
  <c r="H417" i="2"/>
  <c r="Y417" i="2"/>
  <c r="H418" i="2"/>
  <c r="Y418" i="2"/>
  <c r="H419" i="2"/>
  <c r="Y419" i="2"/>
  <c r="H420" i="2"/>
  <c r="Y420" i="2"/>
  <c r="H421" i="2"/>
  <c r="Y421" i="2"/>
  <c r="H422" i="2"/>
  <c r="Y422" i="2"/>
  <c r="H423" i="2"/>
  <c r="Y423" i="2"/>
  <c r="H424" i="2"/>
  <c r="Y424" i="2"/>
  <c r="H425" i="2"/>
  <c r="T425" i="2"/>
  <c r="Y425" i="2" s="1"/>
  <c r="H426" i="2"/>
  <c r="Y426" i="2"/>
  <c r="H427" i="2"/>
  <c r="Y427" i="2"/>
  <c r="F428" i="2"/>
  <c r="M428" i="2" s="1"/>
  <c r="G428" i="2"/>
  <c r="I428" i="2"/>
  <c r="J428" i="2"/>
  <c r="O428" i="2"/>
  <c r="P428" i="2"/>
  <c r="Q428" i="2"/>
  <c r="R428" i="2"/>
  <c r="S428" i="2"/>
  <c r="U428" i="2"/>
  <c r="V428" i="2"/>
  <c r="X428" i="2"/>
  <c r="H429" i="2"/>
  <c r="T429" i="2"/>
  <c r="T428" i="2" s="1"/>
  <c r="H430" i="2"/>
  <c r="W428" i="2"/>
  <c r="F431" i="2"/>
  <c r="M431" i="2" s="1"/>
  <c r="G431" i="2"/>
  <c r="I431" i="2"/>
  <c r="J431" i="2"/>
  <c r="O431" i="2"/>
  <c r="P431" i="2"/>
  <c r="Q431" i="2"/>
  <c r="R431" i="2"/>
  <c r="S431" i="2"/>
  <c r="T431" i="2"/>
  <c r="U431" i="2"/>
  <c r="V431" i="2"/>
  <c r="X431" i="2"/>
  <c r="H432" i="2"/>
  <c r="Y432" i="2"/>
  <c r="F433" i="2"/>
  <c r="M433" i="2" s="1"/>
  <c r="G433" i="2"/>
  <c r="I433" i="2"/>
  <c r="J433" i="2"/>
  <c r="N433" i="2"/>
  <c r="O433" i="2"/>
  <c r="P433" i="2"/>
  <c r="Q433" i="2"/>
  <c r="R433" i="2"/>
  <c r="S433" i="2"/>
  <c r="T433" i="2"/>
  <c r="U433" i="2"/>
  <c r="V433" i="2"/>
  <c r="W433" i="2"/>
  <c r="X433" i="2"/>
  <c r="H434" i="2"/>
  <c r="Y434" i="2"/>
  <c r="F436" i="2"/>
  <c r="M436" i="2" s="1"/>
  <c r="G436" i="2"/>
  <c r="I436" i="2"/>
  <c r="J436" i="2"/>
  <c r="O436" i="2"/>
  <c r="P436" i="2"/>
  <c r="Q436" i="2"/>
  <c r="R436" i="2"/>
  <c r="S436" i="2"/>
  <c r="U436" i="2"/>
  <c r="V436" i="2"/>
  <c r="X436" i="2"/>
  <c r="H437" i="2"/>
  <c r="T437" i="2"/>
  <c r="H438" i="2"/>
  <c r="W436" i="2"/>
  <c r="F439" i="2"/>
  <c r="J439" i="2"/>
  <c r="N439" i="2"/>
  <c r="O439" i="2"/>
  <c r="P439" i="2"/>
  <c r="Q439" i="2"/>
  <c r="R439" i="2"/>
  <c r="S439" i="2"/>
  <c r="T439" i="2"/>
  <c r="U439" i="2"/>
  <c r="V439" i="2"/>
  <c r="X439" i="2"/>
  <c r="H440" i="2"/>
  <c r="Y440" i="2"/>
  <c r="H441" i="2"/>
  <c r="Y441" i="2"/>
  <c r="H442" i="2"/>
  <c r="Y442" i="2"/>
  <c r="H443" i="2"/>
  <c r="Y443" i="2"/>
  <c r="H444" i="2"/>
  <c r="Y444" i="2"/>
  <c r="H445" i="2"/>
  <c r="Y445" i="2"/>
  <c r="H446" i="2"/>
  <c r="Y446" i="2"/>
  <c r="H447" i="2"/>
  <c r="Y447" i="2"/>
  <c r="H448" i="2"/>
  <c r="Y448" i="2"/>
  <c r="H449" i="2"/>
  <c r="Y449" i="2"/>
  <c r="H450" i="2"/>
  <c r="Y450" i="2"/>
  <c r="H451" i="2"/>
  <c r="Y451" i="2"/>
  <c r="H452" i="2"/>
  <c r="Y452" i="2"/>
  <c r="H453" i="2"/>
  <c r="Y453" i="2"/>
  <c r="H454" i="2"/>
  <c r="Y454" i="2"/>
  <c r="H455" i="2"/>
  <c r="Y455" i="2"/>
  <c r="H456" i="2"/>
  <c r="Y456" i="2"/>
  <c r="H457" i="2"/>
  <c r="Y457" i="2"/>
  <c r="H458" i="2"/>
  <c r="Y458" i="2"/>
  <c r="Y459" i="2"/>
  <c r="F460" i="2"/>
  <c r="J460" i="2"/>
  <c r="O460" i="2"/>
  <c r="P460" i="2"/>
  <c r="Q460" i="2"/>
  <c r="R460" i="2"/>
  <c r="S460" i="2"/>
  <c r="T460" i="2"/>
  <c r="U460" i="2"/>
  <c r="V460" i="2"/>
  <c r="X460" i="2"/>
  <c r="H461" i="2"/>
  <c r="Y461" i="2"/>
  <c r="H462" i="2"/>
  <c r="H463" i="2"/>
  <c r="Y463" i="2"/>
  <c r="H464" i="2"/>
  <c r="W464" i="2"/>
  <c r="Y464" i="2" s="1"/>
  <c r="F465" i="2"/>
  <c r="G465" i="2"/>
  <c r="I465" i="2"/>
  <c r="J465" i="2"/>
  <c r="O465" i="2"/>
  <c r="P465" i="2"/>
  <c r="Q465" i="2"/>
  <c r="R465" i="2"/>
  <c r="S465" i="2"/>
  <c r="T465" i="2"/>
  <c r="U465" i="2"/>
  <c r="V465" i="2"/>
  <c r="W465" i="2"/>
  <c r="X465" i="2"/>
  <c r="Y466" i="2"/>
  <c r="F467" i="2"/>
  <c r="J467" i="2"/>
  <c r="O467" i="2"/>
  <c r="P467" i="2"/>
  <c r="Q467" i="2"/>
  <c r="R467" i="2"/>
  <c r="S467" i="2"/>
  <c r="T467" i="2"/>
  <c r="U467" i="2"/>
  <c r="V467" i="2"/>
  <c r="X467" i="2"/>
  <c r="H468" i="2"/>
  <c r="W468" i="2"/>
  <c r="H469" i="2"/>
  <c r="W469" i="2"/>
  <c r="Y469" i="2" s="1"/>
  <c r="H470" i="2"/>
  <c r="W470" i="2"/>
  <c r="Y470" i="2" s="1"/>
  <c r="H471" i="2"/>
  <c r="W471" i="2"/>
  <c r="H472" i="2"/>
  <c r="W472" i="2"/>
  <c r="Y472" i="2" s="1"/>
  <c r="H473" i="2"/>
  <c r="W473" i="2"/>
  <c r="F475" i="2"/>
  <c r="J475" i="2"/>
  <c r="O475" i="2"/>
  <c r="P475" i="2"/>
  <c r="Q475" i="2"/>
  <c r="R475" i="2"/>
  <c r="S475" i="2"/>
  <c r="T475" i="2"/>
  <c r="U475" i="2"/>
  <c r="V475" i="2"/>
  <c r="W475" i="2"/>
  <c r="H476" i="2"/>
  <c r="Y476" i="2"/>
  <c r="H477" i="2"/>
  <c r="Y477" i="2"/>
  <c r="H478" i="2"/>
  <c r="Y478" i="2"/>
  <c r="H479" i="2"/>
  <c r="Y479" i="2"/>
  <c r="H480" i="2"/>
  <c r="H481" i="2"/>
  <c r="Y481" i="2"/>
  <c r="H482" i="2"/>
  <c r="Y482" i="2"/>
  <c r="H483" i="2"/>
  <c r="Y483" i="2"/>
  <c r="H484" i="2"/>
  <c r="Y484" i="2"/>
  <c r="H485" i="2"/>
  <c r="Y485" i="2"/>
  <c r="H486" i="2"/>
  <c r="Y486" i="2"/>
  <c r="F487" i="2"/>
  <c r="J487" i="2"/>
  <c r="O487" i="2"/>
  <c r="P487" i="2"/>
  <c r="Q487" i="2"/>
  <c r="R487" i="2"/>
  <c r="S487" i="2"/>
  <c r="T487" i="2"/>
  <c r="U487" i="2"/>
  <c r="V487" i="2"/>
  <c r="W487" i="2"/>
  <c r="H488" i="2"/>
  <c r="X488" i="2"/>
  <c r="H489" i="2"/>
  <c r="X489" i="2"/>
  <c r="F490" i="2"/>
  <c r="M490" i="2" s="1"/>
  <c r="G490" i="2"/>
  <c r="I490" i="2"/>
  <c r="J490" i="2"/>
  <c r="O490" i="2"/>
  <c r="P490" i="2"/>
  <c r="Q490" i="2"/>
  <c r="R490" i="2"/>
  <c r="S490" i="2"/>
  <c r="T490" i="2"/>
  <c r="U490" i="2"/>
  <c r="V490" i="2"/>
  <c r="W490" i="2"/>
  <c r="H491" i="2"/>
  <c r="X491" i="2"/>
  <c r="F493" i="2"/>
  <c r="G493" i="2"/>
  <c r="I493" i="2"/>
  <c r="O493" i="2"/>
  <c r="P493" i="2"/>
  <c r="R493" i="2"/>
  <c r="S493" i="2"/>
  <c r="T493" i="2"/>
  <c r="U493" i="2"/>
  <c r="V493" i="2"/>
  <c r="W493" i="2"/>
  <c r="X493" i="2"/>
  <c r="H494" i="2"/>
  <c r="Q494" i="2"/>
  <c r="Q493" i="2" s="1"/>
  <c r="H495" i="2"/>
  <c r="J495" i="2"/>
  <c r="L495" i="2" s="1"/>
  <c r="Y495" i="2"/>
  <c r="F496" i="2"/>
  <c r="H496" i="2" s="1"/>
  <c r="O496" i="2"/>
  <c r="P496" i="2"/>
  <c r="R496" i="2"/>
  <c r="S496" i="2"/>
  <c r="T496" i="2"/>
  <c r="U496" i="2"/>
  <c r="V496" i="2"/>
  <c r="W496" i="2"/>
  <c r="X496" i="2"/>
  <c r="H497" i="2"/>
  <c r="Y497" i="2"/>
  <c r="H502" i="2"/>
  <c r="J502" i="2"/>
  <c r="L502" i="2" s="1"/>
  <c r="Q502" i="2"/>
  <c r="H503" i="2"/>
  <c r="J503" i="2"/>
  <c r="L503" i="2" s="1"/>
  <c r="M503" i="2" s="1"/>
  <c r="Y503" i="2"/>
  <c r="H504" i="2"/>
  <c r="Y504" i="2"/>
  <c r="F507" i="2"/>
  <c r="M507" i="2" s="1"/>
  <c r="G507" i="2"/>
  <c r="I507" i="2"/>
  <c r="J507" i="2"/>
  <c r="O507" i="2"/>
  <c r="P507" i="2"/>
  <c r="Q507" i="2"/>
  <c r="R507" i="2"/>
  <c r="S507" i="2"/>
  <c r="T507" i="2"/>
  <c r="U507" i="2"/>
  <c r="V507" i="2"/>
  <c r="W507" i="2"/>
  <c r="X507" i="2"/>
  <c r="H508" i="2"/>
  <c r="Y508" i="2"/>
  <c r="F509" i="2"/>
  <c r="H509" i="2" s="1"/>
  <c r="O509" i="2"/>
  <c r="P509" i="2"/>
  <c r="Q509" i="2"/>
  <c r="R509" i="2"/>
  <c r="S509" i="2"/>
  <c r="T509" i="2"/>
  <c r="U509" i="2"/>
  <c r="V509" i="2"/>
  <c r="W509" i="2"/>
  <c r="X509" i="2"/>
  <c r="H510" i="2"/>
  <c r="J510" i="2"/>
  <c r="L510" i="2" s="1"/>
  <c r="Y510" i="2"/>
  <c r="H511" i="2"/>
  <c r="Y511" i="2"/>
  <c r="H512" i="2"/>
  <c r="J512" i="2"/>
  <c r="L512" i="2" s="1"/>
  <c r="M512" i="2" s="1"/>
  <c r="Y512" i="2"/>
  <c r="Y513" i="2"/>
  <c r="F514" i="2"/>
  <c r="O514" i="2"/>
  <c r="P514" i="2"/>
  <c r="Q514" i="2"/>
  <c r="T514" i="2"/>
  <c r="U514" i="2"/>
  <c r="V514" i="2"/>
  <c r="W514" i="2"/>
  <c r="X514" i="2"/>
  <c r="H515" i="2"/>
  <c r="Y515" i="2"/>
  <c r="H516" i="2"/>
  <c r="Y516" i="2"/>
  <c r="H517" i="2"/>
  <c r="Y517" i="2"/>
  <c r="H518" i="2"/>
  <c r="Y518" i="2"/>
  <c r="F519" i="2"/>
  <c r="H519" i="2" s="1"/>
  <c r="O519" i="2"/>
  <c r="P519" i="2"/>
  <c r="Q519" i="2"/>
  <c r="R519" i="2"/>
  <c r="S519" i="2"/>
  <c r="T519" i="2"/>
  <c r="U519" i="2"/>
  <c r="V519" i="2"/>
  <c r="W519" i="2"/>
  <c r="X519" i="2"/>
  <c r="H520" i="2"/>
  <c r="Y520" i="2"/>
  <c r="H521" i="2"/>
  <c r="J521" i="2"/>
  <c r="L521" i="2" s="1"/>
  <c r="Y521" i="2"/>
  <c r="H522" i="2"/>
  <c r="Y522" i="2"/>
  <c r="F523" i="2"/>
  <c r="G523" i="2"/>
  <c r="I523" i="2"/>
  <c r="J523" i="2"/>
  <c r="N523" i="2"/>
  <c r="O523" i="2"/>
  <c r="P523" i="2"/>
  <c r="Q523" i="2"/>
  <c r="R523" i="2"/>
  <c r="S523" i="2"/>
  <c r="T523" i="2"/>
  <c r="U523" i="2"/>
  <c r="V523" i="2"/>
  <c r="W523" i="2"/>
  <c r="X523" i="2"/>
  <c r="Y524" i="2"/>
  <c r="F525" i="2"/>
  <c r="H525" i="2" s="1"/>
  <c r="N525" i="2"/>
  <c r="O525" i="2"/>
  <c r="P525" i="2"/>
  <c r="Q525" i="2"/>
  <c r="R525" i="2"/>
  <c r="S525" i="2"/>
  <c r="U525" i="2"/>
  <c r="V525" i="2"/>
  <c r="W525" i="2"/>
  <c r="X525" i="2"/>
  <c r="T526" i="2"/>
  <c r="T527" i="2"/>
  <c r="Y527" i="2" s="1"/>
  <c r="T528" i="2"/>
  <c r="H529" i="2"/>
  <c r="J529" i="2"/>
  <c r="L529" i="2" s="1"/>
  <c r="Y529" i="2"/>
  <c r="H530" i="2"/>
  <c r="Y530" i="2"/>
  <c r="Y531" i="2"/>
  <c r="H532" i="2"/>
  <c r="Y532" i="2"/>
  <c r="H533" i="2"/>
  <c r="Y533" i="2"/>
  <c r="F535" i="2"/>
  <c r="J535" i="2"/>
  <c r="O535" i="2"/>
  <c r="P535" i="2"/>
  <c r="Q535" i="2"/>
  <c r="R535" i="2"/>
  <c r="S535" i="2"/>
  <c r="T535" i="2"/>
  <c r="U535" i="2"/>
  <c r="V535" i="2"/>
  <c r="W535" i="2"/>
  <c r="X535" i="2"/>
  <c r="H537" i="2"/>
  <c r="Y537" i="2"/>
  <c r="H538" i="2"/>
  <c r="Y538" i="2"/>
  <c r="F539" i="2"/>
  <c r="H539" i="2" s="1"/>
  <c r="O539" i="2"/>
  <c r="P539" i="2"/>
  <c r="Q539" i="2"/>
  <c r="R539" i="2"/>
  <c r="S539" i="2"/>
  <c r="U539" i="2"/>
  <c r="V539" i="2"/>
  <c r="W539" i="2"/>
  <c r="X539" i="2"/>
  <c r="H540" i="2"/>
  <c r="J540" i="2"/>
  <c r="J591" i="2" s="1"/>
  <c r="Y540" i="2"/>
  <c r="H541" i="2"/>
  <c r="J541" i="2"/>
  <c r="L541" i="2" s="1"/>
  <c r="M541" i="2" s="1"/>
  <c r="Y541" i="2"/>
  <c r="H542" i="2"/>
  <c r="Y542" i="2"/>
  <c r="H543" i="2"/>
  <c r="Y543" i="2"/>
  <c r="H544" i="2"/>
  <c r="J544" i="2"/>
  <c r="L544" i="2" s="1"/>
  <c r="M544" i="2" s="1"/>
  <c r="Y544" i="2"/>
  <c r="H545" i="2"/>
  <c r="J545" i="2"/>
  <c r="L545" i="2" s="1"/>
  <c r="M545" i="2" s="1"/>
  <c r="Y545" i="2"/>
  <c r="H546" i="2"/>
  <c r="Y546" i="2"/>
  <c r="H547" i="2"/>
  <c r="J547" i="2"/>
  <c r="L547" i="2" s="1"/>
  <c r="M547" i="2" s="1"/>
  <c r="Y547" i="2"/>
  <c r="H548" i="2"/>
  <c r="Y548" i="2"/>
  <c r="H549" i="2"/>
  <c r="Y549" i="2"/>
  <c r="H550" i="2"/>
  <c r="Y550" i="2"/>
  <c r="H551" i="2"/>
  <c r="Y551" i="2"/>
  <c r="F552" i="2"/>
  <c r="M552" i="2" s="1"/>
  <c r="G552" i="2"/>
  <c r="I552" i="2"/>
  <c r="J552" i="2"/>
  <c r="O552" i="2"/>
  <c r="P552" i="2"/>
  <c r="Q552" i="2"/>
  <c r="R552" i="2"/>
  <c r="S552" i="2"/>
  <c r="T552" i="2"/>
  <c r="U552" i="2"/>
  <c r="V552" i="2"/>
  <c r="W552" i="2"/>
  <c r="X552" i="2"/>
  <c r="H553" i="2"/>
  <c r="Y553" i="2"/>
  <c r="H554" i="2"/>
  <c r="Y554" i="2"/>
  <c r="F555" i="2"/>
  <c r="M555" i="2" s="1"/>
  <c r="G555" i="2"/>
  <c r="I555" i="2"/>
  <c r="J555" i="2"/>
  <c r="O555" i="2"/>
  <c r="P555" i="2"/>
  <c r="Q555" i="2"/>
  <c r="R555" i="2"/>
  <c r="S555" i="2"/>
  <c r="T555" i="2"/>
  <c r="U555" i="2"/>
  <c r="V555" i="2"/>
  <c r="W555" i="2"/>
  <c r="X555" i="2"/>
  <c r="H556" i="2"/>
  <c r="Y556" i="2"/>
  <c r="F557" i="2"/>
  <c r="M557" i="2" s="1"/>
  <c r="G557" i="2"/>
  <c r="I557" i="2"/>
  <c r="J557" i="2"/>
  <c r="O557" i="2"/>
  <c r="P557" i="2"/>
  <c r="Q557" i="2"/>
  <c r="R557" i="2"/>
  <c r="S557" i="2"/>
  <c r="T557" i="2"/>
  <c r="U557" i="2"/>
  <c r="V557" i="2"/>
  <c r="W557" i="2"/>
  <c r="X557" i="2"/>
  <c r="H558" i="2"/>
  <c r="Y558" i="2"/>
  <c r="F559" i="2"/>
  <c r="J559" i="2"/>
  <c r="O559" i="2"/>
  <c r="P559" i="2"/>
  <c r="Q559" i="2"/>
  <c r="R559" i="2"/>
  <c r="S559" i="2"/>
  <c r="T559" i="2"/>
  <c r="U559" i="2"/>
  <c r="V559" i="2"/>
  <c r="W559" i="2"/>
  <c r="X559" i="2"/>
  <c r="H560" i="2"/>
  <c r="Y560" i="2"/>
  <c r="H561" i="2"/>
  <c r="Y561" i="2"/>
  <c r="H562" i="2"/>
  <c r="Y562" i="2"/>
  <c r="F564" i="2"/>
  <c r="H564" i="2" s="1"/>
  <c r="O564" i="2"/>
  <c r="P564" i="2"/>
  <c r="Q564" i="2"/>
  <c r="R564" i="2"/>
  <c r="S564" i="2"/>
  <c r="T564" i="2"/>
  <c r="U564" i="2"/>
  <c r="V564" i="2"/>
  <c r="W564" i="2"/>
  <c r="H565" i="2"/>
  <c r="X565" i="2"/>
  <c r="H566" i="2"/>
  <c r="Y566" i="2"/>
  <c r="H567" i="2"/>
  <c r="Y567" i="2"/>
  <c r="H568" i="2"/>
  <c r="Y568" i="2"/>
  <c r="H569" i="2"/>
  <c r="Y569" i="2"/>
  <c r="H570" i="2"/>
  <c r="J570" i="2"/>
  <c r="L570" i="2" s="1"/>
  <c r="Y570" i="2"/>
  <c r="Y571" i="2"/>
  <c r="H572" i="2"/>
  <c r="J572" i="2"/>
  <c r="L572" i="2" s="1"/>
  <c r="M572" i="2" s="1"/>
  <c r="Y572" i="2"/>
  <c r="Y573" i="2"/>
  <c r="H574" i="2"/>
  <c r="H575" i="2"/>
  <c r="Y575" i="2"/>
  <c r="F576" i="2"/>
  <c r="H576" i="2" s="1"/>
  <c r="N576" i="2"/>
  <c r="O576" i="2"/>
  <c r="P576" i="2"/>
  <c r="Q576" i="2"/>
  <c r="R576" i="2"/>
  <c r="S576" i="2"/>
  <c r="T576" i="2"/>
  <c r="U576" i="2"/>
  <c r="V576" i="2"/>
  <c r="W576" i="2"/>
  <c r="X576" i="2"/>
  <c r="H577" i="2"/>
  <c r="Y577" i="2"/>
  <c r="H578" i="2"/>
  <c r="Y578" i="2"/>
  <c r="H579" i="2"/>
  <c r="J579" i="2"/>
  <c r="Y579" i="2"/>
  <c r="H580" i="2"/>
  <c r="J580" i="2"/>
  <c r="L580" i="2" s="1"/>
  <c r="M580" i="2" s="1"/>
  <c r="Y580" i="2"/>
  <c r="H582" i="2"/>
  <c r="J582" i="2"/>
  <c r="Y582" i="2"/>
  <c r="H583" i="2"/>
  <c r="Y583" i="2"/>
  <c r="F592" i="2"/>
  <c r="F593" i="2"/>
  <c r="G593" i="2"/>
  <c r="I593" i="2"/>
  <c r="J593" i="2"/>
  <c r="O593" i="2"/>
  <c r="P593" i="2"/>
  <c r="Q593" i="2"/>
  <c r="R593" i="2"/>
  <c r="S593" i="2"/>
  <c r="T593" i="2"/>
  <c r="U593" i="2"/>
  <c r="V593" i="2"/>
  <c r="W593" i="2"/>
  <c r="X593" i="2"/>
  <c r="F594" i="2"/>
  <c r="G594" i="2"/>
  <c r="I594" i="2"/>
  <c r="J594" i="2"/>
  <c r="O594" i="2"/>
  <c r="P594" i="2"/>
  <c r="Q594" i="2"/>
  <c r="R594" i="2"/>
  <c r="S594" i="2"/>
  <c r="U594" i="2"/>
  <c r="V594" i="2"/>
  <c r="W594" i="2"/>
  <c r="X594" i="2"/>
  <c r="F597" i="2"/>
  <c r="G597" i="2"/>
  <c r="I597" i="2"/>
  <c r="J597" i="2"/>
  <c r="N597" i="2"/>
  <c r="N595" i="2" s="1"/>
  <c r="O597" i="2"/>
  <c r="P597" i="2"/>
  <c r="Q597" i="2"/>
  <c r="R597" i="2"/>
  <c r="S597" i="2"/>
  <c r="T597" i="2"/>
  <c r="U597" i="2"/>
  <c r="V597" i="2"/>
  <c r="W597" i="2"/>
  <c r="X597" i="2"/>
  <c r="F598" i="2"/>
  <c r="I598" i="2"/>
  <c r="J598" i="2"/>
  <c r="O598" i="2"/>
  <c r="P598" i="2"/>
  <c r="Q598" i="2"/>
  <c r="R598" i="2"/>
  <c r="S598" i="2"/>
  <c r="T598" i="2"/>
  <c r="U598" i="2"/>
  <c r="V598" i="2"/>
  <c r="W598" i="2"/>
  <c r="X598" i="2"/>
  <c r="F599" i="2"/>
  <c r="G599" i="2"/>
  <c r="I599" i="2"/>
  <c r="J599" i="2"/>
  <c r="O599" i="2"/>
  <c r="P599" i="2"/>
  <c r="Q599" i="2"/>
  <c r="R599" i="2"/>
  <c r="S599" i="2"/>
  <c r="T599" i="2"/>
  <c r="U599" i="2"/>
  <c r="V599" i="2"/>
  <c r="M559" i="2" l="1"/>
  <c r="H559" i="2"/>
  <c r="Y468" i="2"/>
  <c r="W592" i="2"/>
  <c r="M467" i="2"/>
  <c r="H467" i="2"/>
  <c r="M439" i="2"/>
  <c r="H439" i="2"/>
  <c r="M402" i="2"/>
  <c r="H402" i="2"/>
  <c r="W591" i="2"/>
  <c r="R591" i="2"/>
  <c r="M282" i="2"/>
  <c r="H282" i="2"/>
  <c r="M233" i="2"/>
  <c r="H233" i="2"/>
  <c r="M212" i="2"/>
  <c r="H212" i="2"/>
  <c r="R170" i="2"/>
  <c r="M153" i="2"/>
  <c r="H153" i="2"/>
  <c r="M131" i="2"/>
  <c r="H131" i="2"/>
  <c r="M83" i="2"/>
  <c r="H83" i="2"/>
  <c r="M487" i="2"/>
  <c r="H487" i="2"/>
  <c r="M475" i="2"/>
  <c r="H475" i="2"/>
  <c r="M460" i="2"/>
  <c r="H460" i="2"/>
  <c r="I352" i="2"/>
  <c r="I591" i="2"/>
  <c r="H340" i="2"/>
  <c r="M328" i="2"/>
  <c r="H328" i="2"/>
  <c r="H256" i="2"/>
  <c r="F591" i="2"/>
  <c r="I89" i="2"/>
  <c r="Y26" i="2"/>
  <c r="V591" i="2"/>
  <c r="M25" i="2"/>
  <c r="H25" i="2"/>
  <c r="M514" i="2"/>
  <c r="H514" i="2"/>
  <c r="W588" i="2"/>
  <c r="I392" i="2"/>
  <c r="M365" i="2"/>
  <c r="H365" i="2"/>
  <c r="G352" i="2"/>
  <c r="G591" i="2"/>
  <c r="M324" i="2"/>
  <c r="H324" i="2"/>
  <c r="M308" i="2"/>
  <c r="H308" i="2"/>
  <c r="M161" i="2"/>
  <c r="H161" i="2"/>
  <c r="M135" i="2"/>
  <c r="H135" i="2"/>
  <c r="S126" i="2"/>
  <c r="S592" i="2"/>
  <c r="Q588" i="2"/>
  <c r="M535" i="2"/>
  <c r="H535" i="2"/>
  <c r="Y489" i="2"/>
  <c r="X592" i="2"/>
  <c r="M412" i="2"/>
  <c r="H412" i="2"/>
  <c r="X591" i="2"/>
  <c r="S352" i="2"/>
  <c r="S591" i="2"/>
  <c r="O591" i="2"/>
  <c r="Y284" i="2"/>
  <c r="M195" i="2"/>
  <c r="H195" i="2"/>
  <c r="M144" i="2"/>
  <c r="H144" i="2"/>
  <c r="M122" i="2"/>
  <c r="H122" i="2"/>
  <c r="G588" i="2"/>
  <c r="S170" i="2"/>
  <c r="Y565" i="2"/>
  <c r="X170" i="2"/>
  <c r="P170" i="2"/>
  <c r="L91" i="2"/>
  <c r="L89" i="2" s="1"/>
  <c r="J89" i="2"/>
  <c r="Y528" i="2"/>
  <c r="Y502" i="2"/>
  <c r="Y471" i="2"/>
  <c r="I211" i="2"/>
  <c r="W170" i="2"/>
  <c r="L579" i="2"/>
  <c r="I369" i="2"/>
  <c r="V170" i="2"/>
  <c r="L582" i="2"/>
  <c r="J590" i="2"/>
  <c r="L540" i="2"/>
  <c r="G369" i="2"/>
  <c r="U170" i="2"/>
  <c r="Q170" i="2"/>
  <c r="M579" i="2"/>
  <c r="L509" i="2"/>
  <c r="M509" i="2" s="1"/>
  <c r="M510" i="2"/>
  <c r="T249" i="2"/>
  <c r="M249" i="2"/>
  <c r="J176" i="2"/>
  <c r="J170" i="2" s="1"/>
  <c r="L182" i="2"/>
  <c r="Y180" i="2"/>
  <c r="G170" i="2"/>
  <c r="T91" i="2"/>
  <c r="M91" i="2"/>
  <c r="J72" i="2"/>
  <c r="L73" i="2"/>
  <c r="M36" i="2"/>
  <c r="L32" i="2"/>
  <c r="H30" i="2"/>
  <c r="M30" i="2"/>
  <c r="M570" i="2"/>
  <c r="L564" i="2"/>
  <c r="M502" i="2"/>
  <c r="L496" i="2"/>
  <c r="M496" i="2" s="1"/>
  <c r="Y473" i="2"/>
  <c r="L383" i="2"/>
  <c r="L378" i="2" s="1"/>
  <c r="O170" i="2"/>
  <c r="F170" i="2"/>
  <c r="M171" i="2"/>
  <c r="T101" i="2"/>
  <c r="M101" i="2"/>
  <c r="T98" i="2"/>
  <c r="M98" i="2"/>
  <c r="T94" i="2"/>
  <c r="M94" i="2"/>
  <c r="F18" i="2"/>
  <c r="M18" i="2" s="1"/>
  <c r="M19" i="2"/>
  <c r="L539" i="2"/>
  <c r="M540" i="2"/>
  <c r="L525" i="2"/>
  <c r="M525" i="2" s="1"/>
  <c r="M529" i="2"/>
  <c r="M307" i="2"/>
  <c r="X307" i="2"/>
  <c r="X588" i="2" s="1"/>
  <c r="L304" i="2"/>
  <c r="M304" i="2" s="1"/>
  <c r="F202" i="2"/>
  <c r="M202" i="2" s="1"/>
  <c r="M203" i="2"/>
  <c r="I130" i="2"/>
  <c r="J126" i="2"/>
  <c r="L129" i="2"/>
  <c r="L493" i="2"/>
  <c r="M495" i="2"/>
  <c r="X490" i="2"/>
  <c r="M521" i="2"/>
  <c r="L519" i="2"/>
  <c r="M519" i="2" s="1"/>
  <c r="M381" i="2"/>
  <c r="F352" i="2"/>
  <c r="M352" i="2" s="1"/>
  <c r="M353" i="2"/>
  <c r="J340" i="2"/>
  <c r="L341" i="2"/>
  <c r="L256" i="2"/>
  <c r="F206" i="2"/>
  <c r="F205" i="2" s="1"/>
  <c r="F588" i="2"/>
  <c r="I170" i="2"/>
  <c r="G130" i="2"/>
  <c r="J52" i="2"/>
  <c r="L55" i="2"/>
  <c r="F42" i="2"/>
  <c r="M42" i="2" s="1"/>
  <c r="M43" i="2"/>
  <c r="M15" i="2"/>
  <c r="L10" i="2"/>
  <c r="H8" i="2"/>
  <c r="Y87" i="2"/>
  <c r="Y63" i="2"/>
  <c r="Y21" i="2"/>
  <c r="Y462" i="2"/>
  <c r="Y480" i="2"/>
  <c r="L207" i="2"/>
  <c r="T207" i="2" s="1"/>
  <c r="T594" i="2"/>
  <c r="W599" i="2"/>
  <c r="W595" i="2" s="1"/>
  <c r="H92" i="2"/>
  <c r="S563" i="2"/>
  <c r="W563" i="2"/>
  <c r="O563" i="2"/>
  <c r="U563" i="2"/>
  <c r="Q563" i="2"/>
  <c r="W24" i="2"/>
  <c r="F563" i="2"/>
  <c r="V595" i="2"/>
  <c r="X487" i="2"/>
  <c r="Y487" i="2" s="1"/>
  <c r="H433" i="2"/>
  <c r="H94" i="2"/>
  <c r="F89" i="2"/>
  <c r="H89" i="2" s="1"/>
  <c r="Y559" i="2"/>
  <c r="G211" i="2"/>
  <c r="H91" i="2"/>
  <c r="G74" i="2"/>
  <c r="Y31" i="2"/>
  <c r="Y598" i="2" s="1"/>
  <c r="Y493" i="2"/>
  <c r="W369" i="2"/>
  <c r="W352" i="2" s="1"/>
  <c r="W340" i="2" s="1"/>
  <c r="S369" i="2"/>
  <c r="Q19" i="2"/>
  <c r="Q18" i="2" s="1"/>
  <c r="V563" i="2"/>
  <c r="R563" i="2"/>
  <c r="Y514" i="2"/>
  <c r="H390" i="2"/>
  <c r="H304" i="2"/>
  <c r="Y122" i="2"/>
  <c r="Y509" i="2"/>
  <c r="S595" i="2"/>
  <c r="O595" i="2"/>
  <c r="J519" i="2"/>
  <c r="Y494" i="2"/>
  <c r="H493" i="2"/>
  <c r="O474" i="2"/>
  <c r="H431" i="2"/>
  <c r="S211" i="2"/>
  <c r="P66" i="2"/>
  <c r="V49" i="2"/>
  <c r="T24" i="2"/>
  <c r="Y20" i="2"/>
  <c r="H101" i="2"/>
  <c r="R595" i="2"/>
  <c r="T595" i="2"/>
  <c r="P595" i="2"/>
  <c r="Y557" i="2"/>
  <c r="H555" i="2"/>
  <c r="H552" i="2"/>
  <c r="T539" i="2"/>
  <c r="Y539" i="2" s="1"/>
  <c r="H436" i="2"/>
  <c r="X340" i="2"/>
  <c r="Y72" i="2"/>
  <c r="G66" i="2"/>
  <c r="X66" i="2"/>
  <c r="T66" i="2"/>
  <c r="R49" i="2"/>
  <c r="R24" i="2"/>
  <c r="U4" i="2"/>
  <c r="J509" i="2"/>
  <c r="P474" i="2"/>
  <c r="H399" i="2"/>
  <c r="Y195" i="2"/>
  <c r="Y127" i="2"/>
  <c r="T474" i="2"/>
  <c r="X74" i="2"/>
  <c r="J564" i="2"/>
  <c r="I563" i="2"/>
  <c r="T525" i="2"/>
  <c r="T492" i="2" s="1"/>
  <c r="Y465" i="2"/>
  <c r="V369" i="2"/>
  <c r="V352" i="2" s="1"/>
  <c r="V340" i="2" s="1"/>
  <c r="R369" i="2"/>
  <c r="H191" i="2"/>
  <c r="I74" i="2"/>
  <c r="H75" i="2"/>
  <c r="H72" i="2"/>
  <c r="H69" i="2"/>
  <c r="Y64" i="2"/>
  <c r="Y599" i="2" s="1"/>
  <c r="S49" i="2"/>
  <c r="O49" i="2"/>
  <c r="Y45" i="2"/>
  <c r="X24" i="2"/>
  <c r="Q4" i="2"/>
  <c r="F4" i="2"/>
  <c r="G595" i="2"/>
  <c r="I24" i="2"/>
  <c r="X534" i="2"/>
  <c r="P534" i="2"/>
  <c r="U474" i="2"/>
  <c r="Q474" i="2"/>
  <c r="Y433" i="2"/>
  <c r="Y552" i="2"/>
  <c r="W534" i="2"/>
  <c r="S534" i="2"/>
  <c r="F534" i="2"/>
  <c r="Y535" i="2"/>
  <c r="X492" i="2"/>
  <c r="W402" i="2"/>
  <c r="Y402" i="2" s="1"/>
  <c r="Y403" i="2"/>
  <c r="F595" i="2"/>
  <c r="Y576" i="2"/>
  <c r="I534" i="2"/>
  <c r="V534" i="2"/>
  <c r="R534" i="2"/>
  <c r="Y519" i="2"/>
  <c r="P492" i="2"/>
  <c r="I492" i="2"/>
  <c r="W492" i="2"/>
  <c r="S492" i="2"/>
  <c r="Y490" i="2"/>
  <c r="H490" i="2"/>
  <c r="W474" i="2"/>
  <c r="S474" i="2"/>
  <c r="G474" i="2"/>
  <c r="W467" i="2"/>
  <c r="Y467" i="2" s="1"/>
  <c r="I595" i="2"/>
  <c r="U595" i="2"/>
  <c r="Q595" i="2"/>
  <c r="G563" i="2"/>
  <c r="H563" i="2" s="1"/>
  <c r="T563" i="2"/>
  <c r="H557" i="2"/>
  <c r="Y555" i="2"/>
  <c r="U534" i="2"/>
  <c r="Q534" i="2"/>
  <c r="Y523" i="2"/>
  <c r="V492" i="2"/>
  <c r="R492" i="2"/>
  <c r="J493" i="2"/>
  <c r="I474" i="2"/>
  <c r="X475" i="2"/>
  <c r="Y475" i="2" s="1"/>
  <c r="V474" i="2"/>
  <c r="R474" i="2"/>
  <c r="Y438" i="2"/>
  <c r="T436" i="2"/>
  <c r="Y436" i="2" s="1"/>
  <c r="Y437" i="2"/>
  <c r="O369" i="2"/>
  <c r="Y373" i="2"/>
  <c r="U369" i="2"/>
  <c r="Q369" i="2"/>
  <c r="Q352" i="2" s="1"/>
  <c r="Q340" i="2" s="1"/>
  <c r="T341" i="2"/>
  <c r="T340" i="2" s="1"/>
  <c r="H341" i="2"/>
  <c r="J66" i="2"/>
  <c r="F66" i="2"/>
  <c r="H66" i="2" s="1"/>
  <c r="Q52" i="2"/>
  <c r="V4" i="2"/>
  <c r="X392" i="2"/>
  <c r="Y234" i="2"/>
  <c r="J206" i="2"/>
  <c r="Y204" i="2"/>
  <c r="Y98" i="2"/>
  <c r="H98" i="2"/>
  <c r="I66" i="2"/>
  <c r="Y68" i="2"/>
  <c r="X52" i="2"/>
  <c r="X49" i="2" s="1"/>
  <c r="Y51" i="2"/>
  <c r="Y50" i="2"/>
  <c r="U49" i="2"/>
  <c r="P49" i="2"/>
  <c r="S24" i="2"/>
  <c r="X233" i="2"/>
  <c r="Y233" i="2" s="1"/>
  <c r="Q211" i="2"/>
  <c r="W130" i="2"/>
  <c r="S130" i="2"/>
  <c r="O130" i="2"/>
  <c r="S83" i="2"/>
  <c r="Y83" i="2" s="1"/>
  <c r="W66" i="2"/>
  <c r="S66" i="2"/>
  <c r="Y69" i="2"/>
  <c r="V25" i="2"/>
  <c r="Y25" i="2" s="1"/>
  <c r="Y6" i="2"/>
  <c r="X4" i="2"/>
  <c r="S4" i="2"/>
  <c r="I4" i="2"/>
  <c r="X369" i="2"/>
  <c r="T369" i="2"/>
  <c r="Y171" i="2"/>
  <c r="P74" i="2"/>
  <c r="Y94" i="2"/>
  <c r="V66" i="2"/>
  <c r="R66" i="2"/>
  <c r="W49" i="2"/>
  <c r="Y43" i="2"/>
  <c r="G24" i="2"/>
  <c r="R4" i="2"/>
  <c r="G4" i="2"/>
  <c r="Y428" i="2"/>
  <c r="X564" i="2"/>
  <c r="X563" i="2" s="1"/>
  <c r="O534" i="2"/>
  <c r="U492" i="2"/>
  <c r="F492" i="2"/>
  <c r="G492" i="2"/>
  <c r="F474" i="2"/>
  <c r="M474" i="2" s="1"/>
  <c r="U392" i="2"/>
  <c r="X308" i="2"/>
  <c r="Y308" i="2" s="1"/>
  <c r="Y261" i="2"/>
  <c r="X248" i="2"/>
  <c r="W211" i="2"/>
  <c r="X599" i="2"/>
  <c r="X595" i="2" s="1"/>
  <c r="J576" i="2"/>
  <c r="P563" i="2"/>
  <c r="G534" i="2"/>
  <c r="H507" i="2"/>
  <c r="Q496" i="2"/>
  <c r="Y496" i="2" s="1"/>
  <c r="J496" i="2"/>
  <c r="Y491" i="2"/>
  <c r="Y488" i="2"/>
  <c r="W460" i="2"/>
  <c r="Y460" i="2" s="1"/>
  <c r="W439" i="2"/>
  <c r="Y439" i="2" s="1"/>
  <c r="Y430" i="2"/>
  <c r="Y429" i="2"/>
  <c r="H428" i="2"/>
  <c r="T412" i="2"/>
  <c r="T392" i="2" s="1"/>
  <c r="G392" i="2"/>
  <c r="W399" i="2"/>
  <c r="P392" i="2"/>
  <c r="H373" i="2"/>
  <c r="Y370" i="2"/>
  <c r="Y357" i="2"/>
  <c r="X352" i="2"/>
  <c r="S340" i="2"/>
  <c r="Y341" i="2"/>
  <c r="X328" i="2"/>
  <c r="Y328" i="2" s="1"/>
  <c r="P211" i="2"/>
  <c r="Y181" i="2"/>
  <c r="T176" i="2"/>
  <c r="T170" i="2" s="1"/>
  <c r="O492" i="2"/>
  <c r="J378" i="2"/>
  <c r="J595" i="2"/>
  <c r="J539" i="2"/>
  <c r="J525" i="2"/>
  <c r="S392" i="2"/>
  <c r="O392" i="2"/>
  <c r="F392" i="2"/>
  <c r="M392" i="2" s="1"/>
  <c r="Y399" i="2"/>
  <c r="W397" i="2"/>
  <c r="Y390" i="2"/>
  <c r="F369" i="2"/>
  <c r="H370" i="2"/>
  <c r="Y365" i="2"/>
  <c r="Y305" i="2"/>
  <c r="T202" i="2"/>
  <c r="Y202" i="2" s="1"/>
  <c r="Y203" i="2"/>
  <c r="Y102" i="2"/>
  <c r="J474" i="2"/>
  <c r="Y414" i="2"/>
  <c r="W412" i="2"/>
  <c r="Q392" i="2"/>
  <c r="Y526" i="2"/>
  <c r="Y507" i="2"/>
  <c r="W431" i="2"/>
  <c r="Y431" i="2" s="1"/>
  <c r="V392" i="2"/>
  <c r="R392" i="2"/>
  <c r="J392" i="2"/>
  <c r="Y378" i="2"/>
  <c r="P369" i="2"/>
  <c r="P352" i="2" s="1"/>
  <c r="R352" i="2"/>
  <c r="R340" i="2" s="1"/>
  <c r="J352" i="2"/>
  <c r="T353" i="2"/>
  <c r="X324" i="2"/>
  <c r="Y324" i="2" s="1"/>
  <c r="X282" i="2"/>
  <c r="Y286" i="2"/>
  <c r="J248" i="2"/>
  <c r="O211" i="2"/>
  <c r="R130" i="2"/>
  <c r="J304" i="2"/>
  <c r="H249" i="2"/>
  <c r="F248" i="2"/>
  <c r="H248" i="2" s="1"/>
  <c r="U211" i="2"/>
  <c r="Y213" i="2"/>
  <c r="T212" i="2"/>
  <c r="H203" i="2"/>
  <c r="G202" i="2"/>
  <c r="H202" i="2" s="1"/>
  <c r="Y191" i="2"/>
  <c r="Y396" i="2"/>
  <c r="Y395" i="2" s="1"/>
  <c r="Y368" i="2"/>
  <c r="H353" i="2"/>
  <c r="Y329" i="2"/>
  <c r="T282" i="2"/>
  <c r="Y214" i="2"/>
  <c r="X212" i="2"/>
  <c r="R211" i="2"/>
  <c r="Y161" i="2"/>
  <c r="V130" i="2"/>
  <c r="Y131" i="2"/>
  <c r="F130" i="2"/>
  <c r="U66" i="2"/>
  <c r="Q66" i="2"/>
  <c r="Y67" i="2"/>
  <c r="Y30" i="2"/>
  <c r="O4" i="2"/>
  <c r="Y5" i="2"/>
  <c r="V211" i="2"/>
  <c r="H171" i="2"/>
  <c r="J10" i="2"/>
  <c r="Y9" i="2"/>
  <c r="T8" i="2"/>
  <c r="T4" i="2" s="1"/>
  <c r="Y135" i="2"/>
  <c r="U130" i="2"/>
  <c r="Q130" i="2"/>
  <c r="J130" i="2"/>
  <c r="Y126" i="2"/>
  <c r="Y91" i="2"/>
  <c r="W74" i="2"/>
  <c r="Y75" i="2"/>
  <c r="O74" i="2"/>
  <c r="T49" i="2"/>
  <c r="H50" i="2"/>
  <c r="F49" i="2"/>
  <c r="H49" i="2" s="1"/>
  <c r="J32" i="2"/>
  <c r="Q24" i="2"/>
  <c r="W4" i="2"/>
  <c r="Y144" i="2"/>
  <c r="X130" i="2"/>
  <c r="T130" i="2"/>
  <c r="P130" i="2"/>
  <c r="V74" i="2"/>
  <c r="R74" i="2"/>
  <c r="J49" i="2"/>
  <c r="G42" i="2"/>
  <c r="H42" i="2" s="1"/>
  <c r="Y32" i="2"/>
  <c r="U24" i="2"/>
  <c r="O18" i="2"/>
  <c r="Y18" i="2" s="1"/>
  <c r="Y153" i="2"/>
  <c r="U74" i="2"/>
  <c r="Q74" i="2"/>
  <c r="F74" i="2"/>
  <c r="Q49" i="2"/>
  <c r="I49" i="2"/>
  <c r="Y42" i="2"/>
  <c r="O24" i="2"/>
  <c r="F24" i="2"/>
  <c r="H18" i="2"/>
  <c r="Y10" i="2"/>
  <c r="P4" i="2"/>
  <c r="O66" i="2"/>
  <c r="H5" i="2"/>
  <c r="P24" i="2"/>
  <c r="E264" i="5"/>
  <c r="F264" i="5"/>
  <c r="I114" i="5"/>
  <c r="H114" i="5"/>
  <c r="F114" i="5"/>
  <c r="E114" i="5"/>
  <c r="I199" i="5"/>
  <c r="H199" i="5"/>
  <c r="F199" i="5"/>
  <c r="E199" i="5"/>
  <c r="G186" i="5"/>
  <c r="F268" i="5"/>
  <c r="I264" i="5"/>
  <c r="I266" i="5"/>
  <c r="F266" i="5"/>
  <c r="E266" i="5"/>
  <c r="F142" i="5"/>
  <c r="F141" i="5" s="1"/>
  <c r="H142" i="5"/>
  <c r="H141" i="5" s="1"/>
  <c r="I142" i="5"/>
  <c r="I141" i="5" s="1"/>
  <c r="E142" i="5"/>
  <c r="I133" i="5"/>
  <c r="H133" i="5"/>
  <c r="F133" i="5"/>
  <c r="E133" i="5"/>
  <c r="G113" i="5"/>
  <c r="G111" i="5"/>
  <c r="T206" i="2" l="1"/>
  <c r="T205" i="2" s="1"/>
  <c r="Y205" i="2" s="1"/>
  <c r="T590" i="2"/>
  <c r="Y590" i="2" s="1"/>
  <c r="L591" i="2"/>
  <c r="L576" i="2"/>
  <c r="M576" i="2" s="1"/>
  <c r="H352" i="2"/>
  <c r="J588" i="2"/>
  <c r="V24" i="2"/>
  <c r="M582" i="2"/>
  <c r="L590" i="2"/>
  <c r="F603" i="2"/>
  <c r="X474" i="2"/>
  <c r="M256" i="2"/>
  <c r="T256" i="2"/>
  <c r="T248" i="2" s="1"/>
  <c r="Y248" i="2" s="1"/>
  <c r="H534" i="2"/>
  <c r="H130" i="2"/>
  <c r="M130" i="2"/>
  <c r="M10" i="2"/>
  <c r="L4" i="2"/>
  <c r="M4" i="2" s="1"/>
  <c r="M55" i="2"/>
  <c r="L52" i="2"/>
  <c r="M493" i="2"/>
  <c r="L492" i="2"/>
  <c r="M492" i="2" s="1"/>
  <c r="M383" i="2"/>
  <c r="L72" i="2"/>
  <c r="M73" i="2"/>
  <c r="M182" i="2"/>
  <c r="L176" i="2"/>
  <c r="M341" i="2"/>
  <c r="L340" i="2"/>
  <c r="M340" i="2" s="1"/>
  <c r="M378" i="2"/>
  <c r="L369" i="2"/>
  <c r="M369" i="2" s="1"/>
  <c r="M129" i="2"/>
  <c r="L126" i="2"/>
  <c r="M126" i="2" s="1"/>
  <c r="M564" i="2"/>
  <c r="L563" i="2"/>
  <c r="M563" i="2" s="1"/>
  <c r="M539" i="2"/>
  <c r="L534" i="2"/>
  <c r="M534" i="2" s="1"/>
  <c r="M32" i="2"/>
  <c r="L24" i="2"/>
  <c r="M24" i="2" s="1"/>
  <c r="M89" i="2"/>
  <c r="L74" i="2"/>
  <c r="M74" i="2" s="1"/>
  <c r="L248" i="2"/>
  <c r="Y19" i="2"/>
  <c r="Y595" i="2"/>
  <c r="M207" i="2"/>
  <c r="L206" i="2"/>
  <c r="I584" i="2"/>
  <c r="I586" i="2" s="1"/>
  <c r="H4" i="2"/>
  <c r="Y207" i="2"/>
  <c r="Q492" i="2"/>
  <c r="Q584" i="2" s="1"/>
  <c r="Q586" i="2" s="1"/>
  <c r="J205" i="2"/>
  <c r="Y525" i="2"/>
  <c r="J74" i="2"/>
  <c r="H369" i="2"/>
  <c r="H474" i="2"/>
  <c r="Y176" i="2"/>
  <c r="T352" i="2"/>
  <c r="Y352" i="2" s="1"/>
  <c r="H492" i="2"/>
  <c r="T89" i="2"/>
  <c r="T74" i="2" s="1"/>
  <c r="Y52" i="2"/>
  <c r="T534" i="2"/>
  <c r="Y534" i="2" s="1"/>
  <c r="S74" i="2"/>
  <c r="S584" i="2" s="1"/>
  <c r="S586" i="2" s="1"/>
  <c r="H170" i="2"/>
  <c r="Y492" i="2"/>
  <c r="Y563" i="2"/>
  <c r="F211" i="2"/>
  <c r="F584" i="2" s="1"/>
  <c r="F586" i="2" s="1"/>
  <c r="Y282" i="2"/>
  <c r="Y369" i="2"/>
  <c r="Y49" i="2"/>
  <c r="Y474" i="2"/>
  <c r="H24" i="2"/>
  <c r="Y130" i="2"/>
  <c r="V584" i="2"/>
  <c r="V586" i="2" s="1"/>
  <c r="U584" i="2"/>
  <c r="U586" i="2" s="1"/>
  <c r="J369" i="2"/>
  <c r="J492" i="2"/>
  <c r="Y206" i="2"/>
  <c r="Y212" i="2"/>
  <c r="R584" i="2"/>
  <c r="R586" i="2" s="1"/>
  <c r="W392" i="2"/>
  <c r="W584" i="2" s="1"/>
  <c r="W586" i="2" s="1"/>
  <c r="H392" i="2"/>
  <c r="P340" i="2"/>
  <c r="Y340" i="2" s="1"/>
  <c r="J534" i="2"/>
  <c r="G584" i="2"/>
  <c r="Y24" i="2"/>
  <c r="Y4" i="2"/>
  <c r="Y249" i="2"/>
  <c r="Y101" i="2"/>
  <c r="J563" i="2"/>
  <c r="Y307" i="2"/>
  <c r="J4" i="2"/>
  <c r="J211" i="2"/>
  <c r="Y8" i="2"/>
  <c r="X304" i="2"/>
  <c r="Y304" i="2" s="1"/>
  <c r="Y353" i="2"/>
  <c r="O584" i="2"/>
  <c r="Y564" i="2"/>
  <c r="Y66" i="2"/>
  <c r="H74" i="2"/>
  <c r="J24" i="2"/>
  <c r="Y170" i="2"/>
  <c r="Y412" i="2"/>
  <c r="P584" i="2"/>
  <c r="P586" i="2" s="1"/>
  <c r="E141" i="5"/>
  <c r="G60" i="5"/>
  <c r="G59" i="5"/>
  <c r="T588" i="2" l="1"/>
  <c r="Y256" i="2"/>
  <c r="T591" i="2"/>
  <c r="L588" i="2"/>
  <c r="H211" i="2"/>
  <c r="L211" i="2"/>
  <c r="M72" i="2"/>
  <c r="L66" i="2"/>
  <c r="M66" i="2" s="1"/>
  <c r="M248" i="2"/>
  <c r="M211" i="2"/>
  <c r="M176" i="2"/>
  <c r="L170" i="2"/>
  <c r="M170" i="2" s="1"/>
  <c r="M52" i="2"/>
  <c r="L49" i="2"/>
  <c r="M49" i="2" s="1"/>
  <c r="T211" i="2"/>
  <c r="T584" i="2" s="1"/>
  <c r="T586" i="2" s="1"/>
  <c r="W585" i="2"/>
  <c r="L205" i="2"/>
  <c r="M206" i="2"/>
  <c r="G586" i="2"/>
  <c r="H584" i="2"/>
  <c r="Y74" i="2"/>
  <c r="Y392" i="2"/>
  <c r="Y89" i="2"/>
  <c r="O586" i="2"/>
  <c r="X211" i="2"/>
  <c r="J584" i="2"/>
  <c r="G50" i="5"/>
  <c r="H42" i="5"/>
  <c r="I42" i="5"/>
  <c r="F42" i="5"/>
  <c r="E42" i="5"/>
  <c r="H34" i="5"/>
  <c r="H264" i="5" s="1"/>
  <c r="Y588" i="2" l="1"/>
  <c r="M205" i="2"/>
  <c r="L584" i="2"/>
  <c r="F601" i="2" s="1"/>
  <c r="F605" i="2" s="1"/>
  <c r="F606" i="2" s="1"/>
  <c r="O585" i="2"/>
  <c r="Y211" i="2"/>
  <c r="Y584" i="2" s="1"/>
  <c r="Y586" i="2" s="1"/>
  <c r="X584" i="2"/>
  <c r="J586" i="2"/>
  <c r="H266" i="5"/>
  <c r="I23" i="5"/>
  <c r="H23" i="5"/>
  <c r="F23" i="5"/>
  <c r="E23" i="5"/>
  <c r="I8" i="5"/>
  <c r="H8" i="5"/>
  <c r="L6" i="5"/>
  <c r="L7" i="5"/>
  <c r="F8" i="5"/>
  <c r="E8" i="5"/>
  <c r="L586" i="2" l="1"/>
  <c r="M586" i="2" s="1"/>
  <c r="X585" i="2"/>
  <c r="Y585" i="2" s="1"/>
  <c r="X586" i="2"/>
  <c r="I268" i="5"/>
  <c r="H268" i="5"/>
  <c r="E268" i="5"/>
  <c r="I267" i="5"/>
  <c r="H267" i="5"/>
  <c r="F267" i="5"/>
  <c r="G267" i="5" s="1"/>
  <c r="G266" i="5"/>
  <c r="G264" i="5"/>
  <c r="I261" i="5"/>
  <c r="H261" i="5"/>
  <c r="F261" i="5"/>
  <c r="E261" i="5"/>
  <c r="I260" i="5"/>
  <c r="H260" i="5"/>
  <c r="F260" i="5"/>
  <c r="E260" i="5"/>
  <c r="I257" i="5"/>
  <c r="H257" i="5"/>
  <c r="F257" i="5"/>
  <c r="E257" i="5"/>
  <c r="I256" i="5"/>
  <c r="H256" i="5"/>
  <c r="F256" i="5"/>
  <c r="E256" i="5"/>
  <c r="I214" i="5"/>
  <c r="L209" i="5"/>
  <c r="I198" i="5"/>
  <c r="H198" i="5"/>
  <c r="F198" i="5"/>
  <c r="E198" i="5"/>
  <c r="G197" i="5"/>
  <c r="G195" i="5"/>
  <c r="I194" i="5"/>
  <c r="H194" i="5"/>
  <c r="F194" i="5"/>
  <c r="E194" i="5"/>
  <c r="G193" i="5"/>
  <c r="I192" i="5"/>
  <c r="H192" i="5"/>
  <c r="F192" i="5"/>
  <c r="E192" i="5"/>
  <c r="I185" i="5"/>
  <c r="H185" i="5"/>
  <c r="F185" i="5"/>
  <c r="E185" i="5"/>
  <c r="G182" i="5"/>
  <c r="G181" i="5"/>
  <c r="I180" i="5"/>
  <c r="H180" i="5"/>
  <c r="F180" i="5"/>
  <c r="E180" i="5"/>
  <c r="G178" i="5"/>
  <c r="G177" i="5"/>
  <c r="I176" i="5"/>
  <c r="I175" i="5" s="1"/>
  <c r="H176" i="5"/>
  <c r="H175" i="5" s="1"/>
  <c r="F176" i="5"/>
  <c r="F175" i="5" s="1"/>
  <c r="E176" i="5"/>
  <c r="E175" i="5" s="1"/>
  <c r="G174" i="5"/>
  <c r="G173" i="5"/>
  <c r="I172" i="5"/>
  <c r="H172" i="5"/>
  <c r="F172" i="5"/>
  <c r="E172" i="5"/>
  <c r="G171" i="5"/>
  <c r="G170" i="5"/>
  <c r="G169" i="5"/>
  <c r="I168" i="5"/>
  <c r="H168" i="5"/>
  <c r="F168" i="5"/>
  <c r="E168" i="5"/>
  <c r="G167" i="5"/>
  <c r="I166" i="5"/>
  <c r="H166" i="5"/>
  <c r="F166" i="5"/>
  <c r="E166" i="5"/>
  <c r="G165" i="5"/>
  <c r="G164" i="5"/>
  <c r="I163" i="5"/>
  <c r="H163" i="5"/>
  <c r="F163" i="5"/>
  <c r="E163" i="5"/>
  <c r="G162" i="5"/>
  <c r="F161" i="5"/>
  <c r="E161" i="5"/>
  <c r="G160" i="5"/>
  <c r="G159" i="5"/>
  <c r="G158" i="5"/>
  <c r="I157" i="5"/>
  <c r="H157" i="5"/>
  <c r="F157" i="5"/>
  <c r="E157" i="5"/>
  <c r="G156" i="5"/>
  <c r="G155" i="5"/>
  <c r="G154" i="5"/>
  <c r="I153" i="5"/>
  <c r="H153" i="5"/>
  <c r="F153" i="5"/>
  <c r="E153" i="5"/>
  <c r="G152" i="5"/>
  <c r="G151" i="5"/>
  <c r="G150" i="5"/>
  <c r="G149" i="5"/>
  <c r="I148" i="5"/>
  <c r="H148" i="5"/>
  <c r="F148" i="5"/>
  <c r="E148" i="5"/>
  <c r="G147" i="5"/>
  <c r="I146" i="5"/>
  <c r="H146" i="5"/>
  <c r="F146" i="5"/>
  <c r="E146" i="5"/>
  <c r="G140" i="5"/>
  <c r="I139" i="5"/>
  <c r="H139" i="5"/>
  <c r="F139" i="5"/>
  <c r="E139" i="5"/>
  <c r="G138" i="5"/>
  <c r="G137" i="5"/>
  <c r="G136" i="5"/>
  <c r="I135" i="5"/>
  <c r="H135" i="5"/>
  <c r="F135" i="5"/>
  <c r="E135" i="5"/>
  <c r="G132" i="5"/>
  <c r="G131" i="5"/>
  <c r="G129" i="5"/>
  <c r="I127" i="5"/>
  <c r="H127" i="5"/>
  <c r="F127" i="5"/>
  <c r="E127" i="5"/>
  <c r="G125" i="5"/>
  <c r="G124" i="5"/>
  <c r="G122" i="5"/>
  <c r="G121" i="5"/>
  <c r="G120" i="5"/>
  <c r="I117" i="5"/>
  <c r="H117" i="5"/>
  <c r="F117" i="5"/>
  <c r="E117" i="5"/>
  <c r="G115" i="5"/>
  <c r="G112" i="5"/>
  <c r="G110" i="5"/>
  <c r="I108" i="5"/>
  <c r="H108" i="5"/>
  <c r="F108" i="5"/>
  <c r="E108" i="5"/>
  <c r="G106" i="5"/>
  <c r="I105" i="5"/>
  <c r="H105" i="5"/>
  <c r="F105" i="5"/>
  <c r="E105" i="5"/>
  <c r="G104" i="5"/>
  <c r="G103" i="5"/>
  <c r="G102" i="5"/>
  <c r="G101" i="5"/>
  <c r="I99" i="5"/>
  <c r="H99" i="5"/>
  <c r="F99" i="5"/>
  <c r="E99" i="5"/>
  <c r="G98" i="5"/>
  <c r="I97" i="5"/>
  <c r="H97" i="5"/>
  <c r="F97" i="5"/>
  <c r="E97" i="5"/>
  <c r="G96" i="5"/>
  <c r="I95" i="5"/>
  <c r="H95" i="5"/>
  <c r="F95" i="5"/>
  <c r="E95" i="5"/>
  <c r="G93" i="5"/>
  <c r="G92" i="5"/>
  <c r="I91" i="5"/>
  <c r="H91" i="5"/>
  <c r="F91" i="5"/>
  <c r="E91" i="5"/>
  <c r="G88" i="5"/>
  <c r="G87" i="5"/>
  <c r="G86" i="5"/>
  <c r="I85" i="5"/>
  <c r="H85" i="5"/>
  <c r="F85" i="5"/>
  <c r="E85" i="5"/>
  <c r="G84" i="5"/>
  <c r="G83" i="5"/>
  <c r="G81" i="5"/>
  <c r="G80" i="5"/>
  <c r="G79" i="5"/>
  <c r="G78" i="5"/>
  <c r="G77" i="5"/>
  <c r="G76" i="5"/>
  <c r="G75" i="5"/>
  <c r="I74" i="5"/>
  <c r="H74" i="5"/>
  <c r="F74" i="5"/>
  <c r="E74" i="5"/>
  <c r="G73" i="5"/>
  <c r="G72" i="5"/>
  <c r="G71" i="5"/>
  <c r="G70" i="5"/>
  <c r="G69" i="5"/>
  <c r="G68" i="5"/>
  <c r="G67" i="5"/>
  <c r="G66" i="5"/>
  <c r="I65" i="5"/>
  <c r="H65" i="5"/>
  <c r="F65" i="5"/>
  <c r="E65" i="5"/>
  <c r="G63" i="5"/>
  <c r="I62" i="5"/>
  <c r="H62" i="5"/>
  <c r="F62" i="5"/>
  <c r="E62" i="5"/>
  <c r="I58" i="5"/>
  <c r="H58" i="5"/>
  <c r="H57" i="5" s="1"/>
  <c r="F58" i="5"/>
  <c r="E58" i="5"/>
  <c r="E57" i="5" s="1"/>
  <c r="I57" i="5"/>
  <c r="G56" i="5"/>
  <c r="H55" i="5"/>
  <c r="F55" i="5"/>
  <c r="E55" i="5"/>
  <c r="G54" i="5"/>
  <c r="I53" i="5"/>
  <c r="H53" i="5"/>
  <c r="F53" i="5"/>
  <c r="E53" i="5"/>
  <c r="G52" i="5"/>
  <c r="I51" i="5"/>
  <c r="H51" i="5"/>
  <c r="F51" i="5"/>
  <c r="E51" i="5"/>
  <c r="I49" i="5"/>
  <c r="H49" i="5"/>
  <c r="F49" i="5"/>
  <c r="E49" i="5"/>
  <c r="G48" i="5"/>
  <c r="I47" i="5"/>
  <c r="H47" i="5"/>
  <c r="F47" i="5"/>
  <c r="E47" i="5"/>
  <c r="G45" i="5"/>
  <c r="G44" i="5"/>
  <c r="G43" i="5"/>
  <c r="G42" i="5"/>
  <c r="G40" i="5"/>
  <c r="I39" i="5"/>
  <c r="H39" i="5"/>
  <c r="F39" i="5"/>
  <c r="E39" i="5"/>
  <c r="E38" i="5" s="1"/>
  <c r="G37" i="5"/>
  <c r="G36" i="5"/>
  <c r="G35" i="5"/>
  <c r="G34" i="5"/>
  <c r="G33" i="5"/>
  <c r="G32" i="5"/>
  <c r="G31" i="5"/>
  <c r="G29" i="5"/>
  <c r="I28" i="5"/>
  <c r="I27" i="5" s="1"/>
  <c r="H28" i="5"/>
  <c r="H27" i="5" s="1"/>
  <c r="F28" i="5"/>
  <c r="E28" i="5"/>
  <c r="E27" i="5" s="1"/>
  <c r="G24" i="5"/>
  <c r="F22" i="5"/>
  <c r="I22" i="5"/>
  <c r="H22" i="5"/>
  <c r="E22" i="5"/>
  <c r="G21" i="5"/>
  <c r="I20" i="5"/>
  <c r="H20" i="5"/>
  <c r="H19" i="5" s="1"/>
  <c r="F20" i="5"/>
  <c r="E20" i="5"/>
  <c r="E19" i="5" s="1"/>
  <c r="G18" i="5"/>
  <c r="I17" i="5"/>
  <c r="I16" i="5" s="1"/>
  <c r="H17" i="5"/>
  <c r="H16" i="5" s="1"/>
  <c r="F17" i="5"/>
  <c r="E17" i="5"/>
  <c r="E16" i="5" s="1"/>
  <c r="G15" i="5"/>
  <c r="G14" i="5"/>
  <c r="G13" i="5"/>
  <c r="G11" i="5"/>
  <c r="I10" i="5"/>
  <c r="H10" i="5"/>
  <c r="F10" i="5"/>
  <c r="E10" i="5"/>
  <c r="I5" i="5"/>
  <c r="H5" i="5"/>
  <c r="F5" i="5"/>
  <c r="E5" i="5"/>
  <c r="I107" i="5" l="1"/>
  <c r="E107" i="5"/>
  <c r="F107" i="5"/>
  <c r="H107" i="5"/>
  <c r="H179" i="5"/>
  <c r="I191" i="5"/>
  <c r="G194" i="5"/>
  <c r="F4" i="5"/>
  <c r="E94" i="5"/>
  <c r="G117" i="5"/>
  <c r="E191" i="5"/>
  <c r="E46" i="5"/>
  <c r="G85" i="5"/>
  <c r="G114" i="5"/>
  <c r="I145" i="5"/>
  <c r="G185" i="5"/>
  <c r="I46" i="5"/>
  <c r="H46" i="5"/>
  <c r="G146" i="5"/>
  <c r="G157" i="5"/>
  <c r="G172" i="5"/>
  <c r="G17" i="5"/>
  <c r="G55" i="5"/>
  <c r="I61" i="5"/>
  <c r="G65" i="5"/>
  <c r="G74" i="5"/>
  <c r="F179" i="5"/>
  <c r="F191" i="5"/>
  <c r="G191" i="5" s="1"/>
  <c r="G49" i="5"/>
  <c r="G20" i="5"/>
  <c r="G47" i="5"/>
  <c r="E61" i="5"/>
  <c r="G95" i="5"/>
  <c r="I94" i="5"/>
  <c r="G99" i="5"/>
  <c r="G105" i="5"/>
  <c r="G127" i="5"/>
  <c r="G139" i="5"/>
  <c r="G148" i="5"/>
  <c r="G153" i="5"/>
  <c r="H191" i="5"/>
  <c r="G108" i="5"/>
  <c r="H94" i="5"/>
  <c r="F61" i="5"/>
  <c r="F57" i="5"/>
  <c r="G57" i="5" s="1"/>
  <c r="G58" i="5"/>
  <c r="E4" i="5"/>
  <c r="G53" i="5"/>
  <c r="H4" i="5"/>
  <c r="G51" i="5"/>
  <c r="G62" i="5"/>
  <c r="G91" i="5"/>
  <c r="G97" i="5"/>
  <c r="E145" i="5"/>
  <c r="G161" i="5"/>
  <c r="G166" i="5"/>
  <c r="G4" i="5"/>
  <c r="L5" i="5"/>
  <c r="I4" i="5"/>
  <c r="I38" i="5"/>
  <c r="H61" i="5"/>
  <c r="G135" i="5"/>
  <c r="G28" i="5"/>
  <c r="G39" i="5"/>
  <c r="G163" i="5"/>
  <c r="G168" i="5"/>
  <c r="E179" i="5"/>
  <c r="H38" i="5"/>
  <c r="F38" i="5"/>
  <c r="G38" i="5" s="1"/>
  <c r="F27" i="5"/>
  <c r="G27" i="5" s="1"/>
  <c r="F19" i="5"/>
  <c r="G19" i="5" s="1"/>
  <c r="F16" i="5"/>
  <c r="G16" i="5" s="1"/>
  <c r="G268" i="5"/>
  <c r="G10" i="5"/>
  <c r="G175" i="5"/>
  <c r="G61" i="5"/>
  <c r="G23" i="5"/>
  <c r="G22" i="5" s="1"/>
  <c r="F46" i="5"/>
  <c r="G46" i="5" s="1"/>
  <c r="F94" i="5"/>
  <c r="G94" i="5" s="1"/>
  <c r="I19" i="5"/>
  <c r="G176" i="5"/>
  <c r="I179" i="5"/>
  <c r="G180" i="5"/>
  <c r="G192" i="5"/>
  <c r="E203" i="5" l="1"/>
  <c r="L203" i="5" s="1"/>
  <c r="L179" i="5"/>
  <c r="I203" i="5"/>
  <c r="H203" i="5"/>
  <c r="H205" i="5" s="1"/>
  <c r="F203" i="5"/>
  <c r="G179" i="5"/>
  <c r="G145" i="5"/>
  <c r="G107" i="5"/>
  <c r="G203" i="5" l="1"/>
  <c r="E205" i="5"/>
  <c r="I208" i="5"/>
  <c r="I211" i="5" s="1"/>
  <c r="I213" i="5" s="1"/>
  <c r="I215" i="5" s="1"/>
  <c r="I205" i="5"/>
  <c r="F205" i="5"/>
  <c r="G205" i="5" l="1"/>
</calcChain>
</file>

<file path=xl/sharedStrings.xml><?xml version="1.0" encoding="utf-8"?>
<sst xmlns="http://schemas.openxmlformats.org/spreadsheetml/2006/main" count="1121" uniqueCount="442">
  <si>
    <t>Dział</t>
  </si>
  <si>
    <t>Rozdział</t>
  </si>
  <si>
    <t>Paragraf</t>
  </si>
  <si>
    <t>Treść</t>
  </si>
  <si>
    <t>%
Wykonania</t>
  </si>
  <si>
    <t>Uwagi</t>
  </si>
  <si>
    <t>Rolnictwo i łowiectwo</t>
  </si>
  <si>
    <t>01010</t>
  </si>
  <si>
    <t>Infrastruktura wodociągowa i sanitacyjna wsi</t>
  </si>
  <si>
    <t>0830</t>
  </si>
  <si>
    <t>Wpływy z usług</t>
  </si>
  <si>
    <t>0920</t>
  </si>
  <si>
    <t>Pozostałe odsetki</t>
  </si>
  <si>
    <t>Dotacja celowa otrzymana z tytułu pomocy finansowej udzielonej między jednostkami samorządu terytorialnego na dofinansowanie własnych zdań inwestycyjnych i zakupów inwestycyjnych</t>
  </si>
  <si>
    <t>Pozostała działalność</t>
  </si>
  <si>
    <t>Dochody z najmu i dzierżawy składników majątkowych Skarbu Państwa, jednostek samorządu terytorialnego lub innych jednostek zaliczanych do sektora finansów publicznych oraz innych umów o podobnym charakterze</t>
  </si>
  <si>
    <t>dzierżawa ziemi i obwody łowieckie</t>
  </si>
  <si>
    <t>Dotacje celowe otrzymane z budżetu państwa na realizację zadań bieżących z zakresu administracji rządowej oraz innych zadań zleconych gminie (związkom gmin) ustawami</t>
  </si>
  <si>
    <t>Dotacja celowa otrzymana z tytułu pomocy finansowej udzielonej między jednostkami samorzadu terytorialnego na dofinansowanie własnych zadań bieżących</t>
  </si>
  <si>
    <t>Rybołówstwo i rybactwo</t>
  </si>
  <si>
    <t>Wpływy z różnych opłat</t>
  </si>
  <si>
    <t>Transport i łączność</t>
  </si>
  <si>
    <t>Drogi publiczne gminne</t>
  </si>
  <si>
    <t>Wpływy z innych lokalnych opłat pobieranych przez jednostki samorządu terytorialnego na podstawie odrębnych ustaw</t>
  </si>
  <si>
    <t>0910</t>
  </si>
  <si>
    <t>Odsetki od nietreminowych wpłat z tytułu podatków i opłat</t>
  </si>
  <si>
    <t>0970</t>
  </si>
  <si>
    <t>Wpływy z różnych dochodów</t>
  </si>
  <si>
    <t>Turystyka</t>
  </si>
  <si>
    <t>Środki na dofinansowanie własnych inwestycji gmin (związków gmin), powiatów (związków powiatów), samorządów województw, pozyskane z innych źródeł</t>
  </si>
  <si>
    <t>Gospodarka mieszkaniowa</t>
  </si>
  <si>
    <t>Gospodarka gruntami i nieruchomościami</t>
  </si>
  <si>
    <t>Wpływy z opłat za trwały zarząd, użytkowanie, służebność i użytkowanie wieczyste nieruchomości</t>
  </si>
  <si>
    <t>Slużebność Salzgiter 38400 + wieczyste 87.000</t>
  </si>
  <si>
    <t>0730</t>
  </si>
  <si>
    <t>Wpłaty z zysku przedsiębiorstw państwowych, jednosobowych spółek Skarbu Państwa i spółek jednostek samorzadu terytorialnego</t>
  </si>
  <si>
    <t>Wpływy z tytułu przekształcenia prawa użytkowania wieczystego przysługującego osobom fizycznym w prawo własności</t>
  </si>
  <si>
    <t>Wpłaty z tytułu odpłatnego nabycia prawa własności oraz prawa użytkowania wieczystego nieruchomości</t>
  </si>
  <si>
    <t>Środki na dofinansowanie własnych zadań bieżących gmin (związków gmin), powiatów (związków powiatów), samorządów województw, pozyskane z innych źródeł</t>
  </si>
  <si>
    <t>Administracja publiczna</t>
  </si>
  <si>
    <t>Urzędy wojewódzkie</t>
  </si>
  <si>
    <t>Dochody jednostek samorządu terytorialnego związane z realizacją zadań z zakresu administracji rządowej oraz innych zadań zleconych ustawami</t>
  </si>
  <si>
    <t>Urzędy gmin (miast i miast na prawach powiatu)</t>
  </si>
  <si>
    <t>Grzywny, mandaty i inne kary pieniężne od osób fizycznych</t>
  </si>
  <si>
    <t>0870</t>
  </si>
  <si>
    <t>Urzędy naczelnych organów władzy państwowej, kontroli i ochrony prawa oraz sądownictwa</t>
  </si>
  <si>
    <t>Urzędy naczelnych organów władzy państwowej, kontroli i ochrony prawa</t>
  </si>
  <si>
    <t>Wybory do rad gmin, rad powiatów i sejmików województw, wybory wójtów, burmistrzów i prezydentów miast oraz referenda gminne, powiatowe i wojewódzkie</t>
  </si>
  <si>
    <t>Ochrona przeciwpożarowa</t>
  </si>
  <si>
    <t>Dochody od osób prawnych, od osób fizycznych i od innych jednostek nieposiadających osobowości prawnej oraz wydatki związane z ich poborem</t>
  </si>
  <si>
    <t>Wpływy z podatku dochodowego od osób fizycznych</t>
  </si>
  <si>
    <t>Podatek od działalności gospodarczej osób fizycznych, opłacany w formie karty podatkowej</t>
  </si>
  <si>
    <t>Wpływy z podatku rolnego, podatku leśnego, podatku od czynności cywilnoprawnych, podatków i opłat lokalnych od osób prawnych i innych jednostek organizacyjnych</t>
  </si>
  <si>
    <t>Podatek od nieruchomości</t>
  </si>
  <si>
    <t>Podatek rolny</t>
  </si>
  <si>
    <t>Podatek leśny</t>
  </si>
  <si>
    <t>Podatek od środków transportowych</t>
  </si>
  <si>
    <t>Podatek od czynności cywilnoprawnych</t>
  </si>
  <si>
    <t>Rekompensaty utraconych dochodów w podatkach i opłatach lokalnych</t>
  </si>
  <si>
    <t>Wpływy z podatku rolnego, podatku leśnego, podatku od spadków i darowizn, podatku od czynności cywilnoprawnych oraz podatków i opłat lokalnych od osób fizycznych</t>
  </si>
  <si>
    <t>Podatek od spadków i darowizn</t>
  </si>
  <si>
    <t>Wpływy z opłaty targowej</t>
  </si>
  <si>
    <t>Zaległości z tytułu podatków i opłat zniesionych</t>
  </si>
  <si>
    <t>Wpływy z innych opłat stanowiących dochody jednostek samorządu terytorialnego na podstawie ustaw</t>
  </si>
  <si>
    <t>Wpływy z opłaty skarbowej</t>
  </si>
  <si>
    <t>Wpływy z opłat za zezwolenia na sprzedaż alkoholu</t>
  </si>
  <si>
    <t>Udziały gmin w podatkach stanowiących dochód budżetu państwa</t>
  </si>
  <si>
    <t>Podatek dochodowy od osób fizycznych</t>
  </si>
  <si>
    <t>Podatek dochodowy od osób prawnych</t>
  </si>
  <si>
    <t>Różne rozliczenia</t>
  </si>
  <si>
    <t xml:space="preserve">Część oświatowa subwencji ogólnej dla jednostek samorządu terytorialnego </t>
  </si>
  <si>
    <t>Subwencje ogólne z budżetu państwa</t>
  </si>
  <si>
    <t>Część wyrównawcza subwencji ogólnej dla gmin</t>
  </si>
  <si>
    <t>Różne rozliczenia finansowe</t>
  </si>
  <si>
    <t>Dotacje celowe otrzymane z budżetu państwa na realizację własnych zadań bieżących gmin (związków gmin)</t>
  </si>
  <si>
    <t>Część równoważąca subwencji ogólnej dla gmin</t>
  </si>
  <si>
    <t>Oświata i wychowanie</t>
  </si>
  <si>
    <t>Szkoły podstawowe</t>
  </si>
  <si>
    <t>Oddziały przedszkolne w szkołach podstawowych</t>
  </si>
  <si>
    <t>Przedszkola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</si>
  <si>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</si>
  <si>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</si>
  <si>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Dotacje celowe otrzymane z gminy na zadania bieżące realizowane na podstawie porozumień (umów) między jednostkami samorządu terytorialnego</t>
  </si>
  <si>
    <t>Wpływy ze zwrotów dotacji oraz płatności, w tym wykorzystanych niezgodnie z przeznaczeniem lub wykorzystanych z naruszeniem procedur, o których mowa w art. 184 ustawy, pobranych nienależnie lub w nadmiernej wysokości</t>
  </si>
  <si>
    <t>Gimnazja</t>
  </si>
  <si>
    <t>0690</t>
  </si>
  <si>
    <t>Stołówki szkolne i przedszkolne</t>
  </si>
  <si>
    <t>Pomoc społeczna</t>
  </si>
  <si>
    <t>Wspieranie rodziny</t>
  </si>
  <si>
    <t>Świadczenia rodzinne, świadczenia z funduszu alimentacyjnego oraz składki na ubezpieczenia emerytalne i rentowe z ubezpieczenia społecznego</t>
  </si>
  <si>
    <t>Składki na ubezpieczenie zdrowotne opłacane za osoby pobierające niektóre świadczenia z pomocy społecznej, niektóre świadczenia rodzinne oraz za osoby uczestniczące w zajęciach w centrum integracji społecznej</t>
  </si>
  <si>
    <t>Zasiłki i pomoc w naturze oraz składki na ubezpieczenia emerytalne i rentowe</t>
  </si>
  <si>
    <t>Dodatki mieszkaniowe</t>
  </si>
  <si>
    <t>Zasiłki stałe</t>
  </si>
  <si>
    <t>Ośrodki pomocy społecznej</t>
  </si>
  <si>
    <t>Usługi opiekuńcze i specjalistyczne usługi opiekuńcze</t>
  </si>
  <si>
    <t>Edukacyjna opieka wychowawcza</t>
  </si>
  <si>
    <t>Pomoc materialna dla uczniów</t>
  </si>
  <si>
    <t>Dotacje celowe otrzymane z budżetu państwa na realizację zadań bieżących gmin z zakresu edukacyjnej opieki wychowawczej finansowanych w całości przez budżet państwa w ramach programów rządowych</t>
  </si>
  <si>
    <t>Gospodarka komunalna i ochrona środowiska</t>
  </si>
  <si>
    <t>Gospodarka ściekowa i ochrona wód</t>
  </si>
  <si>
    <t>Gospodarka odpadami</t>
  </si>
  <si>
    <t>0490</t>
  </si>
  <si>
    <t>0750</t>
  </si>
  <si>
    <t>Wpływy i wydatki związane z gromadzeniem środków z opłat i kar za korzystanie ze środowiska</t>
  </si>
  <si>
    <t>0580</t>
  </si>
  <si>
    <t>Kultura i ochrona dziedzictwa narodowego</t>
  </si>
  <si>
    <t>Pozostałe zadania w zakresie kultury</t>
  </si>
  <si>
    <t>Domy i ośrodki kultury, świetlice i kluby</t>
  </si>
  <si>
    <t>Kultura fizyczna</t>
  </si>
  <si>
    <t>Razem</t>
  </si>
  <si>
    <t>z tego:</t>
  </si>
  <si>
    <t>Dochody planowane</t>
  </si>
  <si>
    <t>Pożyczka WFOŚiGW</t>
  </si>
  <si>
    <t>Kredyt Bank Pocztowy</t>
  </si>
  <si>
    <t>spłata rat kredytu</t>
  </si>
  <si>
    <t>wynik</t>
  </si>
  <si>
    <t>Wydatki planowane</t>
  </si>
  <si>
    <t>Brakująca kwota</t>
  </si>
  <si>
    <t>Rogoźno, dnia 05.11.2012 roku</t>
  </si>
  <si>
    <t>udziały w PIT</t>
  </si>
  <si>
    <t>udziały w CIT</t>
  </si>
  <si>
    <t>podatki i opłaty</t>
  </si>
  <si>
    <t>w tym:</t>
  </si>
  <si>
    <t>F sołecki</t>
  </si>
  <si>
    <t>Ochrona środowiska</t>
  </si>
  <si>
    <t>WNiGN</t>
  </si>
  <si>
    <t>Straż Miejska</t>
  </si>
  <si>
    <t>WOiSO</t>
  </si>
  <si>
    <t>WF</t>
  </si>
  <si>
    <t>GPRPAiN</t>
  </si>
  <si>
    <t>WRGiP</t>
  </si>
  <si>
    <t>GOPS</t>
  </si>
  <si>
    <t>Oświata</t>
  </si>
  <si>
    <t>OGÓŁEM:</t>
  </si>
  <si>
    <t>Melioracje wodne</t>
  </si>
  <si>
    <t>Dotacja celowa z budżetu na finansowanie lub dofinansowanie zadań zleconych do realizacji pozostałym jednostkom nie zaliczanym do sektora finansów publicznych</t>
  </si>
  <si>
    <t>Izby rolnicze</t>
  </si>
  <si>
    <t>Wpłaty gmin na rzecz izb rolniczych w wysokości 2% uzyskanych wpływów z podatku rolnego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</si>
  <si>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</si>
  <si>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</si>
  <si>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</si>
  <si>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</si>
  <si>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</si>
  <si>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</si>
  <si>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>Różne opłaty i składki</t>
  </si>
  <si>
    <t>Szkolenia pracowników niebędących członkami korpusu służby cywilnej</t>
  </si>
  <si>
    <t>Wydatki inwestycyjne jednostek budżetowych</t>
  </si>
  <si>
    <t>Wynagrodzenia bezosobowe</t>
  </si>
  <si>
    <t>Zakup energii</t>
  </si>
  <si>
    <t>Lokalny transport zbiorowy</t>
  </si>
  <si>
    <t>Dotacje celowe przekazane gminie na zadania bieżące na podstawie porozumień (umów) między jednostkami samorządu terytorialnego</t>
  </si>
  <si>
    <t>Drogi publiczne powiatowe</t>
  </si>
  <si>
    <t>Dotacja celowa na pomoc finansową udzieloną między jednostkami samorządu terytorialnego na dofinansowanie własnych zadań inwestycyjnych i zakupów inwestycyjnych</t>
  </si>
  <si>
    <t>Zakup usług remontowych</t>
  </si>
  <si>
    <t>Kary i odszkodowania wypłacane na rzecz osób fizycznych</t>
  </si>
  <si>
    <t>Zakłady gospodarki mieszkaniowej</t>
  </si>
  <si>
    <t>Dotacja przedmiotowa z budżetu dla samorządowego zakładu budżetowego</t>
  </si>
  <si>
    <t>Zakup usług rtemontowych</t>
  </si>
  <si>
    <t>Pozostałe podatki na rzecz budżetów jednostek samorządu terytorialnego</t>
  </si>
  <si>
    <t>Opłaty na rzecz budżetów jednostek samorządu terytorialnego</t>
  </si>
  <si>
    <t>Podstek od towarów i usług (VAT)</t>
  </si>
  <si>
    <t>Kary i odszkodowania wypłacane na rzecz osób prawnych i innych jednostek organizacyjnych</t>
  </si>
  <si>
    <t>Koszty postępowania sądowego i prokuratorskiego</t>
  </si>
  <si>
    <t>Wydatki na zakupy inwestycyjne jednostek budżetowych</t>
  </si>
  <si>
    <t>Działalność usługowa</t>
  </si>
  <si>
    <t>Opracowania geodezyjne i kartograficzne</t>
  </si>
  <si>
    <t>Cmentarze</t>
  </si>
  <si>
    <t>zlecone</t>
  </si>
  <si>
    <t>Dodatkowe wynagrodzenie roczne</t>
  </si>
  <si>
    <t>zlecone aktualizacja oprogramowania</t>
  </si>
  <si>
    <t>Rady gmin (miast i miast na prawach powiatu)</t>
  </si>
  <si>
    <t>Różne wydatki na rzecz osób fizycznych</t>
  </si>
  <si>
    <t>Podróże służbowe zagraniczne</t>
  </si>
  <si>
    <t>Wydatki osobowe niezaliczone do wynagrodzeń</t>
  </si>
  <si>
    <t>Wynagrodzenia osobowe pracowników
w tym:</t>
  </si>
  <si>
    <t>Straż miejska</t>
  </si>
  <si>
    <t>Dodatkowe wynagrodzenie roczne
w tym:</t>
  </si>
  <si>
    <t>Składki na ubezpieczenia społeczne
w tym:</t>
  </si>
  <si>
    <t>Składki na Fundusz Pracy
w tym:</t>
  </si>
  <si>
    <t>Wpłaty na Państwowy Fundusz Rehabilitacji Osób Niepełnosprawnych</t>
  </si>
  <si>
    <t>WO 9.000+ WF</t>
  </si>
  <si>
    <t xml:space="preserve">minuzs zlecone </t>
  </si>
  <si>
    <t>Zakup leków, wyrobów medycznych i produktów biobójczych</t>
  </si>
  <si>
    <t>Zakup pomocy naukowych, dydaktycznych i książek</t>
  </si>
  <si>
    <t>Zakup usług zdrowotnych</t>
  </si>
  <si>
    <t>minus zlecone -</t>
  </si>
  <si>
    <t>Opłaty z tytułu zakupu usług telekomunikacyjnych świadczonych w ruchomej publicznej sieci telefonicznej</t>
  </si>
  <si>
    <t>Zakup usług obejmujacych tłumaczenia</t>
  </si>
  <si>
    <t>Zakup usług obejmujących wykonanie ekspertyz, analiz i opinii</t>
  </si>
  <si>
    <t xml:space="preserve">WF minus zlecone </t>
  </si>
  <si>
    <t>Odpisy na zakładowy fundusz świadczeń socjalnych</t>
  </si>
  <si>
    <t>Promocja jednostek samorządu terytorialnego</t>
  </si>
  <si>
    <t>Wynagrodzenia agencyjno-prowizyjne</t>
  </si>
  <si>
    <t>WF oplata skarbowa + inkaso sołtysi</t>
  </si>
  <si>
    <t>Bezpieczeństwo publiczne i ochrona przeciwpożarowa</t>
  </si>
  <si>
    <t>Komendy wojewódzkie Policji</t>
  </si>
  <si>
    <t>Wpłaty jednostek na państwowy fundusz celowy</t>
  </si>
  <si>
    <t>Ochotnicze straże pożarne</t>
  </si>
  <si>
    <t>Dotacja celowa z budżetu na finansowanie lub dofinansowanie zadań zleconych do realizacji stowarzyszeniom</t>
  </si>
  <si>
    <t>Wynagrodzenie bezosobowe</t>
  </si>
  <si>
    <t>Zakup usłyg remontowych</t>
  </si>
  <si>
    <t>Dotacje celowe z budżetu na finansowanie lub dofinansowanie kosztów realizacji inwestycji i zakupów inwestycyjnych jednostek nie zaliczanych do sektora finansów publicznych</t>
  </si>
  <si>
    <t>sam.OSP Parkowo</t>
  </si>
  <si>
    <t>Obrona cywilna</t>
  </si>
  <si>
    <t>Straż gminna (miejska)</t>
  </si>
  <si>
    <t>Obsługa długu publicznego</t>
  </si>
  <si>
    <t>Obsługa papierów wartościowych, kredytów i pożyczek jednostek samorządu terytorialnego</t>
  </si>
  <si>
    <t>Odsetki od samorządowych papierów wartościowych lub zaciągniętych przez jednostkę samorządu terytorialnego kredytów i pożyczek</t>
  </si>
  <si>
    <t>Rezerwy ogólne i celowe</t>
  </si>
  <si>
    <t>Rezerwy</t>
  </si>
  <si>
    <t>celowa: zarządzanie kryzysowe</t>
  </si>
  <si>
    <t>ogólna: od 0,1-1%</t>
  </si>
  <si>
    <t>Stypendia dla uczniów</t>
  </si>
  <si>
    <t>Gmina Oborniki</t>
  </si>
  <si>
    <t>Miasto Pila</t>
  </si>
  <si>
    <t>Gmina Wągrowiec</t>
  </si>
  <si>
    <t>Miasto Wągrowiec</t>
  </si>
  <si>
    <t>Gmina Skoki</t>
  </si>
  <si>
    <t>Dotacja podmiotowa z budżetu dla niepublicznej jednostki systemu oświaty</t>
  </si>
  <si>
    <t>Zakup środków żywności</t>
  </si>
  <si>
    <t>Dotacje celowe przekazane dla powiatu na zadania bieżące realizowane na podstawie porozumień (umów) między jednostkami samorządu terytorialnego</t>
  </si>
  <si>
    <t>Gimnazjum Nr 2 w tym 3.564 SZS</t>
  </si>
  <si>
    <t>Niepubliczne Gimnazjium przy LO</t>
  </si>
  <si>
    <t>Dowożenie uczniów do szkół</t>
  </si>
  <si>
    <t>Zespoły obsługi ekonomiczno-administracyjnej szkół</t>
  </si>
  <si>
    <t>Dokształcanie i doskonalenie nauczycieli</t>
  </si>
  <si>
    <t>Ochrona zdrowia</t>
  </si>
  <si>
    <t>Zwalczanie narkomanii</t>
  </si>
  <si>
    <t>Przeciwdziałanie alkoholizmowi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</si>
  <si>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</si>
  <si>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Zadania w zakresie przeciwdziałania przemocy w rodzinie</t>
  </si>
  <si>
    <t>Zakup usług przez jednostki samorządu terytorialnego od innych jednostek samorządu teretorialnego</t>
  </si>
  <si>
    <t>Zwrot dotacji oraz płatności, w tym  wykorzystanych niezgodnie z przeznaczeniem lub wykorzystanych z naruszeniem procedur, o których mowa w art. 184 ustawy, pobranych nienależnie lub w nadmiernej wysokości</t>
  </si>
  <si>
    <t>Świadczenia społeczne</t>
  </si>
  <si>
    <t>Opłaty za administrowanie i czynsze za budynki, lokale i pomieszczenia garażowe</t>
  </si>
  <si>
    <t>Odsetki od dotacji wykorzystanych niezgodnie z przeznaczeniem lub pobranych w nadmiernej wysokości</t>
  </si>
  <si>
    <t>Składki na ubezpieczenie zdrowotne opłacane za osoby pobierajace niektóre świadczenia z pomocy społecznej, niektóre świadczenia rodzinne oraz za osoby uczestniczące w zajęciach w centrum integracji społecznej</t>
  </si>
  <si>
    <t>Składki na ubezpieczenie zdrowotne</t>
  </si>
  <si>
    <t>w tym zadanie zlecone 0,00</t>
  </si>
  <si>
    <t>Zakup usług przez jednostki samorządu terytorialnego od innych jednostek samorządu terytorialnego</t>
  </si>
  <si>
    <t>bez dotacji na dożywianie</t>
  </si>
  <si>
    <t>Świetlice szkolne</t>
  </si>
  <si>
    <t>Inne formy pomocy dla uczniów</t>
  </si>
  <si>
    <t xml:space="preserve">OŚ </t>
  </si>
  <si>
    <t>OŚ</t>
  </si>
  <si>
    <t>OŚ-20.000,-+ śmieci 10.000,-</t>
  </si>
  <si>
    <t>egzekucja opł.śmieciowej</t>
  </si>
  <si>
    <t>Oczyszczanie miast i wsi</t>
  </si>
  <si>
    <t>Utrzymanie zieleni w miastach i gminach</t>
  </si>
  <si>
    <t>rondo w Rudzie i J. Melcera</t>
  </si>
  <si>
    <t>Schroniska dla zwierząt</t>
  </si>
  <si>
    <t>Dotacje celowe przekazane gminie na zadania bieżące realizowane na podstawie porozumień (umów) między jednostkami samorządu terytorialnego</t>
  </si>
  <si>
    <t>WF 80 psów*1200+26psów pobyt stały w schronisku *600</t>
  </si>
  <si>
    <t>WGN</t>
  </si>
  <si>
    <t>Oświetlenie ulic, placów i dróg</t>
  </si>
  <si>
    <t>Gimn. 1 6.000+ ZS Gosciejewo 3.000+ZS Parkowo 3.000</t>
  </si>
  <si>
    <t>Dotacja podmiotowa z budżetu dla samorządowej instytucji kultury</t>
  </si>
  <si>
    <t>FS 1.325,-</t>
  </si>
  <si>
    <t>FS 1000</t>
  </si>
  <si>
    <t>Dotacje celowe z budżetu na finansowanie lub dofinansowanie kosztów realizacji inwestycji i zakupów inwestycyjnych innych jednostek sektora finansów publicznych</t>
  </si>
  <si>
    <t>świetlice</t>
  </si>
  <si>
    <t>Biblioteki</t>
  </si>
  <si>
    <t>FS Parkowo</t>
  </si>
  <si>
    <t>Muzea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</si>
  <si>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</si>
  <si>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</si>
  <si>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FS</t>
  </si>
  <si>
    <t>Obiekty sportowe</t>
  </si>
  <si>
    <t>SP3</t>
  </si>
  <si>
    <t>Sp3</t>
  </si>
  <si>
    <t>SP 3</t>
  </si>
  <si>
    <t>SP3 11.000,- Gmina 1.000,-</t>
  </si>
  <si>
    <t>Gmina  3.000</t>
  </si>
  <si>
    <t>Rezerwa na zarządzanie kryzysowe winna wynosić zgodnie z art. 26 ust. 4 ustawy o zarządzaniu kryzysowym 0,5% wg następującego wyliczenia:</t>
  </si>
  <si>
    <t>wydatki budżetu</t>
  </si>
  <si>
    <t>minus wydatki inwestycyjne</t>
  </si>
  <si>
    <t>munus wynagrodzenia i pochodne</t>
  </si>
  <si>
    <t>minus obsługa dłudu</t>
  </si>
  <si>
    <t>Razem podstawa naliczenia</t>
  </si>
  <si>
    <t>x 0,5%</t>
  </si>
  <si>
    <t>przyjęto:</t>
  </si>
  <si>
    <t>A.</t>
  </si>
  <si>
    <t>Zobowiązanie
zaciągnięte</t>
  </si>
  <si>
    <t>Stan zadłużenia na dzień 31.12.2014r.</t>
  </si>
  <si>
    <t>Do spłaty</t>
  </si>
  <si>
    <t>Stan zadłużenia na 31.12.</t>
  </si>
  <si>
    <t>Bank Pocztowy S.A.  Bydgoszcz</t>
  </si>
  <si>
    <t>K</t>
  </si>
  <si>
    <t>O</t>
  </si>
  <si>
    <t>R</t>
  </si>
  <si>
    <t>BS Czarnków</t>
  </si>
  <si>
    <t xml:space="preserve">ING Bank Śląski w Poznaniu
</t>
  </si>
  <si>
    <t>RAZEM: A</t>
  </si>
  <si>
    <t>B.1</t>
  </si>
  <si>
    <t>Wnioskowane
zobowiązanie -kredyt</t>
  </si>
  <si>
    <t xml:space="preserve"> RAZEM: Wnioskowane 
zobowiązanie
(B1)</t>
  </si>
  <si>
    <t>OGÓŁEM: A+B</t>
  </si>
  <si>
    <t>C.</t>
  </si>
  <si>
    <t>Poręczenia i gwarancje</t>
  </si>
  <si>
    <t>D.</t>
  </si>
  <si>
    <t>Zobowiązania krótkoterminowe</t>
  </si>
  <si>
    <t>OGÓŁEM: A+B+C+D</t>
  </si>
  <si>
    <t xml:space="preserve">w tym :  </t>
  </si>
  <si>
    <t>podatek od nieruchomości</t>
  </si>
  <si>
    <t>subwencja ogólna</t>
  </si>
  <si>
    <t>w tym :</t>
  </si>
  <si>
    <t>Dochody bieżące</t>
  </si>
  <si>
    <t>Dochody majątkowe</t>
  </si>
  <si>
    <t>dotacje i środków na inwestycje</t>
  </si>
  <si>
    <t>dotacje i środki na cele bieżące</t>
  </si>
  <si>
    <t>ze sprzedaży majątku</t>
  </si>
  <si>
    <t>Wydatki bieżące</t>
  </si>
  <si>
    <t>Wydatki majątkowe</t>
  </si>
  <si>
    <t>Drogi publiczne wojewódzkie</t>
  </si>
  <si>
    <t>- Przedszkole niepubliczne "MOTYLEK"</t>
  </si>
  <si>
    <t>- Przedszkole niepubliczne "PRZEMYSŁAW"</t>
  </si>
  <si>
    <t>- Przedszkole niepubliczne- "Akademia Małych Odkrywców"</t>
  </si>
  <si>
    <t>Wpłaty jednostek na państwowy fundusz celowy na finansowanie lub dofinansowanie zadań inwestycyjnych</t>
  </si>
  <si>
    <t>a) wynagrodzenia i składki od nich naliczone</t>
  </si>
  <si>
    <t>b) wydatki związane z realizacją statutowych zadań</t>
  </si>
  <si>
    <t>1. Wydatki jednostek budżetowych</t>
  </si>
  <si>
    <t>2) dotacje na zadania bieżące</t>
  </si>
  <si>
    <t>3) świadczenia na rzecz osób fizycznych</t>
  </si>
  <si>
    <t xml:space="preserve">1) wydatki na projekty finansowe z udziałem środków, o których mowa  w art.5 ust.1 pkt 2 i 3 </t>
  </si>
  <si>
    <t>2) wydatki majątkowe w formie dotacji celowych</t>
  </si>
  <si>
    <r>
      <t>3)</t>
    </r>
    <r>
      <rPr>
        <i/>
        <sz val="9"/>
        <rFont val="Times New Roman"/>
        <family val="1"/>
        <charset val="238"/>
      </rPr>
      <t> </t>
    </r>
    <r>
      <rPr>
        <i/>
        <sz val="9"/>
        <rFont val="Arial"/>
        <family val="2"/>
        <charset val="238"/>
      </rPr>
      <t>pozostałe</t>
    </r>
    <r>
      <rPr>
        <i/>
        <sz val="9"/>
        <rFont val="Times New Roman"/>
        <family val="1"/>
        <charset val="238"/>
      </rPr>
      <t xml:space="preserve"> </t>
    </r>
    <r>
      <rPr>
        <i/>
        <sz val="9"/>
        <rFont val="Arial"/>
        <family val="2"/>
        <charset val="238"/>
      </rPr>
      <t>wydatki majątkowe</t>
    </r>
  </si>
  <si>
    <t>czysczenie separatorów 50.000 +OŚ 20.000 badanie wód opadowych</t>
  </si>
  <si>
    <t>Plan i wykonanie wydatków budżetu Gminy Rogoźno za 2015 rok - stan na 30.09.2015r. w porównianiu z projektem planu wydatków na 2016 rok (wskaźnik procentowy) oraz przewidywane wykonanie wydatków na koniec 2015 roku</t>
  </si>
  <si>
    <t>Załącznik Nr 2 - materiały informacyjne 
do projektu budżetu 2016.</t>
  </si>
  <si>
    <t>Załącznik Nr 1 - materiały informacyjne 
do projektu budżetu 2016r.</t>
  </si>
  <si>
    <t>Plan i wykonanie dochodów budżetu Gminy Rogoźno za 2015 rok - stan na 30.09.2015 r. w porównianiu z projektem planu dochodów na 2016 rok (wskaźnik procentowy) oraz przewidywane wykonanie dochodów na koniec 2015 roku</t>
  </si>
  <si>
    <t>na dzien 31.08.2015 Plan</t>
  </si>
  <si>
    <t>Prognoza długu na lata 2016 - 2026
Gminy Rogoźno
Załącznik Nr 3 - materiały informacyjne
do projektu budżetu 2016 roku</t>
  </si>
  <si>
    <t>Plan na 30.09.2015r.</t>
  </si>
  <si>
    <t>Wykonanie na 30.09.2015r.</t>
  </si>
  <si>
    <t>Przewidywane wykonanie dochodów na koniec 2015 roku</t>
  </si>
  <si>
    <t>Plan  na 2016 rok</t>
  </si>
  <si>
    <t>% wskaźnik wzrostu/spadku do planu budżetu 2015 r.</t>
  </si>
  <si>
    <t>Plan  na dzień 30.09.2015r.</t>
  </si>
  <si>
    <t>Przewidywane wykonanie wydatków na koniec 2015 roku</t>
  </si>
  <si>
    <t>%
 wskaźnik wzrostu/spadku do planu budżetu 2015 r.</t>
  </si>
  <si>
    <t>020</t>
  </si>
  <si>
    <t>Leśnictwo</t>
  </si>
  <si>
    <t>02001</t>
  </si>
  <si>
    <t>Gospodarka leśna</t>
  </si>
  <si>
    <t>Wybory Prezydenta Rzeczypospolitej Polskiej</t>
  </si>
  <si>
    <t>Wybory do Sejmu i Senatu</t>
  </si>
  <si>
    <t>Referenda ogólnokrajowe i konstytucyjne</t>
  </si>
  <si>
    <t>Dotacje celowe otrzymane z budżetu państwa na realizację inwestycji i zakupów inwestycyjnych własnych gmin (związków gmin)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</si>
  <si>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</si>
  <si>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Nagrody konkursowe</t>
  </si>
  <si>
    <t>Szpitale ogólne</t>
  </si>
  <si>
    <t>Wpływy ze sprzedaży składników majatkowych</t>
  </si>
  <si>
    <t>0660</t>
  </si>
  <si>
    <t>0670</t>
  </si>
  <si>
    <t>Wpływy z opłat za korzystanie z wychowania przedszkolnego</t>
  </si>
  <si>
    <t>Wpływy z opłat za korzystanie z wyżywienia w jednostkach realizujących zadania z zakresu wychowania przedszkolnego</t>
  </si>
  <si>
    <t>wpływy z przekształcenia prawa użytkowania wieczystego przysługującego osobom fizycznym w prawo własności</t>
  </si>
  <si>
    <t>Wpływy z tytułu grzywien i innych kar pieniężnych od osób prawnych i innych jednostek organizacyjnych</t>
  </si>
  <si>
    <t>Odsetki od dotacji oraz płatności: wykorzystanych niezgodnie z przeznaczeniem lub wykorzystanych z naruszeniem procedur, o których mowa w art.. 184 ustawy, pobranych nienależnie lub w nadmiernej wysokości</t>
  </si>
  <si>
    <t>Zwrot dotacji oraz płatności, w tym wykorzystanych niezgodnie z przeznaczeniem lub wykorzystanych z naruszeniem procedur, o których mowa w art.. 184 ustawy, pobranych nienależnie lub w nadmiernej wysokości, dotyczące wydatków majątkowych</t>
  </si>
  <si>
    <t>Wybory Prezydenta Rzeczypospolitej</t>
  </si>
  <si>
    <t xml:space="preserve">Opłata z tytułu zakupu usług telekomunikacyjnych </t>
  </si>
  <si>
    <t xml:space="preserve">Opłaty z tytułu zakupu usług telekomunikacyjnych </t>
  </si>
  <si>
    <t>Realizacja zadań wymagających stosowania specjalnej organizacji nauki i metod pracy dla dzieci w przedszkolach, oddziałach przedszkolnych w szkołach podstawowych i innych form wychowania przedszkolnego</t>
  </si>
  <si>
    <t>Realizacja zadań wymagających stosowania specjalnej organizacji nauki i metod pracy dla dzieci  i młodzieży w szkołach podstawowych, gimnazjach, liceach ogólnokształcących, liceach profilowanych i szkołach zawaodowych oraz szkołach artystycznych</t>
  </si>
  <si>
    <t>- Niepubliczne Gimnazjum przy LO</t>
  </si>
  <si>
    <t>Dotacja celowa na pomoc finnansową udzieloną miedzy jednostkami samorządu terytorialnego na dofinansowanie własnych zadań bieżących</t>
  </si>
  <si>
    <t>Placowki opiekuńczo wychowawcze</t>
  </si>
  <si>
    <t>Domy pomocy społecznej</t>
  </si>
  <si>
    <t>Rodziny zastępcze</t>
  </si>
  <si>
    <t>Opłatyz tytułu zakupu usług telekomunikacyjnych</t>
  </si>
  <si>
    <t>Zuaku usług remontowych</t>
  </si>
  <si>
    <t xml:space="preserve">4) wydatki na projekty finansowe z udziałem środków, o których mowa  w art.5 ust.1 pkt 2 i 3 </t>
  </si>
  <si>
    <r>
      <t>5)</t>
    </r>
    <r>
      <rPr>
        <i/>
        <sz val="9"/>
        <rFont val="Times New Roman"/>
        <family val="1"/>
        <charset val="238"/>
      </rPr>
      <t xml:space="preserve"> </t>
    </r>
    <r>
      <rPr>
        <i/>
        <sz val="9"/>
        <rFont val="Arial"/>
        <family val="2"/>
        <charset val="238"/>
      </rPr>
      <t>obsługę długu – odsetki od kredytów i pożyczek</t>
    </r>
  </si>
  <si>
    <t>Przebudowa drogi powiatowej nr 2029P</t>
  </si>
  <si>
    <t>II rata za Agrobiznes 256.152,-+ogrody działkowe od SM 250.000,-+regulacje Brzozowa , Spokojna i inne 147.848,-</t>
  </si>
  <si>
    <t>Plany zagospodarowania przestrzennego</t>
  </si>
  <si>
    <t>projekt przebudowy budynku przy Fabrycznej- lok. socjalne</t>
  </si>
  <si>
    <t>ubezpieczenie sołtysów 1.020+ składki członkowskie w Stowarzyeniach 65.000</t>
  </si>
  <si>
    <t xml:space="preserve"> ubezp.majątku13.000,-</t>
  </si>
  <si>
    <t>Serwer usługi domentowej</t>
  </si>
  <si>
    <t>OŚ-30.000,-+śmieci 1995500 (25000 przesyłki+ obsł.systemu 1.967000,-+ aktualizacja oprogramowania 3.500,-)</t>
  </si>
  <si>
    <t>WRGiP =zdroje uliczne 30.000 +targowiso 20.000</t>
  </si>
  <si>
    <t>OŚ +5000,-+ targowisko +15.000,-</t>
  </si>
  <si>
    <t>monitornik targowiska</t>
  </si>
  <si>
    <t>WRGiP targowisko</t>
  </si>
  <si>
    <t>WF Adm.66795+straż 4.605=70.764,-</t>
  </si>
  <si>
    <t>Serwer</t>
  </si>
  <si>
    <t>24*708,24*12</t>
  </si>
  <si>
    <t>84*708,24*12</t>
  </si>
  <si>
    <t>40*708,24*12</t>
  </si>
  <si>
    <t>malowanie</t>
  </si>
  <si>
    <t>w tym: obsługa prawna 30.000+ 1200,- ABI</t>
  </si>
  <si>
    <t>AGROBIZNES</t>
  </si>
  <si>
    <t>WN 130.000+7000 AGROBIZNES</t>
  </si>
  <si>
    <t>Gmina 5.000,- SP3 9.000</t>
  </si>
  <si>
    <t>Stroje dla orkiestry Detej +50000+ dotacja podmiotowa RCK 835.000</t>
  </si>
  <si>
    <t>Centra integracji społecznej</t>
  </si>
  <si>
    <t xml:space="preserve"> Ogółem 2.553800 minus zad zlecone   </t>
  </si>
  <si>
    <t>2.384805 - zad.zlecone</t>
  </si>
  <si>
    <t>185.038 minus zad.zlecone</t>
  </si>
  <si>
    <t>458.583 minus zad.zlecone</t>
  </si>
  <si>
    <t>52954 minus zad.zlecone</t>
  </si>
  <si>
    <t>F.solecki Odnowa Wsi</t>
  </si>
  <si>
    <t>Wydz.GN. Znaki pionowe 6.000,- + FS10.003,17 + WRGIP 142000,-</t>
  </si>
  <si>
    <t>budżet 610.000+FS +17990,61</t>
  </si>
  <si>
    <t>budżet 10.000+FS 2000</t>
  </si>
  <si>
    <t>FS= 4.000+ budżet 150.000</t>
  </si>
  <si>
    <t>FS +1800</t>
  </si>
  <si>
    <t>WG 21.000 +FS 9.200 +OŚ 50.000</t>
  </si>
  <si>
    <t xml:space="preserve">OŚ 50.000 ,-+ FS 1.000 + budżet +30.000 ,-(tj. obsadzenia i wywóz na wysypisko + , rondo Piłsudskiego,-) </t>
  </si>
  <si>
    <t>budżet gminy WRGiP +300.000+ FS 2.000</t>
  </si>
  <si>
    <t>FS= 704,-</t>
  </si>
  <si>
    <t>FS=109,-</t>
  </si>
  <si>
    <t>FS=4.080</t>
  </si>
  <si>
    <t>Budżet 5.000,-+FS  51939,93</t>
  </si>
  <si>
    <t>budżet 50.000- + FS 600</t>
  </si>
  <si>
    <t>Budżet 4.000,- + FS 2.424</t>
  </si>
  <si>
    <t>budżet +30.000+ FS 2000</t>
  </si>
  <si>
    <t>budżet 20.00+FS 38.640,90</t>
  </si>
  <si>
    <t>Budżet 30.000+ FS 10.085,87 =</t>
  </si>
  <si>
    <t>ekspertyzy 1.000 zł+80.000 OW</t>
  </si>
  <si>
    <t xml:space="preserve"> budżet 50000</t>
  </si>
  <si>
    <t>Dotacja celowa na pomoc finnansową udzieloną między jednostkami samorządu terytorialnego na dofinansowanie własnych zadań bieżących</t>
  </si>
  <si>
    <t>Dotacja z budżetu jednostki samorządu terytorialnego dla samorządowego zakładu budżetowego na pierwsze wyposażenie w środki obrotowe</t>
  </si>
  <si>
    <t>zmiana</t>
  </si>
  <si>
    <t>Plan na 2016 rok</t>
  </si>
  <si>
    <t>Komendy powiatowe Policji</t>
  </si>
  <si>
    <t>pozostałe dochody</t>
  </si>
  <si>
    <t>Plan na 
2016 rok</t>
  </si>
  <si>
    <t>Przychody</t>
  </si>
  <si>
    <t>Stan zadłużenia na dzień 31.12.2015r.</t>
  </si>
  <si>
    <t>1)</t>
  </si>
  <si>
    <t>2)</t>
  </si>
  <si>
    <t>3)</t>
  </si>
  <si>
    <t>3)a</t>
  </si>
  <si>
    <t>4)</t>
  </si>
  <si>
    <t>5)</t>
  </si>
  <si>
    <t>6)</t>
  </si>
  <si>
    <t>WFOŚ i GW w Poznaniu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</si>
</sst>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00"/>
    <numFmt numFmtId="165" formatCode="???,??0.00"/>
    <numFmt numFmtId="166" formatCode="00000"/>
    <numFmt numFmtId="167" formatCode="0000"/>
    <numFmt numFmtId="168" formatCode="??,??0.00"/>
    <numFmt numFmtId="169" formatCode="????"/>
    <numFmt numFmtId="170" formatCode="???"/>
    <numFmt numFmtId="171" formatCode="?,??0.00"/>
    <numFmt numFmtId="172" formatCode="?????"/>
    <numFmt numFmtId="173" formatCode="?,???,??0.00"/>
    <numFmt numFmtId="174" formatCode="??0.00"/>
    <numFmt numFmtId="175" formatCode="??,???,??0.00"/>
    <numFmt numFmtId="176" formatCode="?0.00"/>
  </numFmts>
  <fonts count="54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.5"/>
      <color indexed="8"/>
      <name val="Arial"/>
      <family val="2"/>
      <charset val="238"/>
    </font>
    <font>
      <sz val="7"/>
      <name val="Arial"/>
      <family val="2"/>
      <charset val="238"/>
    </font>
    <font>
      <b/>
      <sz val="8.5"/>
      <name val="Arial"/>
      <family val="2"/>
      <charset val="238"/>
    </font>
    <font>
      <sz val="7.5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 CE"/>
    </font>
    <font>
      <sz val="8"/>
      <name val="Arial"/>
      <family val="2"/>
      <charset val="238"/>
    </font>
    <font>
      <sz val="8"/>
      <color indexed="8"/>
      <name val="Arial CE"/>
      <charset val="238"/>
    </font>
    <font>
      <sz val="8"/>
      <color indexed="8"/>
      <name val="Arial CE"/>
    </font>
    <font>
      <b/>
      <sz val="8"/>
      <color indexed="8"/>
      <name val="Arial CE"/>
      <charset val="238"/>
    </font>
    <font>
      <b/>
      <sz val="10"/>
      <color indexed="8"/>
      <name val="Arial CE"/>
    </font>
    <font>
      <i/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sz val="7"/>
      <color indexed="8"/>
      <name val="Arial CE"/>
    </font>
    <font>
      <b/>
      <sz val="7"/>
      <color indexed="8"/>
      <name val="Arial CE"/>
    </font>
    <font>
      <u/>
      <sz val="10"/>
      <name val="Arial"/>
      <family val="2"/>
      <charset val="238"/>
    </font>
    <font>
      <i/>
      <sz val="8"/>
      <color indexed="8"/>
      <name val="Arial CE"/>
    </font>
    <font>
      <i/>
      <sz val="8"/>
      <name val="Arial"/>
      <family val="2"/>
      <charset val="238"/>
    </font>
    <font>
      <i/>
      <sz val="8"/>
      <color indexed="8"/>
      <name val="Arial CE"/>
      <charset val="238"/>
    </font>
    <font>
      <i/>
      <sz val="7"/>
      <name val="Arial"/>
      <family val="2"/>
      <charset val="238"/>
    </font>
    <font>
      <i/>
      <sz val="7"/>
      <color indexed="8"/>
      <name val="Arial CE"/>
    </font>
    <font>
      <sz val="7"/>
      <color rgb="FFFF0000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i/>
      <sz val="9"/>
      <color indexed="8"/>
      <name val="Arial CE"/>
      <charset val="238"/>
    </font>
    <font>
      <b/>
      <sz val="11"/>
      <color indexed="8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 CE"/>
      <charset val="238"/>
    </font>
    <font>
      <i/>
      <sz val="9"/>
      <name val="Times New Roman"/>
      <family val="1"/>
      <charset val="238"/>
    </font>
    <font>
      <b/>
      <sz val="11"/>
      <color indexed="8"/>
      <name val="Arial CE"/>
      <charset val="238"/>
    </font>
    <font>
      <b/>
      <sz val="11"/>
      <name val="Arial"/>
      <family val="2"/>
      <charset val="238"/>
    </font>
    <font>
      <b/>
      <sz val="11"/>
      <color indexed="8"/>
      <name val="Arial CE"/>
    </font>
    <font>
      <b/>
      <i/>
      <sz val="10"/>
      <color indexed="8"/>
      <name val="Arial CE"/>
      <charset val="238"/>
    </font>
    <font>
      <sz val="8"/>
      <color rgb="FF0070C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b/>
      <i/>
      <sz val="8"/>
      <color indexed="8"/>
      <name val="Arial CE"/>
      <charset val="238"/>
    </font>
    <font>
      <b/>
      <sz val="7"/>
      <color indexed="8"/>
      <name val="Arial"/>
      <family val="2"/>
      <charset val="238"/>
    </font>
    <font>
      <sz val="8"/>
      <color rgb="FF0070C0"/>
      <name val="Arial CE"/>
    </font>
    <font>
      <i/>
      <sz val="8"/>
      <color rgb="FF0070C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Arial CE"/>
      <charset val="238"/>
    </font>
    <font>
      <i/>
      <sz val="8"/>
      <color rgb="FFFF0000"/>
      <name val="Arial"/>
      <family val="2"/>
      <charset val="238"/>
    </font>
    <font>
      <b/>
      <sz val="6"/>
      <color indexed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34"/>
      </patternFill>
    </fill>
  </fills>
  <borders count="18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</borders>
  <cellStyleXfs count="15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</xf>
    <xf numFmtId="0" fontId="18" fillId="0" borderId="0"/>
    <xf numFmtId="0" fontId="1" fillId="0" borderId="0"/>
    <xf numFmtId="0" fontId="17" fillId="0" borderId="0" applyNumberFormat="0" applyFill="0" applyBorder="0" applyAlignment="0" applyProtection="0">
      <alignment vertical="top"/>
    </xf>
    <xf numFmtId="0" fontId="1" fillId="6" borderId="0" applyNumberFormat="0" applyBorder="0" applyAlignment="0" applyProtection="0"/>
    <xf numFmtId="0" fontId="45" fillId="0" borderId="0"/>
    <xf numFmtId="0" fontId="44" fillId="0" borderId="0"/>
    <xf numFmtId="0" fontId="1" fillId="0" borderId="0"/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</cellStyleXfs>
  <cellXfs count="1487">
    <xf numFmtId="0" fontId="0" fillId="0" borderId="0" xfId="0"/>
    <xf numFmtId="0" fontId="0" fillId="0" borderId="0" xfId="1" applyFont="1" applyAlignment="1">
      <alignment vertical="top" wrapText="1"/>
    </xf>
    <xf numFmtId="0" fontId="0" fillId="0" borderId="0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49" fontId="9" fillId="0" borderId="7" xfId="1" applyNumberFormat="1" applyFont="1" applyBorder="1" applyAlignment="1">
      <alignment horizontal="center" vertical="center"/>
    </xf>
    <xf numFmtId="0" fontId="0" fillId="2" borderId="9" xfId="1" applyFont="1" applyFill="1" applyBorder="1"/>
    <xf numFmtId="0" fontId="0" fillId="2" borderId="0" xfId="1" applyFont="1" applyFill="1" applyBorder="1"/>
    <xf numFmtId="0" fontId="10" fillId="2" borderId="10" xfId="1" applyFont="1" applyFill="1" applyBorder="1" applyAlignment="1">
      <alignment horizontal="left" vertical="top" wrapText="1"/>
    </xf>
    <xf numFmtId="165" fontId="10" fillId="2" borderId="9" xfId="1" applyNumberFormat="1" applyFont="1" applyFill="1" applyBorder="1" applyAlignment="1">
      <alignment horizontal="right" vertical="top"/>
    </xf>
    <xf numFmtId="10" fontId="10" fillId="2" borderId="9" xfId="1" applyNumberFormat="1" applyFont="1" applyFill="1" applyBorder="1" applyAlignment="1">
      <alignment horizontal="right" vertical="top"/>
    </xf>
    <xf numFmtId="4" fontId="10" fillId="2" borderId="9" xfId="1" applyNumberFormat="1" applyFont="1" applyFill="1" applyBorder="1" applyAlignment="1">
      <alignment horizontal="right" vertical="top"/>
    </xf>
    <xf numFmtId="4" fontId="10" fillId="2" borderId="11" xfId="1" applyNumberFormat="1" applyFont="1" applyFill="1" applyBorder="1" applyAlignment="1">
      <alignment horizontal="right" vertical="top"/>
    </xf>
    <xf numFmtId="10" fontId="10" fillId="2" borderId="7" xfId="1" applyNumberFormat="1" applyFont="1" applyFill="1" applyBorder="1" applyAlignment="1">
      <alignment horizontal="right" vertical="top"/>
    </xf>
    <xf numFmtId="49" fontId="11" fillId="0" borderId="7" xfId="1" applyNumberFormat="1" applyFont="1" applyBorder="1" applyAlignment="1">
      <alignment vertical="top"/>
    </xf>
    <xf numFmtId="4" fontId="13" fillId="4" borderId="13" xfId="1" applyNumberFormat="1" applyFont="1" applyFill="1" applyBorder="1" applyAlignment="1">
      <alignment horizontal="right" vertical="top"/>
    </xf>
    <xf numFmtId="10" fontId="13" fillId="4" borderId="13" xfId="1" applyNumberFormat="1" applyFont="1" applyFill="1" applyBorder="1" applyAlignment="1">
      <alignment horizontal="right" vertical="top"/>
    </xf>
    <xf numFmtId="164" fontId="10" fillId="3" borderId="17" xfId="1" applyNumberFormat="1" applyFont="1" applyFill="1" applyBorder="1" applyAlignment="1">
      <alignment horizontal="left" vertical="top"/>
    </xf>
    <xf numFmtId="0" fontId="0" fillId="3" borderId="9" xfId="1" applyFont="1" applyFill="1" applyBorder="1"/>
    <xf numFmtId="0" fontId="11" fillId="3" borderId="15" xfId="1" quotePrefix="1" applyFont="1" applyFill="1" applyBorder="1" applyAlignment="1"/>
    <xf numFmtId="0" fontId="13" fillId="0" borderId="18" xfId="1" applyFont="1" applyBorder="1" applyAlignment="1">
      <alignment horizontal="left" vertical="top" wrapText="1"/>
    </xf>
    <xf numFmtId="165" fontId="13" fillId="3" borderId="15" xfId="1" applyNumberFormat="1" applyFont="1" applyFill="1" applyBorder="1" applyAlignment="1">
      <alignment horizontal="right" vertical="top"/>
    </xf>
    <xf numFmtId="4" fontId="13" fillId="3" borderId="15" xfId="1" applyNumberFormat="1" applyFont="1" applyFill="1" applyBorder="1" applyAlignment="1">
      <alignment horizontal="right" vertical="top"/>
    </xf>
    <xf numFmtId="10" fontId="13" fillId="3" borderId="15" xfId="1" applyNumberFormat="1" applyFont="1" applyFill="1" applyBorder="1" applyAlignment="1">
      <alignment horizontal="right" vertical="top"/>
    </xf>
    <xf numFmtId="4" fontId="13" fillId="3" borderId="13" xfId="1" applyNumberFormat="1" applyFont="1" applyFill="1" applyBorder="1" applyAlignment="1">
      <alignment horizontal="right" vertical="top"/>
    </xf>
    <xf numFmtId="0" fontId="11" fillId="3" borderId="18" xfId="1" quotePrefix="1" applyFont="1" applyFill="1" applyBorder="1" applyAlignment="1">
      <alignment vertical="top"/>
    </xf>
    <xf numFmtId="0" fontId="13" fillId="0" borderId="19" xfId="1" applyFont="1" applyBorder="1" applyAlignment="1">
      <alignment horizontal="left" vertical="top" wrapText="1"/>
    </xf>
    <xf numFmtId="165" fontId="13" fillId="3" borderId="18" xfId="1" applyNumberFormat="1" applyFont="1" applyFill="1" applyBorder="1" applyAlignment="1">
      <alignment horizontal="right" vertical="top"/>
    </xf>
    <xf numFmtId="4" fontId="13" fillId="3" borderId="18" xfId="1" applyNumberFormat="1" applyFont="1" applyFill="1" applyBorder="1" applyAlignment="1">
      <alignment horizontal="right" vertical="top"/>
    </xf>
    <xf numFmtId="10" fontId="13" fillId="3" borderId="18" xfId="1" applyNumberFormat="1" applyFont="1" applyFill="1" applyBorder="1" applyAlignment="1">
      <alignment horizontal="right" vertical="top"/>
    </xf>
    <xf numFmtId="4" fontId="13" fillId="3" borderId="20" xfId="1" applyNumberFormat="1" applyFont="1" applyFill="1" applyBorder="1" applyAlignment="1">
      <alignment horizontal="right" vertical="top"/>
    </xf>
    <xf numFmtId="4" fontId="13" fillId="3" borderId="21" xfId="1" applyNumberFormat="1" applyFont="1" applyFill="1" applyBorder="1" applyAlignment="1">
      <alignment horizontal="right" vertical="top"/>
    </xf>
    <xf numFmtId="49" fontId="11" fillId="0" borderId="22" xfId="1" applyNumberFormat="1" applyFont="1" applyBorder="1" applyAlignment="1">
      <alignment vertical="top"/>
    </xf>
    <xf numFmtId="0" fontId="11" fillId="3" borderId="5" xfId="1" quotePrefix="1" applyFont="1" applyFill="1" applyBorder="1" applyAlignment="1">
      <alignment vertical="top"/>
    </xf>
    <xf numFmtId="0" fontId="13" fillId="0" borderId="0" xfId="1" applyFont="1" applyBorder="1" applyAlignment="1">
      <alignment horizontal="left" vertical="top" wrapText="1"/>
    </xf>
    <xf numFmtId="165" fontId="13" fillId="3" borderId="24" xfId="1" applyNumberFormat="1" applyFont="1" applyFill="1" applyBorder="1" applyAlignment="1">
      <alignment horizontal="right" vertical="top"/>
    </xf>
    <xf numFmtId="49" fontId="11" fillId="0" borderId="26" xfId="1" applyNumberFormat="1" applyFont="1" applyBorder="1" applyAlignment="1">
      <alignment vertical="top"/>
    </xf>
    <xf numFmtId="0" fontId="0" fillId="3" borderId="17" xfId="1" applyFont="1" applyFill="1" applyBorder="1"/>
    <xf numFmtId="166" fontId="13" fillId="5" borderId="13" xfId="1" applyNumberFormat="1" applyFont="1" applyFill="1" applyBorder="1" applyAlignment="1">
      <alignment horizontal="left" vertical="top"/>
    </xf>
    <xf numFmtId="0" fontId="0" fillId="5" borderId="13" xfId="1" applyFont="1" applyFill="1" applyBorder="1"/>
    <xf numFmtId="0" fontId="0" fillId="5" borderId="27" xfId="1" applyFont="1" applyFill="1" applyBorder="1"/>
    <xf numFmtId="0" fontId="13" fillId="5" borderId="15" xfId="1" applyFont="1" applyFill="1" applyBorder="1" applyAlignment="1">
      <alignment horizontal="left" vertical="top" wrapText="1"/>
    </xf>
    <xf numFmtId="165" fontId="13" fillId="5" borderId="13" xfId="1" applyNumberFormat="1" applyFont="1" applyFill="1" applyBorder="1" applyAlignment="1">
      <alignment horizontal="right" vertical="top"/>
    </xf>
    <xf numFmtId="10" fontId="13" fillId="5" borderId="13" xfId="1" applyNumberFormat="1" applyFont="1" applyFill="1" applyBorder="1" applyAlignment="1">
      <alignment horizontal="right" vertical="top"/>
    </xf>
    <xf numFmtId="4" fontId="13" fillId="5" borderId="13" xfId="1" applyNumberFormat="1" applyFont="1" applyFill="1" applyBorder="1" applyAlignment="1">
      <alignment horizontal="right" vertical="top"/>
    </xf>
    <xf numFmtId="4" fontId="13" fillId="5" borderId="16" xfId="1" applyNumberFormat="1" applyFont="1" applyFill="1" applyBorder="1" applyAlignment="1">
      <alignment horizontal="right" vertical="top"/>
    </xf>
    <xf numFmtId="0" fontId="0" fillId="0" borderId="17" xfId="1" applyFont="1" applyBorder="1"/>
    <xf numFmtId="0" fontId="0" fillId="0" borderId="9" xfId="1" applyFont="1" applyBorder="1"/>
    <xf numFmtId="0" fontId="0" fillId="0" borderId="20" xfId="1" applyFont="1" applyBorder="1"/>
    <xf numFmtId="167" fontId="13" fillId="0" borderId="12" xfId="1" applyNumberFormat="1" applyFont="1" applyBorder="1" applyAlignment="1">
      <alignment horizontal="left" vertical="top"/>
    </xf>
    <xf numFmtId="168" fontId="13" fillId="0" borderId="20" xfId="1" applyNumberFormat="1" applyFont="1" applyBorder="1" applyAlignment="1">
      <alignment horizontal="right" vertical="top"/>
    </xf>
    <xf numFmtId="4" fontId="11" fillId="0" borderId="5" xfId="1" applyNumberFormat="1" applyFont="1" applyBorder="1" applyAlignment="1">
      <alignment vertical="top"/>
    </xf>
    <xf numFmtId="10" fontId="11" fillId="0" borderId="5" xfId="1" applyNumberFormat="1" applyFont="1" applyBorder="1" applyAlignment="1">
      <alignment vertical="top"/>
    </xf>
    <xf numFmtId="4" fontId="11" fillId="0" borderId="1" xfId="1" applyNumberFormat="1" applyFont="1" applyBorder="1" applyAlignment="1">
      <alignment vertical="top"/>
    </xf>
    <xf numFmtId="4" fontId="11" fillId="0" borderId="6" xfId="1" applyNumberFormat="1" applyFont="1" applyBorder="1" applyAlignment="1">
      <alignment vertical="top"/>
    </xf>
    <xf numFmtId="49" fontId="11" fillId="0" borderId="7" xfId="1" applyNumberFormat="1" applyFont="1" applyBorder="1" applyAlignment="1">
      <alignment vertical="top" wrapText="1"/>
    </xf>
    <xf numFmtId="0" fontId="11" fillId="3" borderId="15" xfId="1" quotePrefix="1" applyFont="1" applyFill="1" applyBorder="1" applyAlignment="1">
      <alignment vertical="top"/>
    </xf>
    <xf numFmtId="0" fontId="13" fillId="0" borderId="5" xfId="1" applyFont="1" applyBorder="1" applyAlignment="1">
      <alignment horizontal="left" vertical="top" wrapText="1"/>
    </xf>
    <xf numFmtId="169" fontId="13" fillId="0" borderId="12" xfId="1" applyNumberFormat="1" applyFont="1" applyBorder="1" applyAlignment="1">
      <alignment horizontal="left" vertical="top"/>
    </xf>
    <xf numFmtId="165" fontId="13" fillId="0" borderId="20" xfId="1" applyNumberFormat="1" applyFont="1" applyBorder="1" applyAlignment="1">
      <alignment horizontal="right" vertical="top"/>
    </xf>
    <xf numFmtId="4" fontId="11" fillId="0" borderId="19" xfId="1" applyNumberFormat="1" applyFont="1" applyBorder="1" applyAlignment="1">
      <alignment vertical="top"/>
    </xf>
    <xf numFmtId="10" fontId="11" fillId="0" borderId="19" xfId="1" applyNumberFormat="1" applyFont="1" applyBorder="1" applyAlignment="1">
      <alignment vertical="top"/>
    </xf>
    <xf numFmtId="4" fontId="11" fillId="0" borderId="28" xfId="1" applyNumberFormat="1" applyFont="1" applyBorder="1" applyAlignment="1">
      <alignment vertical="top"/>
    </xf>
    <xf numFmtId="4" fontId="11" fillId="0" borderId="29" xfId="1" applyNumberFormat="1" applyFont="1" applyBorder="1" applyAlignment="1">
      <alignment vertical="top"/>
    </xf>
    <xf numFmtId="169" fontId="13" fillId="0" borderId="5" xfId="1" applyNumberFormat="1" applyFont="1" applyBorder="1" applyAlignment="1">
      <alignment horizontal="left" vertical="top"/>
    </xf>
    <xf numFmtId="165" fontId="13" fillId="0" borderId="5" xfId="1" applyNumberFormat="1" applyFont="1" applyBorder="1" applyAlignment="1">
      <alignment horizontal="right" vertical="top"/>
    </xf>
    <xf numFmtId="164" fontId="10" fillId="2" borderId="3" xfId="1" applyNumberFormat="1" applyFont="1" applyFill="1" applyBorder="1" applyAlignment="1">
      <alignment horizontal="left" vertical="top"/>
    </xf>
    <xf numFmtId="0" fontId="0" fillId="2" borderId="20" xfId="1" applyFont="1" applyFill="1" applyBorder="1"/>
    <xf numFmtId="0" fontId="10" fillId="2" borderId="5" xfId="1" applyFont="1" applyFill="1" applyBorder="1" applyAlignment="1">
      <alignment horizontal="left" vertical="top" wrapText="1"/>
    </xf>
    <xf numFmtId="168" fontId="10" fillId="2" borderId="0" xfId="1" applyNumberFormat="1" applyFont="1" applyFill="1" applyBorder="1" applyAlignment="1">
      <alignment horizontal="right" vertical="top"/>
    </xf>
    <xf numFmtId="0" fontId="0" fillId="5" borderId="14" xfId="1" applyFont="1" applyFill="1" applyBorder="1"/>
    <xf numFmtId="0" fontId="13" fillId="5" borderId="30" xfId="1" applyFont="1" applyFill="1" applyBorder="1" applyAlignment="1">
      <alignment horizontal="left" vertical="top" wrapText="1"/>
    </xf>
    <xf numFmtId="168" fontId="13" fillId="5" borderId="13" xfId="1" applyNumberFormat="1" applyFont="1" applyFill="1" applyBorder="1" applyAlignment="1">
      <alignment horizontal="right" vertical="top"/>
    </xf>
    <xf numFmtId="10" fontId="12" fillId="5" borderId="7" xfId="1" applyNumberFormat="1" applyFont="1" applyFill="1" applyBorder="1" applyAlignment="1">
      <alignment horizontal="right" vertical="top"/>
    </xf>
    <xf numFmtId="0" fontId="0" fillId="0" borderId="13" xfId="1" applyFont="1" applyBorder="1"/>
    <xf numFmtId="167" fontId="13" fillId="0" borderId="31" xfId="1" applyNumberFormat="1" applyFont="1" applyBorder="1" applyAlignment="1">
      <alignment horizontal="left" vertical="top"/>
    </xf>
    <xf numFmtId="0" fontId="13" fillId="0" borderId="15" xfId="1" applyFont="1" applyBorder="1" applyAlignment="1">
      <alignment horizontal="left" vertical="top" wrapText="1"/>
    </xf>
    <xf numFmtId="168" fontId="13" fillId="0" borderId="13" xfId="1" applyNumberFormat="1" applyFont="1" applyBorder="1" applyAlignment="1">
      <alignment horizontal="right" vertical="top"/>
    </xf>
    <xf numFmtId="170" fontId="10" fillId="2" borderId="3" xfId="1" applyNumberFormat="1" applyFont="1" applyFill="1" applyBorder="1" applyAlignment="1">
      <alignment horizontal="left" vertical="top"/>
    </xf>
    <xf numFmtId="0" fontId="0" fillId="2" borderId="32" xfId="1" applyFont="1" applyFill="1" applyBorder="1"/>
    <xf numFmtId="0" fontId="10" fillId="2" borderId="18" xfId="1" applyFont="1" applyFill="1" applyBorder="1" applyAlignment="1">
      <alignment horizontal="left" vertical="top" wrapText="1"/>
    </xf>
    <xf numFmtId="171" fontId="10" fillId="2" borderId="20" xfId="1" applyNumberFormat="1" applyFont="1" applyFill="1" applyBorder="1" applyAlignment="1">
      <alignment horizontal="right" vertical="top"/>
    </xf>
    <xf numFmtId="4" fontId="10" fillId="2" borderId="20" xfId="1" applyNumberFormat="1" applyFont="1" applyFill="1" applyBorder="1" applyAlignment="1">
      <alignment horizontal="right" vertical="top"/>
    </xf>
    <xf numFmtId="10" fontId="10" fillId="2" borderId="20" xfId="1" applyNumberFormat="1" applyFont="1" applyFill="1" applyBorder="1" applyAlignment="1">
      <alignment horizontal="right" vertical="top"/>
    </xf>
    <xf numFmtId="4" fontId="10" fillId="2" borderId="21" xfId="1" applyNumberFormat="1" applyFont="1" applyFill="1" applyBorder="1" applyAlignment="1">
      <alignment horizontal="right" vertical="top"/>
    </xf>
    <xf numFmtId="172" fontId="13" fillId="5" borderId="13" xfId="1" applyNumberFormat="1" applyFont="1" applyFill="1" applyBorder="1" applyAlignment="1">
      <alignment horizontal="left" vertical="top"/>
    </xf>
    <xf numFmtId="171" fontId="13" fillId="5" borderId="13" xfId="1" applyNumberFormat="1" applyFont="1" applyFill="1" applyBorder="1" applyAlignment="1">
      <alignment horizontal="right" vertical="top"/>
    </xf>
    <xf numFmtId="171" fontId="13" fillId="0" borderId="20" xfId="1" applyNumberFormat="1" applyFont="1" applyBorder="1" applyAlignment="1">
      <alignment horizontal="right" vertical="top"/>
    </xf>
    <xf numFmtId="171" fontId="13" fillId="0" borderId="5" xfId="1" applyNumberFormat="1" applyFont="1" applyBorder="1" applyAlignment="1">
      <alignment horizontal="right" vertical="top"/>
    </xf>
    <xf numFmtId="4" fontId="11" fillId="0" borderId="23" xfId="1" applyNumberFormat="1" applyFont="1" applyBorder="1" applyAlignment="1">
      <alignment vertical="top"/>
    </xf>
    <xf numFmtId="0" fontId="9" fillId="2" borderId="5" xfId="1" applyFont="1" applyFill="1" applyBorder="1"/>
    <xf numFmtId="171" fontId="10" fillId="2" borderId="5" xfId="1" applyNumberFormat="1" applyFont="1" applyFill="1" applyBorder="1" applyAlignment="1">
      <alignment horizontal="right" vertical="top"/>
    </xf>
    <xf numFmtId="0" fontId="13" fillId="4" borderId="5" xfId="1" applyFont="1" applyFill="1" applyBorder="1" applyAlignment="1">
      <alignment horizontal="left" vertical="top" wrapText="1"/>
    </xf>
    <xf numFmtId="0" fontId="13" fillId="0" borderId="34" xfId="1" applyFont="1" applyBorder="1" applyAlignment="1">
      <alignment horizontal="left" vertical="top" wrapText="1"/>
    </xf>
    <xf numFmtId="171" fontId="13" fillId="0" borderId="33" xfId="1" applyNumberFormat="1" applyFont="1" applyBorder="1" applyAlignment="1">
      <alignment horizontal="right" vertical="top"/>
    </xf>
    <xf numFmtId="4" fontId="11" fillId="0" borderId="33" xfId="1" applyNumberFormat="1" applyFont="1" applyBorder="1" applyAlignment="1">
      <alignment vertical="top"/>
    </xf>
    <xf numFmtId="10" fontId="11" fillId="0" borderId="33" xfId="1" applyNumberFormat="1" applyFont="1" applyBorder="1" applyAlignment="1">
      <alignment vertical="top"/>
    </xf>
    <xf numFmtId="4" fontId="11" fillId="0" borderId="35" xfId="1" applyNumberFormat="1" applyFont="1" applyBorder="1" applyAlignment="1">
      <alignment vertical="top"/>
    </xf>
    <xf numFmtId="4" fontId="11" fillId="0" borderId="36" xfId="1" applyNumberFormat="1" applyFont="1" applyBorder="1" applyAlignment="1">
      <alignment vertical="top"/>
    </xf>
    <xf numFmtId="0" fontId="0" fillId="2" borderId="37" xfId="1" applyFont="1" applyFill="1" applyBorder="1"/>
    <xf numFmtId="0" fontId="0" fillId="2" borderId="38" xfId="1" applyFont="1" applyFill="1" applyBorder="1"/>
    <xf numFmtId="0" fontId="10" fillId="2" borderId="4" xfId="1" applyFont="1" applyFill="1" applyBorder="1" applyAlignment="1">
      <alignment horizontal="left" vertical="top" wrapText="1"/>
    </xf>
    <xf numFmtId="173" fontId="10" fillId="2" borderId="39" xfId="1" applyNumberFormat="1" applyFont="1" applyFill="1" applyBorder="1" applyAlignment="1">
      <alignment horizontal="right" vertical="top"/>
    </xf>
    <xf numFmtId="10" fontId="10" fillId="2" borderId="39" xfId="1" applyNumberFormat="1" applyFont="1" applyFill="1" applyBorder="1" applyAlignment="1">
      <alignment horizontal="right" vertical="top"/>
    </xf>
    <xf numFmtId="4" fontId="10" fillId="2" borderId="39" xfId="1" applyNumberFormat="1" applyFont="1" applyFill="1" applyBorder="1" applyAlignment="1">
      <alignment horizontal="right" vertical="top"/>
    </xf>
    <xf numFmtId="4" fontId="10" fillId="2" borderId="36" xfId="1" applyNumberFormat="1" applyFont="1" applyFill="1" applyBorder="1" applyAlignment="1">
      <alignment horizontal="right" vertical="top"/>
    </xf>
    <xf numFmtId="172" fontId="13" fillId="5" borderId="24" xfId="1" applyNumberFormat="1" applyFont="1" applyFill="1" applyBorder="1" applyAlignment="1">
      <alignment horizontal="left" vertical="top"/>
    </xf>
    <xf numFmtId="0" fontId="0" fillId="5" borderId="40" xfId="1" applyFont="1" applyFill="1" applyBorder="1"/>
    <xf numFmtId="173" fontId="13" fillId="5" borderId="24" xfId="1" applyNumberFormat="1" applyFont="1" applyFill="1" applyBorder="1" applyAlignment="1">
      <alignment horizontal="right" vertical="top"/>
    </xf>
    <xf numFmtId="10" fontId="13" fillId="5" borderId="24" xfId="1" applyNumberFormat="1" applyFont="1" applyFill="1" applyBorder="1" applyAlignment="1">
      <alignment horizontal="right" vertical="top"/>
    </xf>
    <xf numFmtId="4" fontId="13" fillId="5" borderId="24" xfId="1" applyNumberFormat="1" applyFont="1" applyFill="1" applyBorder="1" applyAlignment="1">
      <alignment horizontal="right" vertical="top"/>
    </xf>
    <xf numFmtId="4" fontId="13" fillId="5" borderId="25" xfId="1" applyNumberFormat="1" applyFont="1" applyFill="1" applyBorder="1" applyAlignment="1">
      <alignment horizontal="right" vertical="top"/>
    </xf>
    <xf numFmtId="10" fontId="12" fillId="5" borderId="26" xfId="1" applyNumberFormat="1" applyFont="1" applyFill="1" applyBorder="1" applyAlignment="1">
      <alignment horizontal="right" vertical="top"/>
    </xf>
    <xf numFmtId="167" fontId="13" fillId="0" borderId="41" xfId="1" applyNumberFormat="1" applyFont="1" applyBorder="1" applyAlignment="1">
      <alignment horizontal="left" vertical="top"/>
    </xf>
    <xf numFmtId="0" fontId="13" fillId="0" borderId="42" xfId="1" applyFont="1" applyBorder="1" applyAlignment="1">
      <alignment horizontal="left" vertical="top" wrapText="1"/>
    </xf>
    <xf numFmtId="168" fontId="13" fillId="0" borderId="37" xfId="1" applyNumberFormat="1" applyFont="1" applyBorder="1" applyAlignment="1">
      <alignment horizontal="right" vertical="top"/>
    </xf>
    <xf numFmtId="167" fontId="13" fillId="0" borderId="43" xfId="1" quotePrefix="1" applyNumberFormat="1" applyFont="1" applyBorder="1" applyAlignment="1">
      <alignment horizontal="left" vertical="top"/>
    </xf>
    <xf numFmtId="0" fontId="13" fillId="0" borderId="44" xfId="1" applyFont="1" applyBorder="1" applyAlignment="1">
      <alignment horizontal="left" vertical="top" wrapText="1"/>
    </xf>
    <xf numFmtId="168" fontId="13" fillId="0" borderId="39" xfId="1" applyNumberFormat="1" applyFont="1" applyBorder="1" applyAlignment="1">
      <alignment horizontal="right" vertical="top"/>
    </xf>
    <xf numFmtId="167" fontId="13" fillId="0" borderId="3" xfId="1" applyNumberFormat="1" applyFont="1" applyBorder="1" applyAlignment="1">
      <alignment horizontal="left" vertical="top"/>
    </xf>
    <xf numFmtId="0" fontId="13" fillId="0" borderId="4" xfId="1" applyFont="1" applyBorder="1" applyAlignment="1">
      <alignment horizontal="left" vertical="top" wrapText="1"/>
    </xf>
    <xf numFmtId="168" fontId="13" fillId="0" borderId="2" xfId="1" applyNumberFormat="1" applyFont="1" applyBorder="1" applyAlignment="1">
      <alignment horizontal="right" vertical="top"/>
    </xf>
    <xf numFmtId="167" fontId="13" fillId="0" borderId="45" xfId="1" applyNumberFormat="1" applyFont="1" applyBorder="1" applyAlignment="1">
      <alignment horizontal="left" vertical="top"/>
    </xf>
    <xf numFmtId="0" fontId="13" fillId="0" borderId="10" xfId="1" applyFont="1" applyBorder="1" applyAlignment="1">
      <alignment horizontal="left" vertical="top" wrapText="1"/>
    </xf>
    <xf numFmtId="171" fontId="13" fillId="0" borderId="9" xfId="1" applyNumberFormat="1" applyFont="1" applyBorder="1" applyAlignment="1">
      <alignment horizontal="right" vertical="top"/>
    </xf>
    <xf numFmtId="173" fontId="13" fillId="0" borderId="37" xfId="1" applyNumberFormat="1" applyFont="1" applyBorder="1" applyAlignment="1">
      <alignment horizontal="right" vertical="top"/>
    </xf>
    <xf numFmtId="0" fontId="11" fillId="3" borderId="30" xfId="1" quotePrefix="1" applyFont="1" applyFill="1" applyBorder="1" applyAlignment="1">
      <alignment vertical="top"/>
    </xf>
    <xf numFmtId="0" fontId="13" fillId="0" borderId="33" xfId="1" applyFont="1" applyBorder="1" applyAlignment="1">
      <alignment horizontal="left" vertical="top" wrapText="1"/>
    </xf>
    <xf numFmtId="173" fontId="13" fillId="0" borderId="9" xfId="1" applyNumberFormat="1" applyFont="1" applyBorder="1" applyAlignment="1">
      <alignment horizontal="right" vertical="top"/>
    </xf>
    <xf numFmtId="171" fontId="13" fillId="0" borderId="13" xfId="1" applyNumberFormat="1" applyFont="1" applyBorder="1" applyAlignment="1">
      <alignment horizontal="right" vertical="top"/>
    </xf>
    <xf numFmtId="167" fontId="13" fillId="0" borderId="5" xfId="1" applyNumberFormat="1" applyFont="1" applyBorder="1" applyAlignment="1">
      <alignment horizontal="left" vertical="top"/>
    </xf>
    <xf numFmtId="168" fontId="13" fillId="0" borderId="5" xfId="1" applyNumberFormat="1" applyFont="1" applyBorder="1" applyAlignment="1">
      <alignment horizontal="right" vertical="top"/>
    </xf>
    <xf numFmtId="4" fontId="11" fillId="0" borderId="0" xfId="1" applyNumberFormat="1" applyFont="1" applyBorder="1" applyAlignment="1">
      <alignment vertical="top"/>
    </xf>
    <xf numFmtId="4" fontId="11" fillId="0" borderId="11" xfId="1" applyNumberFormat="1" applyFont="1" applyBorder="1" applyAlignment="1">
      <alignment vertical="top"/>
    </xf>
    <xf numFmtId="169" fontId="13" fillId="0" borderId="41" xfId="1" applyNumberFormat="1" applyFont="1" applyBorder="1" applyAlignment="1">
      <alignment horizontal="left" vertical="top"/>
    </xf>
    <xf numFmtId="165" fontId="13" fillId="0" borderId="37" xfId="1" applyNumberFormat="1" applyFont="1" applyBorder="1" applyAlignment="1">
      <alignment horizontal="right" vertical="top"/>
    </xf>
    <xf numFmtId="49" fontId="5" fillId="0" borderId="7" xfId="1" applyNumberFormat="1" applyFont="1" applyBorder="1" applyAlignment="1">
      <alignment vertical="top"/>
    </xf>
    <xf numFmtId="169" fontId="13" fillId="0" borderId="47" xfId="1" applyNumberFormat="1" applyFont="1" applyBorder="1" applyAlignment="1">
      <alignment horizontal="left" vertical="top"/>
    </xf>
    <xf numFmtId="165" fontId="13" fillId="0" borderId="33" xfId="1" applyNumberFormat="1" applyFont="1" applyBorder="1" applyAlignment="1">
      <alignment horizontal="right" vertical="top"/>
    </xf>
    <xf numFmtId="174" fontId="13" fillId="0" borderId="13" xfId="1" applyNumberFormat="1" applyFont="1" applyBorder="1" applyAlignment="1">
      <alignment horizontal="right" vertical="top"/>
    </xf>
    <xf numFmtId="0" fontId="0" fillId="2" borderId="48" xfId="1" applyFont="1" applyFill="1" applyBorder="1"/>
    <xf numFmtId="0" fontId="10" fillId="2" borderId="42" xfId="1" applyFont="1" applyFill="1" applyBorder="1" applyAlignment="1">
      <alignment horizontal="left" vertical="top" wrapText="1"/>
    </xf>
    <xf numFmtId="168" fontId="10" fillId="2" borderId="37" xfId="1" applyNumberFormat="1" applyFont="1" applyFill="1" applyBorder="1" applyAlignment="1">
      <alignment horizontal="right" vertical="top"/>
    </xf>
    <xf numFmtId="10" fontId="10" fillId="2" borderId="37" xfId="1" applyNumberFormat="1" applyFont="1" applyFill="1" applyBorder="1" applyAlignment="1">
      <alignment horizontal="right" vertical="top"/>
    </xf>
    <xf numFmtId="4" fontId="10" fillId="2" borderId="37" xfId="1" applyNumberFormat="1" applyFont="1" applyFill="1" applyBorder="1" applyAlignment="1">
      <alignment horizontal="right" vertical="top"/>
    </xf>
    <xf numFmtId="4" fontId="10" fillId="2" borderId="49" xfId="1" applyNumberFormat="1" applyFont="1" applyFill="1" applyBorder="1" applyAlignment="1">
      <alignment horizontal="right" vertical="top"/>
    </xf>
    <xf numFmtId="172" fontId="13" fillId="5" borderId="39" xfId="1" applyNumberFormat="1" applyFont="1" applyFill="1" applyBorder="1" applyAlignment="1">
      <alignment horizontal="left" vertical="top"/>
    </xf>
    <xf numFmtId="0" fontId="0" fillId="5" borderId="38" xfId="1" applyFont="1" applyFill="1" applyBorder="1"/>
    <xf numFmtId="0" fontId="0" fillId="5" borderId="50" xfId="1" applyFont="1" applyFill="1" applyBorder="1"/>
    <xf numFmtId="0" fontId="13" fillId="5" borderId="50" xfId="1" applyFont="1" applyFill="1" applyBorder="1" applyAlignment="1">
      <alignment horizontal="left" vertical="top" wrapText="1"/>
    </xf>
    <xf numFmtId="171" fontId="13" fillId="5" borderId="39" xfId="1" applyNumberFormat="1" applyFont="1" applyFill="1" applyBorder="1" applyAlignment="1">
      <alignment horizontal="right" vertical="top"/>
    </xf>
    <xf numFmtId="4" fontId="13" fillId="5" borderId="39" xfId="1" applyNumberFormat="1" applyFont="1" applyFill="1" applyBorder="1" applyAlignment="1">
      <alignment horizontal="right" vertical="top"/>
    </xf>
    <xf numFmtId="10" fontId="13" fillId="5" borderId="39" xfId="1" applyNumberFormat="1" applyFont="1" applyFill="1" applyBorder="1" applyAlignment="1">
      <alignment horizontal="right" vertical="top"/>
    </xf>
    <xf numFmtId="4" fontId="13" fillId="5" borderId="36" xfId="1" applyNumberFormat="1" applyFont="1" applyFill="1" applyBorder="1" applyAlignment="1">
      <alignment horizontal="right" vertical="top"/>
    </xf>
    <xf numFmtId="0" fontId="0" fillId="0" borderId="39" xfId="1" applyFont="1" applyBorder="1"/>
    <xf numFmtId="169" fontId="13" fillId="0" borderId="43" xfId="1" applyNumberFormat="1" applyFont="1" applyBorder="1" applyAlignment="1">
      <alignment horizontal="left" vertical="top"/>
    </xf>
    <xf numFmtId="171" fontId="13" fillId="0" borderId="39" xfId="1" applyNumberFormat="1" applyFont="1" applyBorder="1" applyAlignment="1">
      <alignment horizontal="right" vertical="top"/>
    </xf>
    <xf numFmtId="4" fontId="11" fillId="0" borderId="38" xfId="1" applyNumberFormat="1" applyFont="1" applyBorder="1" applyAlignment="1">
      <alignment vertical="top"/>
    </xf>
    <xf numFmtId="0" fontId="9" fillId="2" borderId="43" xfId="1" applyFont="1" applyFill="1" applyBorder="1" applyAlignment="1">
      <alignment horizontal="center" vertical="top"/>
    </xf>
    <xf numFmtId="0" fontId="11" fillId="2" borderId="39" xfId="1" applyFont="1" applyFill="1" applyBorder="1"/>
    <xf numFmtId="169" fontId="13" fillId="2" borderId="38" xfId="1" applyNumberFormat="1" applyFont="1" applyFill="1" applyBorder="1" applyAlignment="1">
      <alignment horizontal="left" vertical="top"/>
    </xf>
    <xf numFmtId="0" fontId="14" fillId="2" borderId="39" xfId="1" applyFont="1" applyFill="1" applyBorder="1" applyAlignment="1">
      <alignment horizontal="left" vertical="top" wrapText="1"/>
    </xf>
    <xf numFmtId="4" fontId="9" fillId="2" borderId="5" xfId="1" applyNumberFormat="1" applyFont="1" applyFill="1" applyBorder="1" applyAlignment="1">
      <alignment vertical="top"/>
    </xf>
    <xf numFmtId="10" fontId="9" fillId="2" borderId="5" xfId="1" applyNumberFormat="1" applyFont="1" applyFill="1" applyBorder="1" applyAlignment="1">
      <alignment vertical="top"/>
    </xf>
    <xf numFmtId="4" fontId="9" fillId="2" borderId="38" xfId="1" applyNumberFormat="1" applyFont="1" applyFill="1" applyBorder="1" applyAlignment="1">
      <alignment vertical="top"/>
    </xf>
    <xf numFmtId="4" fontId="9" fillId="2" borderId="36" xfId="1" applyNumberFormat="1" applyFont="1" applyFill="1" applyBorder="1" applyAlignment="1">
      <alignment vertical="top"/>
    </xf>
    <xf numFmtId="10" fontId="14" fillId="2" borderId="7" xfId="1" applyNumberFormat="1" applyFont="1" applyFill="1" applyBorder="1" applyAlignment="1">
      <alignment horizontal="right" vertical="top"/>
    </xf>
    <xf numFmtId="49" fontId="9" fillId="2" borderId="26" xfId="1" applyNumberFormat="1" applyFont="1" applyFill="1" applyBorder="1" applyAlignment="1">
      <alignment vertical="top"/>
    </xf>
    <xf numFmtId="0" fontId="13" fillId="5" borderId="39" xfId="1" applyFont="1" applyFill="1" applyBorder="1" applyAlignment="1">
      <alignment horizontal="left" vertical="top" wrapText="1"/>
    </xf>
    <xf numFmtId="171" fontId="13" fillId="5" borderId="5" xfId="1" applyNumberFormat="1" applyFont="1" applyFill="1" applyBorder="1" applyAlignment="1">
      <alignment horizontal="right" vertical="top"/>
    </xf>
    <xf numFmtId="4" fontId="11" fillId="5" borderId="5" xfId="1" applyNumberFormat="1" applyFont="1" applyFill="1" applyBorder="1" applyAlignment="1">
      <alignment vertical="top"/>
    </xf>
    <xf numFmtId="10" fontId="11" fillId="5" borderId="5" xfId="1" applyNumberFormat="1" applyFont="1" applyFill="1" applyBorder="1" applyAlignment="1">
      <alignment vertical="top"/>
    </xf>
    <xf numFmtId="4" fontId="11" fillId="5" borderId="38" xfId="1" applyNumberFormat="1" applyFont="1" applyFill="1" applyBorder="1" applyAlignment="1">
      <alignment vertical="top"/>
    </xf>
    <xf numFmtId="49" fontId="11" fillId="5" borderId="26" xfId="1" applyNumberFormat="1" applyFont="1" applyFill="1" applyBorder="1" applyAlignment="1">
      <alignment vertical="top"/>
    </xf>
    <xf numFmtId="0" fontId="13" fillId="0" borderId="20" xfId="1" applyFont="1" applyBorder="1" applyAlignment="1">
      <alignment horizontal="left" vertical="top" wrapText="1"/>
    </xf>
    <xf numFmtId="0" fontId="0" fillId="2" borderId="2" xfId="1" applyFont="1" applyFill="1" applyBorder="1"/>
    <xf numFmtId="0" fontId="0" fillId="2" borderId="23" xfId="1" applyFont="1" applyFill="1" applyBorder="1"/>
    <xf numFmtId="175" fontId="10" fillId="2" borderId="2" xfId="1" applyNumberFormat="1" applyFont="1" applyFill="1" applyBorder="1" applyAlignment="1">
      <alignment horizontal="right" vertical="top"/>
    </xf>
    <xf numFmtId="4" fontId="10" fillId="2" borderId="2" xfId="1" applyNumberFormat="1" applyFont="1" applyFill="1" applyBorder="1" applyAlignment="1">
      <alignment horizontal="right" vertical="top"/>
    </xf>
    <xf numFmtId="10" fontId="10" fillId="2" borderId="2" xfId="1" applyNumberFormat="1" applyFont="1" applyFill="1" applyBorder="1" applyAlignment="1">
      <alignment horizontal="right" vertical="top"/>
    </xf>
    <xf numFmtId="4" fontId="10" fillId="2" borderId="6" xfId="1" applyNumberFormat="1" applyFont="1" applyFill="1" applyBorder="1" applyAlignment="1">
      <alignment horizontal="right" vertical="top"/>
    </xf>
    <xf numFmtId="0" fontId="0" fillId="5" borderId="24" xfId="1" applyFont="1" applyFill="1" applyBorder="1"/>
    <xf numFmtId="168" fontId="13" fillId="5" borderId="24" xfId="1" applyNumberFormat="1" applyFont="1" applyFill="1" applyBorder="1" applyAlignment="1">
      <alignment horizontal="right" vertical="top"/>
    </xf>
    <xf numFmtId="172" fontId="13" fillId="5" borderId="4" xfId="1" applyNumberFormat="1" applyFont="1" applyFill="1" applyBorder="1" applyAlignment="1">
      <alignment horizontal="left" vertical="top"/>
    </xf>
    <xf numFmtId="0" fontId="0" fillId="5" borderId="32" xfId="1" applyFont="1" applyFill="1" applyBorder="1"/>
    <xf numFmtId="0" fontId="13" fillId="5" borderId="18" xfId="1" applyFont="1" applyFill="1" applyBorder="1" applyAlignment="1">
      <alignment horizontal="left" vertical="top" wrapText="1"/>
    </xf>
    <xf numFmtId="173" fontId="13" fillId="5" borderId="20" xfId="1" applyNumberFormat="1" applyFont="1" applyFill="1" applyBorder="1" applyAlignment="1">
      <alignment horizontal="right" vertical="top"/>
    </xf>
    <xf numFmtId="10" fontId="13" fillId="5" borderId="20" xfId="1" applyNumberFormat="1" applyFont="1" applyFill="1" applyBorder="1" applyAlignment="1">
      <alignment horizontal="right" vertical="top"/>
    </xf>
    <xf numFmtId="4" fontId="13" fillId="5" borderId="20" xfId="1" applyNumberFormat="1" applyFont="1" applyFill="1" applyBorder="1" applyAlignment="1">
      <alignment horizontal="right" vertical="top"/>
    </xf>
    <xf numFmtId="4" fontId="13" fillId="5" borderId="21" xfId="1" applyNumberFormat="1" applyFont="1" applyFill="1" applyBorder="1" applyAlignment="1">
      <alignment horizontal="right" vertical="top"/>
    </xf>
    <xf numFmtId="4" fontId="11" fillId="0" borderId="7" xfId="1" applyNumberFormat="1" applyFont="1" applyBorder="1" applyAlignment="1">
      <alignment vertical="top"/>
    </xf>
    <xf numFmtId="165" fontId="13" fillId="0" borderId="2" xfId="1" applyNumberFormat="1" applyFont="1" applyBorder="1" applyAlignment="1">
      <alignment horizontal="right" vertical="top"/>
    </xf>
    <xf numFmtId="4" fontId="11" fillId="0" borderId="26" xfId="1" applyNumberFormat="1" applyFont="1" applyBorder="1" applyAlignment="1">
      <alignment vertical="top"/>
    </xf>
    <xf numFmtId="167" fontId="13" fillId="0" borderId="52" xfId="1" applyNumberFormat="1" applyFont="1" applyBorder="1" applyAlignment="1">
      <alignment horizontal="left" vertical="top"/>
    </xf>
    <xf numFmtId="0" fontId="13" fillId="0" borderId="30" xfId="1" applyFont="1" applyBorder="1" applyAlignment="1">
      <alignment horizontal="left" vertical="top" wrapText="1"/>
    </xf>
    <xf numFmtId="165" fontId="13" fillId="0" borderId="24" xfId="1" applyNumberFormat="1" applyFont="1" applyBorder="1" applyAlignment="1">
      <alignment horizontal="right" vertical="top"/>
    </xf>
    <xf numFmtId="165" fontId="13" fillId="0" borderId="13" xfId="1" applyNumberFormat="1" applyFont="1" applyBorder="1" applyAlignment="1">
      <alignment horizontal="right" vertical="top"/>
    </xf>
    <xf numFmtId="4" fontId="11" fillId="0" borderId="7" xfId="1" applyNumberFormat="1" applyFont="1" applyBorder="1" applyAlignment="1">
      <alignment horizontal="right" vertical="top"/>
    </xf>
    <xf numFmtId="0" fontId="0" fillId="0" borderId="37" xfId="1" applyFont="1" applyBorder="1"/>
    <xf numFmtId="165" fontId="13" fillId="0" borderId="39" xfId="1" applyNumberFormat="1" applyFont="1" applyBorder="1" applyAlignment="1">
      <alignment horizontal="right" vertical="top"/>
    </xf>
    <xf numFmtId="0" fontId="0" fillId="5" borderId="0" xfId="1" applyFont="1" applyFill="1" applyBorder="1"/>
    <xf numFmtId="0" fontId="13" fillId="5" borderId="10" xfId="1" applyFont="1" applyFill="1" applyBorder="1" applyAlignment="1">
      <alignment horizontal="left" vertical="top" wrapText="1"/>
    </xf>
    <xf numFmtId="173" fontId="13" fillId="5" borderId="9" xfId="1" applyNumberFormat="1" applyFont="1" applyFill="1" applyBorder="1" applyAlignment="1">
      <alignment horizontal="right" vertical="top"/>
    </xf>
    <xf numFmtId="10" fontId="13" fillId="5" borderId="9" xfId="1" applyNumberFormat="1" applyFont="1" applyFill="1" applyBorder="1" applyAlignment="1">
      <alignment horizontal="right" vertical="top"/>
    </xf>
    <xf numFmtId="4" fontId="13" fillId="5" borderId="9" xfId="1" applyNumberFormat="1" applyFont="1" applyFill="1" applyBorder="1" applyAlignment="1">
      <alignment horizontal="right" vertical="top"/>
    </xf>
    <xf numFmtId="4" fontId="13" fillId="5" borderId="11" xfId="1" applyNumberFormat="1" applyFont="1" applyFill="1" applyBorder="1" applyAlignment="1">
      <alignment horizontal="right" vertical="top"/>
    </xf>
    <xf numFmtId="0" fontId="13" fillId="0" borderId="13" xfId="1" applyFont="1" applyBorder="1" applyAlignment="1">
      <alignment horizontal="left" vertical="top" wrapText="1"/>
    </xf>
    <xf numFmtId="0" fontId="13" fillId="0" borderId="37" xfId="1" applyFont="1" applyBorder="1" applyAlignment="1">
      <alignment horizontal="left" vertical="top" wrapText="1"/>
    </xf>
    <xf numFmtId="0" fontId="13" fillId="0" borderId="24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165" fontId="13" fillId="5" borderId="9" xfId="1" applyNumberFormat="1" applyFont="1" applyFill="1" applyBorder="1" applyAlignment="1">
      <alignment horizontal="right" vertical="top"/>
    </xf>
    <xf numFmtId="0" fontId="13" fillId="0" borderId="2" xfId="1" applyFont="1" applyBorder="1" applyAlignment="1">
      <alignment horizontal="left" vertical="top" wrapText="1"/>
    </xf>
    <xf numFmtId="167" fontId="13" fillId="0" borderId="33" xfId="1" applyNumberFormat="1" applyFont="1" applyBorder="1" applyAlignment="1">
      <alignment horizontal="left" vertical="top"/>
    </xf>
    <xf numFmtId="0" fontId="13" fillId="0" borderId="35" xfId="1" applyFont="1" applyBorder="1" applyAlignment="1">
      <alignment horizontal="left" vertical="top" wrapText="1"/>
    </xf>
    <xf numFmtId="4" fontId="11" fillId="0" borderId="30" xfId="1" applyNumberFormat="1" applyFont="1" applyBorder="1" applyAlignment="1">
      <alignment vertical="top"/>
    </xf>
    <xf numFmtId="10" fontId="11" fillId="0" borderId="30" xfId="1" applyNumberFormat="1" applyFont="1" applyBorder="1" applyAlignment="1">
      <alignment vertical="top"/>
    </xf>
    <xf numFmtId="4" fontId="11" fillId="0" borderId="24" xfId="1" applyNumberFormat="1" applyFont="1" applyBorder="1" applyAlignment="1">
      <alignment vertical="top"/>
    </xf>
    <xf numFmtId="4" fontId="11" fillId="0" borderId="42" xfId="1" applyNumberFormat="1" applyFont="1" applyBorder="1" applyAlignment="1">
      <alignment vertical="top"/>
    </xf>
    <xf numFmtId="10" fontId="11" fillId="0" borderId="42" xfId="1" applyNumberFormat="1" applyFont="1" applyBorder="1" applyAlignment="1">
      <alignment vertical="top"/>
    </xf>
    <xf numFmtId="4" fontId="11" fillId="0" borderId="37" xfId="1" applyNumberFormat="1" applyFont="1" applyBorder="1" applyAlignment="1">
      <alignment vertical="top"/>
    </xf>
    <xf numFmtId="4" fontId="11" fillId="0" borderId="49" xfId="1" applyNumberFormat="1" applyFont="1" applyBorder="1" applyAlignment="1">
      <alignment vertical="top"/>
    </xf>
    <xf numFmtId="173" fontId="13" fillId="0" borderId="13" xfId="1" applyNumberFormat="1" applyFont="1" applyBorder="1" applyAlignment="1">
      <alignment horizontal="right" vertical="top"/>
    </xf>
    <xf numFmtId="3" fontId="11" fillId="0" borderId="7" xfId="1" applyNumberFormat="1" applyFont="1" applyBorder="1" applyAlignment="1">
      <alignment vertical="top"/>
    </xf>
    <xf numFmtId="172" fontId="13" fillId="5" borderId="2" xfId="1" applyNumberFormat="1" applyFont="1" applyFill="1" applyBorder="1" applyAlignment="1">
      <alignment horizontal="left" vertical="top"/>
    </xf>
    <xf numFmtId="169" fontId="13" fillId="0" borderId="31" xfId="1" applyNumberFormat="1" applyFont="1" applyBorder="1" applyAlignment="1">
      <alignment horizontal="left" vertical="top"/>
    </xf>
    <xf numFmtId="175" fontId="13" fillId="0" borderId="13" xfId="1" applyNumberFormat="1" applyFont="1" applyBorder="1" applyAlignment="1">
      <alignment horizontal="right" vertical="top"/>
    </xf>
    <xf numFmtId="173" fontId="13" fillId="5" borderId="13" xfId="1" applyNumberFormat="1" applyFont="1" applyFill="1" applyBorder="1" applyAlignment="1">
      <alignment horizontal="right" vertical="top"/>
    </xf>
    <xf numFmtId="0" fontId="0" fillId="5" borderId="2" xfId="1" applyFont="1" applyFill="1" applyBorder="1"/>
    <xf numFmtId="0" fontId="0" fillId="5" borderId="23" xfId="1" applyFont="1" applyFill="1" applyBorder="1"/>
    <xf numFmtId="0" fontId="13" fillId="5" borderId="4" xfId="1" applyFont="1" applyFill="1" applyBorder="1" applyAlignment="1">
      <alignment horizontal="left" vertical="top" wrapText="1"/>
    </xf>
    <xf numFmtId="173" fontId="13" fillId="5" borderId="2" xfId="1" applyNumberFormat="1" applyFont="1" applyFill="1" applyBorder="1" applyAlignment="1">
      <alignment horizontal="right" vertical="top"/>
    </xf>
    <xf numFmtId="10" fontId="13" fillId="5" borderId="2" xfId="1" applyNumberFormat="1" applyFont="1" applyFill="1" applyBorder="1" applyAlignment="1">
      <alignment horizontal="right" vertical="top"/>
    </xf>
    <xf numFmtId="4" fontId="13" fillId="5" borderId="2" xfId="1" applyNumberFormat="1" applyFont="1" applyFill="1" applyBorder="1" applyAlignment="1">
      <alignment horizontal="right" vertical="top"/>
    </xf>
    <xf numFmtId="4" fontId="13" fillId="5" borderId="6" xfId="1" applyNumberFormat="1" applyFont="1" applyFill="1" applyBorder="1" applyAlignment="1">
      <alignment horizontal="right" vertical="top"/>
    </xf>
    <xf numFmtId="3" fontId="11" fillId="0" borderId="26" xfId="1" applyNumberFormat="1" applyFont="1" applyBorder="1" applyAlignment="1">
      <alignment vertical="top"/>
    </xf>
    <xf numFmtId="0" fontId="0" fillId="0" borderId="24" xfId="1" applyFont="1" applyBorder="1"/>
    <xf numFmtId="167" fontId="13" fillId="0" borderId="43" xfId="1" applyNumberFormat="1" applyFont="1" applyBorder="1" applyAlignment="1">
      <alignment horizontal="left" vertical="top"/>
    </xf>
    <xf numFmtId="173" fontId="13" fillId="0" borderId="39" xfId="1" applyNumberFormat="1" applyFont="1" applyBorder="1" applyAlignment="1">
      <alignment horizontal="right" vertical="top"/>
    </xf>
    <xf numFmtId="169" fontId="13" fillId="0" borderId="3" xfId="1" applyNumberFormat="1" applyFont="1" applyBorder="1" applyAlignment="1">
      <alignment horizontal="left" vertical="top"/>
    </xf>
    <xf numFmtId="165" fontId="13" fillId="5" borderId="24" xfId="1" applyNumberFormat="1" applyFont="1" applyFill="1" applyBorder="1" applyAlignment="1">
      <alignment horizontal="right" vertical="top"/>
    </xf>
    <xf numFmtId="165" fontId="10" fillId="2" borderId="20" xfId="1" applyNumberFormat="1" applyFont="1" applyFill="1" applyBorder="1" applyAlignment="1">
      <alignment horizontal="right" vertical="top"/>
    </xf>
    <xf numFmtId="172" fontId="13" fillId="5" borderId="37" xfId="1" applyNumberFormat="1" applyFont="1" applyFill="1" applyBorder="1" applyAlignment="1">
      <alignment horizontal="left" vertical="top"/>
    </xf>
    <xf numFmtId="0" fontId="0" fillId="5" borderId="37" xfId="1" applyFont="1" applyFill="1" applyBorder="1"/>
    <xf numFmtId="0" fontId="0" fillId="5" borderId="48" xfId="1" applyFont="1" applyFill="1" applyBorder="1"/>
    <xf numFmtId="0" fontId="13" fillId="5" borderId="42" xfId="1" applyFont="1" applyFill="1" applyBorder="1" applyAlignment="1">
      <alignment horizontal="left" vertical="top" wrapText="1"/>
    </xf>
    <xf numFmtId="168" fontId="13" fillId="5" borderId="37" xfId="1" applyNumberFormat="1" applyFont="1" applyFill="1" applyBorder="1" applyAlignment="1">
      <alignment horizontal="right" vertical="top"/>
    </xf>
    <xf numFmtId="10" fontId="13" fillId="5" borderId="37" xfId="1" applyNumberFormat="1" applyFont="1" applyFill="1" applyBorder="1" applyAlignment="1">
      <alignment horizontal="right" vertical="top"/>
    </xf>
    <xf numFmtId="168" fontId="13" fillId="5" borderId="49" xfId="1" applyNumberFormat="1" applyFont="1" applyFill="1" applyBorder="1" applyAlignment="1">
      <alignment horizontal="right" vertical="top"/>
    </xf>
    <xf numFmtId="172" fontId="13" fillId="3" borderId="19" xfId="1" applyNumberFormat="1" applyFont="1" applyFill="1" applyBorder="1" applyAlignment="1">
      <alignment horizontal="left" vertical="top"/>
    </xf>
    <xf numFmtId="173" fontId="13" fillId="3" borderId="5" xfId="1" applyNumberFormat="1" applyFont="1" applyFill="1" applyBorder="1" applyAlignment="1">
      <alignment horizontal="right" vertical="top"/>
    </xf>
    <xf numFmtId="4" fontId="13" fillId="3" borderId="5" xfId="1" applyNumberFormat="1" applyFont="1" applyFill="1" applyBorder="1" applyAlignment="1">
      <alignment horizontal="right" vertical="top"/>
    </xf>
    <xf numFmtId="10" fontId="13" fillId="3" borderId="5" xfId="1" applyNumberFormat="1" applyFont="1" applyFill="1" applyBorder="1" applyAlignment="1">
      <alignment horizontal="right" vertical="top"/>
    </xf>
    <xf numFmtId="4" fontId="13" fillId="3" borderId="23" xfId="1" applyNumberFormat="1" applyFont="1" applyFill="1" applyBorder="1" applyAlignment="1">
      <alignment horizontal="right" vertical="top"/>
    </xf>
    <xf numFmtId="4" fontId="13" fillId="3" borderId="6" xfId="1" applyNumberFormat="1" applyFont="1" applyFill="1" applyBorder="1" applyAlignment="1">
      <alignment horizontal="right" vertical="top"/>
    </xf>
    <xf numFmtId="10" fontId="12" fillId="3" borderId="26" xfId="1" applyNumberFormat="1" applyFont="1" applyFill="1" applyBorder="1" applyAlignment="1">
      <alignment horizontal="right" vertical="top"/>
    </xf>
    <xf numFmtId="168" fontId="13" fillId="0" borderId="9" xfId="1" applyNumberFormat="1" applyFont="1" applyBorder="1" applyAlignment="1">
      <alignment horizontal="right" vertical="top"/>
    </xf>
    <xf numFmtId="4" fontId="11" fillId="0" borderId="56" xfId="1" applyNumberFormat="1" applyFont="1" applyBorder="1" applyAlignment="1">
      <alignment vertical="top"/>
    </xf>
    <xf numFmtId="10" fontId="11" fillId="0" borderId="56" xfId="1" applyNumberFormat="1" applyFont="1" applyBorder="1" applyAlignment="1">
      <alignment vertical="top"/>
    </xf>
    <xf numFmtId="4" fontId="11" fillId="0" borderId="17" xfId="1" applyNumberFormat="1" applyFont="1" applyBorder="1" applyAlignment="1">
      <alignment vertical="top"/>
    </xf>
    <xf numFmtId="167" fontId="13" fillId="0" borderId="5" xfId="1" quotePrefix="1" applyNumberFormat="1" applyFont="1" applyBorder="1" applyAlignment="1">
      <alignment horizontal="left" vertical="top"/>
    </xf>
    <xf numFmtId="168" fontId="13" fillId="0" borderId="38" xfId="1" applyNumberFormat="1" applyFont="1" applyBorder="1" applyAlignment="1">
      <alignment horizontal="right" vertical="top"/>
    </xf>
    <xf numFmtId="0" fontId="0" fillId="0" borderId="35" xfId="1" applyFont="1" applyBorder="1"/>
    <xf numFmtId="0" fontId="0" fillId="0" borderId="23" xfId="1" applyFont="1" applyBorder="1"/>
    <xf numFmtId="10" fontId="11" fillId="0" borderId="1" xfId="1" applyNumberFormat="1" applyFont="1" applyBorder="1" applyAlignment="1">
      <alignment vertical="top"/>
    </xf>
    <xf numFmtId="165" fontId="13" fillId="5" borderId="2" xfId="1" applyNumberFormat="1" applyFont="1" applyFill="1" applyBorder="1" applyAlignment="1">
      <alignment horizontal="right" vertical="top"/>
    </xf>
    <xf numFmtId="171" fontId="13" fillId="0" borderId="2" xfId="1" applyNumberFormat="1" applyFont="1" applyBorder="1" applyAlignment="1">
      <alignment horizontal="right" vertical="top"/>
    </xf>
    <xf numFmtId="165" fontId="13" fillId="0" borderId="9" xfId="1" applyNumberFormat="1" applyFont="1" applyBorder="1" applyAlignment="1">
      <alignment horizontal="right" vertical="top"/>
    </xf>
    <xf numFmtId="0" fontId="13" fillId="5" borderId="44" xfId="1" applyFont="1" applyFill="1" applyBorder="1" applyAlignment="1">
      <alignment horizontal="left" vertical="top" wrapText="1"/>
    </xf>
    <xf numFmtId="168" fontId="13" fillId="5" borderId="39" xfId="1" applyNumberFormat="1" applyFont="1" applyFill="1" applyBorder="1" applyAlignment="1">
      <alignment horizontal="right" vertical="top"/>
    </xf>
    <xf numFmtId="172" fontId="13" fillId="3" borderId="9" xfId="1" applyNumberFormat="1" applyFont="1" applyFill="1" applyBorder="1" applyAlignment="1">
      <alignment horizontal="left" vertical="top"/>
    </xf>
    <xf numFmtId="0" fontId="0" fillId="3" borderId="20" xfId="1" applyFont="1" applyFill="1" applyBorder="1"/>
    <xf numFmtId="0" fontId="11" fillId="3" borderId="5" xfId="1" quotePrefix="1" applyFont="1" applyFill="1" applyBorder="1"/>
    <xf numFmtId="168" fontId="13" fillId="3" borderId="5" xfId="1" applyNumberFormat="1" applyFont="1" applyFill="1" applyBorder="1" applyAlignment="1">
      <alignment horizontal="right" vertical="top"/>
    </xf>
    <xf numFmtId="4" fontId="13" fillId="3" borderId="38" xfId="1" applyNumberFormat="1" applyFont="1" applyFill="1" applyBorder="1" applyAlignment="1">
      <alignment horizontal="right" vertical="top"/>
    </xf>
    <xf numFmtId="4" fontId="13" fillId="3" borderId="36" xfId="1" applyNumberFormat="1" applyFont="1" applyFill="1" applyBorder="1" applyAlignment="1">
      <alignment horizontal="right" vertical="top"/>
    </xf>
    <xf numFmtId="10" fontId="12" fillId="3" borderId="7" xfId="1" applyNumberFormat="1" applyFont="1" applyFill="1" applyBorder="1" applyAlignment="1">
      <alignment horizontal="right" vertical="top"/>
    </xf>
    <xf numFmtId="167" fontId="13" fillId="0" borderId="19" xfId="1" applyNumberFormat="1" applyFont="1" applyBorder="1" applyAlignment="1">
      <alignment horizontal="left" vertical="top"/>
    </xf>
    <xf numFmtId="168" fontId="13" fillId="0" borderId="19" xfId="1" applyNumberFormat="1" applyFont="1" applyBorder="1" applyAlignment="1">
      <alignment horizontal="right" vertical="top"/>
    </xf>
    <xf numFmtId="49" fontId="11" fillId="0" borderId="53" xfId="1" applyNumberFormat="1" applyFont="1" applyBorder="1" applyAlignment="1">
      <alignment vertical="top"/>
    </xf>
    <xf numFmtId="170" fontId="10" fillId="2" borderId="1" xfId="1" applyNumberFormat="1" applyFont="1" applyFill="1" applyBorder="1" applyAlignment="1">
      <alignment horizontal="left" vertical="top"/>
    </xf>
    <xf numFmtId="173" fontId="10" fillId="2" borderId="2" xfId="1" applyNumberFormat="1" applyFont="1" applyFill="1" applyBorder="1" applyAlignment="1">
      <alignment horizontal="right" vertical="top"/>
    </xf>
    <xf numFmtId="173" fontId="10" fillId="2" borderId="6" xfId="1" applyNumberFormat="1" applyFont="1" applyFill="1" applyBorder="1" applyAlignment="1">
      <alignment horizontal="right" vertical="top"/>
    </xf>
    <xf numFmtId="0" fontId="11" fillId="4" borderId="57" xfId="1" applyFont="1" applyFill="1" applyBorder="1" applyAlignment="1">
      <alignment horizontal="left"/>
    </xf>
    <xf numFmtId="0" fontId="0" fillId="4" borderId="23" xfId="1" applyFont="1" applyFill="1" applyBorder="1"/>
    <xf numFmtId="0" fontId="12" fillId="4" borderId="4" xfId="1" applyFont="1" applyFill="1" applyBorder="1" applyAlignment="1">
      <alignment horizontal="left" vertical="top" wrapText="1"/>
    </xf>
    <xf numFmtId="173" fontId="12" fillId="4" borderId="2" xfId="1" applyNumberFormat="1" applyFont="1" applyFill="1" applyBorder="1" applyAlignment="1">
      <alignment horizontal="right" vertical="top"/>
    </xf>
    <xf numFmtId="4" fontId="12" fillId="4" borderId="2" xfId="1" applyNumberFormat="1" applyFont="1" applyFill="1" applyBorder="1" applyAlignment="1">
      <alignment horizontal="right" vertical="top"/>
    </xf>
    <xf numFmtId="10" fontId="12" fillId="4" borderId="2" xfId="1" applyNumberFormat="1" applyFont="1" applyFill="1" applyBorder="1" applyAlignment="1">
      <alignment horizontal="right" vertical="top"/>
    </xf>
    <xf numFmtId="4" fontId="12" fillId="4" borderId="6" xfId="1" applyNumberFormat="1" applyFont="1" applyFill="1" applyBorder="1" applyAlignment="1">
      <alignment horizontal="right" vertical="top"/>
    </xf>
    <xf numFmtId="0" fontId="11" fillId="3" borderId="58" xfId="1" applyFont="1" applyFill="1" applyBorder="1" applyAlignment="1">
      <alignment horizontal="left"/>
    </xf>
    <xf numFmtId="0" fontId="11" fillId="3" borderId="0" xfId="1" applyFont="1" applyFill="1" applyBorder="1" applyAlignment="1">
      <alignment horizontal="left" vertical="top"/>
    </xf>
    <xf numFmtId="173" fontId="12" fillId="3" borderId="9" xfId="1" applyNumberFormat="1" applyFont="1" applyFill="1" applyBorder="1" applyAlignment="1">
      <alignment horizontal="right" vertical="top"/>
    </xf>
    <xf numFmtId="4" fontId="12" fillId="3" borderId="9" xfId="1" applyNumberFormat="1" applyFont="1" applyFill="1" applyBorder="1" applyAlignment="1">
      <alignment horizontal="right" vertical="top"/>
    </xf>
    <xf numFmtId="10" fontId="12" fillId="3" borderId="9" xfId="1" applyNumberFormat="1" applyFont="1" applyFill="1" applyBorder="1" applyAlignment="1">
      <alignment horizontal="right" vertical="top"/>
    </xf>
    <xf numFmtId="173" fontId="13" fillId="0" borderId="57" xfId="1" applyNumberFormat="1" applyFont="1" applyBorder="1" applyAlignment="1">
      <alignment horizontal="right" vertical="top"/>
    </xf>
    <xf numFmtId="49" fontId="11" fillId="0" borderId="26" xfId="1" applyNumberFormat="1" applyFont="1" applyBorder="1" applyAlignment="1">
      <alignment vertical="top" wrapText="1"/>
    </xf>
    <xf numFmtId="168" fontId="13" fillId="5" borderId="2" xfId="1" applyNumberFormat="1" applyFont="1" applyFill="1" applyBorder="1" applyAlignment="1">
      <alignment horizontal="right" vertical="top"/>
    </xf>
    <xf numFmtId="169" fontId="13" fillId="0" borderId="45" xfId="1" applyNumberFormat="1" applyFont="1" applyBorder="1" applyAlignment="1">
      <alignment horizontal="left" vertical="top"/>
    </xf>
    <xf numFmtId="169" fontId="13" fillId="0" borderId="35" xfId="1" applyNumberFormat="1" applyFont="1" applyBorder="1" applyAlignment="1">
      <alignment horizontal="left" vertical="top"/>
    </xf>
    <xf numFmtId="168" fontId="13" fillId="0" borderId="33" xfId="1" applyNumberFormat="1" applyFont="1" applyBorder="1" applyAlignment="1">
      <alignment horizontal="right" vertical="top"/>
    </xf>
    <xf numFmtId="165" fontId="13" fillId="5" borderId="39" xfId="1" applyNumberFormat="1" applyFont="1" applyFill="1" applyBorder="1" applyAlignment="1">
      <alignment horizontal="right" vertical="top"/>
    </xf>
    <xf numFmtId="4" fontId="13" fillId="5" borderId="37" xfId="1" applyNumberFormat="1" applyFont="1" applyFill="1" applyBorder="1" applyAlignment="1">
      <alignment horizontal="right" vertical="top"/>
    </xf>
    <xf numFmtId="4" fontId="13" fillId="5" borderId="49" xfId="1" applyNumberFormat="1" applyFont="1" applyFill="1" applyBorder="1" applyAlignment="1">
      <alignment horizontal="right" vertical="top"/>
    </xf>
    <xf numFmtId="0" fontId="0" fillId="0" borderId="44" xfId="1" applyFont="1" applyBorder="1"/>
    <xf numFmtId="169" fontId="13" fillId="0" borderId="38" xfId="1" applyNumberFormat="1" applyFont="1" applyBorder="1" applyAlignment="1">
      <alignment horizontal="left" vertical="top"/>
    </xf>
    <xf numFmtId="0" fontId="13" fillId="0" borderId="39" xfId="1" applyFont="1" applyBorder="1" applyAlignment="1">
      <alignment horizontal="left" vertical="top" wrapText="1"/>
    </xf>
    <xf numFmtId="172" fontId="13" fillId="3" borderId="2" xfId="1" applyNumberFormat="1" applyFont="1" applyFill="1" applyBorder="1" applyAlignment="1">
      <alignment horizontal="left" vertical="top"/>
    </xf>
    <xf numFmtId="0" fontId="0" fillId="3" borderId="2" xfId="1" applyFont="1" applyFill="1" applyBorder="1"/>
    <xf numFmtId="165" fontId="13" fillId="3" borderId="2" xfId="1" applyNumberFormat="1" applyFont="1" applyFill="1" applyBorder="1" applyAlignment="1">
      <alignment horizontal="right" vertical="top"/>
    </xf>
    <xf numFmtId="4" fontId="13" fillId="3" borderId="2" xfId="1" applyNumberFormat="1" applyFont="1" applyFill="1" applyBorder="1" applyAlignment="1">
      <alignment horizontal="right" vertical="top"/>
    </xf>
    <xf numFmtId="10" fontId="13" fillId="3" borderId="2" xfId="1" applyNumberFormat="1" applyFont="1" applyFill="1" applyBorder="1" applyAlignment="1">
      <alignment horizontal="right" vertical="top"/>
    </xf>
    <xf numFmtId="49" fontId="11" fillId="3" borderId="26" xfId="1" applyNumberFormat="1" applyFont="1" applyFill="1" applyBorder="1" applyAlignment="1">
      <alignment vertical="top"/>
    </xf>
    <xf numFmtId="165" fontId="13" fillId="5" borderId="37" xfId="1" applyNumberFormat="1" applyFont="1" applyFill="1" applyBorder="1" applyAlignment="1">
      <alignment horizontal="right" vertical="top"/>
    </xf>
    <xf numFmtId="0" fontId="13" fillId="0" borderId="9" xfId="1" applyFont="1" applyBorder="1" applyAlignment="1">
      <alignment horizontal="left" vertical="top" wrapText="1"/>
    </xf>
    <xf numFmtId="168" fontId="13" fillId="0" borderId="56" xfId="1" applyNumberFormat="1" applyFont="1" applyBorder="1" applyAlignment="1">
      <alignment horizontal="right" vertical="top"/>
    </xf>
    <xf numFmtId="165" fontId="13" fillId="5" borderId="5" xfId="1" applyNumberFormat="1" applyFont="1" applyFill="1" applyBorder="1" applyAlignment="1">
      <alignment horizontal="right" vertical="top"/>
    </xf>
    <xf numFmtId="10" fontId="13" fillId="5" borderId="5" xfId="1" applyNumberFormat="1" applyFont="1" applyFill="1" applyBorder="1" applyAlignment="1">
      <alignment horizontal="right" vertical="top"/>
    </xf>
    <xf numFmtId="165" fontId="13" fillId="5" borderId="1" xfId="1" applyNumberFormat="1" applyFont="1" applyFill="1" applyBorder="1" applyAlignment="1">
      <alignment horizontal="right" vertical="top"/>
    </xf>
    <xf numFmtId="165" fontId="13" fillId="5" borderId="6" xfId="1" applyNumberFormat="1" applyFont="1" applyFill="1" applyBorder="1" applyAlignment="1">
      <alignment horizontal="right" vertical="top"/>
    </xf>
    <xf numFmtId="0" fontId="13" fillId="5" borderId="13" xfId="1" applyFont="1" applyFill="1" applyBorder="1" applyAlignment="1">
      <alignment horizontal="left" vertical="top" wrapText="1"/>
    </xf>
    <xf numFmtId="165" fontId="10" fillId="2" borderId="5" xfId="1" applyNumberFormat="1" applyFont="1" applyFill="1" applyBorder="1" applyAlignment="1">
      <alignment horizontal="right" vertical="top"/>
    </xf>
    <xf numFmtId="4" fontId="9" fillId="2" borderId="1" xfId="1" applyNumberFormat="1" applyFont="1" applyFill="1" applyBorder="1" applyAlignment="1">
      <alignment vertical="top"/>
    </xf>
    <xf numFmtId="4" fontId="9" fillId="2" borderId="6" xfId="1" applyNumberFormat="1" applyFont="1" applyFill="1" applyBorder="1" applyAlignment="1">
      <alignment vertical="top"/>
    </xf>
    <xf numFmtId="0" fontId="13" fillId="5" borderId="5" xfId="1" applyFont="1" applyFill="1" applyBorder="1" applyAlignment="1">
      <alignment horizontal="left" vertical="top" wrapText="1"/>
    </xf>
    <xf numFmtId="4" fontId="11" fillId="5" borderId="1" xfId="1" applyNumberFormat="1" applyFont="1" applyFill="1" applyBorder="1" applyAlignment="1">
      <alignment vertical="top"/>
    </xf>
    <xf numFmtId="4" fontId="11" fillId="5" borderId="6" xfId="1" applyNumberFormat="1" applyFont="1" applyFill="1" applyBorder="1" applyAlignment="1">
      <alignment vertical="top"/>
    </xf>
    <xf numFmtId="169" fontId="13" fillId="0" borderId="5" xfId="1" quotePrefix="1" applyNumberFormat="1" applyFont="1" applyBorder="1" applyAlignment="1">
      <alignment horizontal="left" vertical="top"/>
    </xf>
    <xf numFmtId="173" fontId="13" fillId="5" borderId="37" xfId="1" applyNumberFormat="1" applyFont="1" applyFill="1" applyBorder="1" applyAlignment="1">
      <alignment horizontal="right" vertical="top"/>
    </xf>
    <xf numFmtId="0" fontId="0" fillId="0" borderId="2" xfId="1" applyFont="1" applyBorder="1"/>
    <xf numFmtId="173" fontId="13" fillId="0" borderId="2" xfId="1" applyNumberFormat="1" applyFont="1" applyBorder="1" applyAlignment="1">
      <alignment horizontal="right" vertical="top"/>
    </xf>
    <xf numFmtId="0" fontId="11" fillId="4" borderId="39" xfId="1" applyFont="1" applyFill="1" applyBorder="1" applyAlignment="1">
      <alignment horizontal="left"/>
    </xf>
    <xf numFmtId="169" fontId="13" fillId="4" borderId="50" xfId="1" applyNumberFormat="1" applyFont="1" applyFill="1" applyBorder="1" applyAlignment="1">
      <alignment horizontal="left" vertical="top"/>
    </xf>
    <xf numFmtId="0" fontId="13" fillId="4" borderId="44" xfId="1" applyFont="1" applyFill="1" applyBorder="1" applyAlignment="1">
      <alignment horizontal="left" vertical="top" wrapText="1"/>
    </xf>
    <xf numFmtId="173" fontId="13" fillId="4" borderId="44" xfId="1" applyNumberFormat="1" applyFont="1" applyFill="1" applyBorder="1" applyAlignment="1">
      <alignment horizontal="right" vertical="top"/>
    </xf>
    <xf numFmtId="10" fontId="13" fillId="4" borderId="44" xfId="1" applyNumberFormat="1" applyFont="1" applyFill="1" applyBorder="1" applyAlignment="1">
      <alignment horizontal="right" vertical="top"/>
    </xf>
    <xf numFmtId="173" fontId="13" fillId="4" borderId="39" xfId="1" applyNumberFormat="1" applyFont="1" applyFill="1" applyBorder="1" applyAlignment="1">
      <alignment horizontal="right" vertical="top"/>
    </xf>
    <xf numFmtId="173" fontId="13" fillId="4" borderId="36" xfId="1" applyNumberFormat="1" applyFont="1" applyFill="1" applyBorder="1" applyAlignment="1">
      <alignment horizontal="right" vertical="top"/>
    </xf>
    <xf numFmtId="169" fontId="13" fillId="0" borderId="3" xfId="1" quotePrefix="1" applyNumberFormat="1" applyFont="1" applyBorder="1" applyAlignment="1">
      <alignment horizontal="left" vertical="top"/>
    </xf>
    <xf numFmtId="4" fontId="11" fillId="0" borderId="39" xfId="1" applyNumberFormat="1" applyFont="1" applyBorder="1" applyAlignment="1">
      <alignment vertical="top"/>
    </xf>
    <xf numFmtId="169" fontId="13" fillId="0" borderId="45" xfId="1" quotePrefix="1" applyNumberFormat="1" applyFont="1" applyBorder="1" applyAlignment="1">
      <alignment horizontal="left" vertical="top"/>
    </xf>
    <xf numFmtId="0" fontId="13" fillId="0" borderId="56" xfId="1" applyFont="1" applyBorder="1" applyAlignment="1">
      <alignment horizontal="left" vertical="top" wrapText="1"/>
    </xf>
    <xf numFmtId="4" fontId="11" fillId="0" borderId="9" xfId="1" applyNumberFormat="1" applyFont="1" applyBorder="1" applyAlignment="1">
      <alignment vertical="top"/>
    </xf>
    <xf numFmtId="4" fontId="11" fillId="0" borderId="2" xfId="1" applyNumberFormat="1" applyFont="1" applyBorder="1" applyAlignment="1">
      <alignment vertical="top"/>
    </xf>
    <xf numFmtId="10" fontId="11" fillId="0" borderId="4" xfId="1" applyNumberFormat="1" applyFont="1" applyBorder="1" applyAlignment="1">
      <alignment vertical="top"/>
    </xf>
    <xf numFmtId="0" fontId="0" fillId="5" borderId="63" xfId="1" applyFont="1" applyFill="1" applyBorder="1"/>
    <xf numFmtId="4" fontId="13" fillId="5" borderId="29" xfId="1" applyNumberFormat="1" applyFont="1" applyFill="1" applyBorder="1" applyAlignment="1">
      <alignment horizontal="right" vertical="top"/>
    </xf>
    <xf numFmtId="0" fontId="13" fillId="3" borderId="5" xfId="1" applyFont="1" applyFill="1" applyBorder="1" applyAlignment="1">
      <alignment horizontal="left" vertical="top" wrapText="1"/>
    </xf>
    <xf numFmtId="165" fontId="13" fillId="3" borderId="5" xfId="1" applyNumberFormat="1" applyFont="1" applyFill="1" applyBorder="1" applyAlignment="1">
      <alignment horizontal="right" vertical="top"/>
    </xf>
    <xf numFmtId="4" fontId="13" fillId="3" borderId="1" xfId="1" applyNumberFormat="1" applyFont="1" applyFill="1" applyBorder="1" applyAlignment="1">
      <alignment horizontal="right" vertical="top"/>
    </xf>
    <xf numFmtId="49" fontId="11" fillId="3" borderId="5" xfId="1" applyNumberFormat="1" applyFont="1" applyFill="1" applyBorder="1" applyAlignment="1">
      <alignment vertical="top"/>
    </xf>
    <xf numFmtId="165" fontId="13" fillId="0" borderId="0" xfId="1" applyNumberFormat="1" applyFont="1" applyBorder="1" applyAlignment="1">
      <alignment horizontal="right" vertical="top"/>
    </xf>
    <xf numFmtId="167" fontId="13" fillId="5" borderId="64" xfId="1" applyNumberFormat="1" applyFont="1" applyFill="1" applyBorder="1" applyAlignment="1">
      <alignment horizontal="left" vertical="top"/>
    </xf>
    <xf numFmtId="0" fontId="13" fillId="5" borderId="0" xfId="1" applyFont="1" applyFill="1" applyBorder="1" applyAlignment="1">
      <alignment horizontal="left" vertical="top" wrapText="1"/>
    </xf>
    <xf numFmtId="49" fontId="11" fillId="5" borderId="7" xfId="1" applyNumberFormat="1" applyFont="1" applyFill="1" applyBorder="1" applyAlignment="1">
      <alignment vertical="top"/>
    </xf>
    <xf numFmtId="0" fontId="13" fillId="0" borderId="62" xfId="1" applyFont="1" applyBorder="1" applyAlignment="1">
      <alignment horizontal="left" vertical="top" wrapText="1"/>
    </xf>
    <xf numFmtId="0" fontId="11" fillId="5" borderId="5" xfId="1" applyFont="1" applyFill="1" applyBorder="1" applyAlignment="1">
      <alignment horizontal="left"/>
    </xf>
    <xf numFmtId="0" fontId="0" fillId="5" borderId="5" xfId="1" applyFont="1" applyFill="1" applyBorder="1"/>
    <xf numFmtId="169" fontId="13" fillId="5" borderId="5" xfId="1" applyNumberFormat="1" applyFont="1" applyFill="1" applyBorder="1" applyAlignment="1">
      <alignment horizontal="left" vertical="top"/>
    </xf>
    <xf numFmtId="169" fontId="13" fillId="3" borderId="5" xfId="1" quotePrefix="1" applyNumberFormat="1" applyFont="1" applyFill="1" applyBorder="1" applyAlignment="1">
      <alignment horizontal="left" vertical="top"/>
    </xf>
    <xf numFmtId="171" fontId="13" fillId="3" borderId="5" xfId="1" applyNumberFormat="1" applyFont="1" applyFill="1" applyBorder="1" applyAlignment="1">
      <alignment horizontal="right" vertical="top"/>
    </xf>
    <xf numFmtId="4" fontId="11" fillId="3" borderId="5" xfId="1" applyNumberFormat="1" applyFont="1" applyFill="1" applyBorder="1" applyAlignment="1">
      <alignment vertical="top"/>
    </xf>
    <xf numFmtId="10" fontId="11" fillId="3" borderId="5" xfId="1" applyNumberFormat="1" applyFont="1" applyFill="1" applyBorder="1" applyAlignment="1">
      <alignment vertical="top"/>
    </xf>
    <xf numFmtId="4" fontId="11" fillId="3" borderId="1" xfId="1" applyNumberFormat="1" applyFont="1" applyFill="1" applyBorder="1" applyAlignment="1">
      <alignment vertical="top"/>
    </xf>
    <xf numFmtId="0" fontId="0" fillId="0" borderId="33" xfId="1" applyFont="1" applyBorder="1"/>
    <xf numFmtId="170" fontId="10" fillId="2" borderId="5" xfId="1" applyNumberFormat="1" applyFont="1" applyFill="1" applyBorder="1" applyAlignment="1">
      <alignment horizontal="left" vertical="top"/>
    </xf>
    <xf numFmtId="49" fontId="9" fillId="0" borderId="7" xfId="1" applyNumberFormat="1" applyFont="1" applyBorder="1" applyAlignment="1">
      <alignment vertical="top"/>
    </xf>
    <xf numFmtId="0" fontId="11" fillId="4" borderId="1" xfId="1" applyFont="1" applyFill="1" applyBorder="1" applyAlignment="1">
      <alignment horizontal="left" vertical="top"/>
    </xf>
    <xf numFmtId="169" fontId="13" fillId="4" borderId="5" xfId="1" applyNumberFormat="1" applyFont="1" applyFill="1" applyBorder="1" applyAlignment="1">
      <alignment horizontal="left" vertical="top"/>
    </xf>
    <xf numFmtId="165" fontId="13" fillId="4" borderId="5" xfId="1" applyNumberFormat="1" applyFont="1" applyFill="1" applyBorder="1" applyAlignment="1">
      <alignment horizontal="right" vertical="top"/>
    </xf>
    <xf numFmtId="10" fontId="11" fillId="4" borderId="5" xfId="1" applyNumberFormat="1" applyFont="1" applyFill="1" applyBorder="1" applyAlignment="1">
      <alignment vertical="top"/>
    </xf>
    <xf numFmtId="4" fontId="11" fillId="4" borderId="1" xfId="1" applyNumberFormat="1" applyFont="1" applyFill="1" applyBorder="1" applyAlignment="1">
      <alignment vertical="top"/>
    </xf>
    <xf numFmtId="4" fontId="11" fillId="4" borderId="6" xfId="1" applyNumberFormat="1" applyFont="1" applyFill="1" applyBorder="1" applyAlignment="1">
      <alignment vertical="top"/>
    </xf>
    <xf numFmtId="0" fontId="11" fillId="3" borderId="28" xfId="1" applyFont="1" applyFill="1" applyBorder="1" applyAlignment="1">
      <alignment horizontal="left" vertical="top"/>
    </xf>
    <xf numFmtId="0" fontId="0" fillId="0" borderId="63" xfId="1" applyFont="1" applyBorder="1"/>
    <xf numFmtId="175" fontId="15" fillId="0" borderId="5" xfId="1" applyNumberFormat="1" applyFont="1" applyBorder="1" applyAlignment="1">
      <alignment horizontal="right" vertical="center"/>
    </xf>
    <xf numFmtId="175" fontId="15" fillId="0" borderId="1" xfId="1" applyNumberFormat="1" applyFont="1" applyBorder="1" applyAlignment="1">
      <alignment horizontal="right" vertical="center"/>
    </xf>
    <xf numFmtId="175" fontId="15" fillId="0" borderId="6" xfId="1" applyNumberFormat="1" applyFont="1" applyBorder="1" applyAlignment="1">
      <alignment horizontal="right" vertical="center"/>
    </xf>
    <xf numFmtId="0" fontId="15" fillId="0" borderId="0" xfId="1" applyFont="1" applyBorder="1" applyAlignment="1">
      <alignment horizontal="right" vertical="center" wrapText="1"/>
    </xf>
    <xf numFmtId="175" fontId="15" fillId="0" borderId="0" xfId="1" applyNumberFormat="1" applyFont="1" applyBorder="1" applyAlignment="1">
      <alignment horizontal="right" vertical="center"/>
    </xf>
    <xf numFmtId="10" fontId="15" fillId="0" borderId="0" xfId="1" applyNumberFormat="1" applyFont="1" applyFill="1" applyBorder="1" applyAlignment="1">
      <alignment horizontal="right" vertical="center"/>
    </xf>
    <xf numFmtId="0" fontId="0" fillId="0" borderId="1" xfId="1" applyFont="1" applyBorder="1"/>
    <xf numFmtId="0" fontId="0" fillId="0" borderId="5" xfId="0" applyBorder="1"/>
    <xf numFmtId="4" fontId="0" fillId="0" borderId="0" xfId="0" applyNumberFormat="1"/>
    <xf numFmtId="0" fontId="1" fillId="0" borderId="0" xfId="1" applyFont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5" fillId="0" borderId="5" xfId="1" applyFont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top" wrapText="1"/>
    </xf>
    <xf numFmtId="4" fontId="11" fillId="0" borderId="5" xfId="0" applyNumberFormat="1" applyFont="1" applyBorder="1" applyAlignment="1">
      <alignment vertical="top"/>
    </xf>
    <xf numFmtId="4" fontId="11" fillId="0" borderId="5" xfId="0" applyNumberFormat="1" applyFont="1" applyBorder="1" applyAlignment="1">
      <alignment vertical="top" wrapText="1"/>
    </xf>
    <xf numFmtId="49" fontId="1" fillId="0" borderId="5" xfId="0" applyNumberFormat="1" applyFont="1" applyBorder="1" applyAlignment="1">
      <alignment vertical="top" wrapText="1"/>
    </xf>
    <xf numFmtId="164" fontId="10" fillId="2" borderId="4" xfId="1" applyNumberFormat="1" applyFont="1" applyFill="1" applyBorder="1" applyAlignment="1">
      <alignment horizontal="left" vertical="top"/>
    </xf>
    <xf numFmtId="4" fontId="10" fillId="2" borderId="56" xfId="1" applyNumberFormat="1" applyFont="1" applyFill="1" applyBorder="1" applyAlignment="1">
      <alignment horizontal="right" vertical="top"/>
    </xf>
    <xf numFmtId="4" fontId="13" fillId="5" borderId="66" xfId="1" applyNumberFormat="1" applyFont="1" applyFill="1" applyBorder="1" applyAlignment="1">
      <alignment horizontal="right" vertical="top"/>
    </xf>
    <xf numFmtId="169" fontId="13" fillId="0" borderId="32" xfId="1" applyNumberFormat="1" applyFont="1" applyBorder="1" applyAlignment="1">
      <alignment horizontal="left" vertical="top"/>
    </xf>
    <xf numFmtId="49" fontId="5" fillId="3" borderId="7" xfId="1" applyNumberFormat="1" applyFont="1" applyFill="1" applyBorder="1" applyAlignment="1">
      <alignment vertical="top" wrapText="1"/>
    </xf>
    <xf numFmtId="169" fontId="13" fillId="0" borderId="14" xfId="1" applyNumberFormat="1" applyFont="1" applyBorder="1" applyAlignment="1">
      <alignment horizontal="left" vertical="top"/>
    </xf>
    <xf numFmtId="176" fontId="13" fillId="0" borderId="13" xfId="1" applyNumberFormat="1" applyFont="1" applyBorder="1" applyAlignment="1">
      <alignment horizontal="right" vertical="top"/>
    </xf>
    <xf numFmtId="169" fontId="13" fillId="0" borderId="48" xfId="1" applyNumberFormat="1" applyFont="1" applyBorder="1" applyAlignment="1">
      <alignment horizontal="left" vertical="top"/>
    </xf>
    <xf numFmtId="49" fontId="5" fillId="3" borderId="53" xfId="1" applyNumberFormat="1" applyFont="1" applyFill="1" applyBorder="1" applyAlignment="1">
      <alignment vertical="top" wrapText="1"/>
    </xf>
    <xf numFmtId="168" fontId="10" fillId="2" borderId="20" xfId="1" applyNumberFormat="1" applyFont="1" applyFill="1" applyBorder="1" applyAlignment="1">
      <alignment horizontal="right" vertical="top"/>
    </xf>
    <xf numFmtId="4" fontId="10" fillId="2" borderId="67" xfId="1" applyNumberFormat="1" applyFont="1" applyFill="1" applyBorder="1" applyAlignment="1">
      <alignment horizontal="right" vertical="top"/>
    </xf>
    <xf numFmtId="168" fontId="13" fillId="5" borderId="20" xfId="1" applyNumberFormat="1" applyFont="1" applyFill="1" applyBorder="1" applyAlignment="1">
      <alignment horizontal="right" vertical="top"/>
    </xf>
    <xf numFmtId="166" fontId="13" fillId="3" borderId="9" xfId="1" applyNumberFormat="1" applyFont="1" applyFill="1" applyBorder="1" applyAlignment="1">
      <alignment horizontal="left" vertical="top"/>
    </xf>
    <xf numFmtId="0" fontId="0" fillId="3" borderId="13" xfId="1" applyFont="1" applyFill="1" applyBorder="1"/>
    <xf numFmtId="0" fontId="11" fillId="3" borderId="14" xfId="1" applyFont="1" applyFill="1" applyBorder="1" applyAlignment="1">
      <alignment horizontal="left"/>
    </xf>
    <xf numFmtId="4" fontId="13" fillId="3" borderId="0" xfId="1" applyNumberFormat="1" applyFont="1" applyFill="1" applyBorder="1" applyAlignment="1">
      <alignment horizontal="right" vertical="top"/>
    </xf>
    <xf numFmtId="4" fontId="13" fillId="3" borderId="11" xfId="1" applyNumberFormat="1" applyFont="1" applyFill="1" applyBorder="1" applyAlignment="1">
      <alignment horizontal="right" vertical="top"/>
    </xf>
    <xf numFmtId="49" fontId="19" fillId="3" borderId="53" xfId="1" applyNumberFormat="1" applyFont="1" applyFill="1" applyBorder="1" applyAlignment="1">
      <alignment vertical="top" wrapText="1"/>
    </xf>
    <xf numFmtId="4" fontId="13" fillId="3" borderId="56" xfId="1" applyNumberFormat="1" applyFont="1" applyFill="1" applyBorder="1" applyAlignment="1">
      <alignment horizontal="right" vertical="top"/>
    </xf>
    <xf numFmtId="4" fontId="11" fillId="0" borderId="56" xfId="0" applyNumberFormat="1" applyFont="1" applyBorder="1" applyAlignment="1">
      <alignment vertical="top"/>
    </xf>
    <xf numFmtId="171" fontId="13" fillId="0" borderId="24" xfId="1" applyNumberFormat="1" applyFont="1" applyBorder="1" applyAlignment="1">
      <alignment horizontal="right" vertical="top"/>
    </xf>
    <xf numFmtId="170" fontId="10" fillId="2" borderId="4" xfId="1" applyNumberFormat="1" applyFont="1" applyFill="1" applyBorder="1" applyAlignment="1">
      <alignment horizontal="left" vertical="top"/>
    </xf>
    <xf numFmtId="173" fontId="10" fillId="2" borderId="19" xfId="1" applyNumberFormat="1" applyFont="1" applyFill="1" applyBorder="1" applyAlignment="1">
      <alignment horizontal="right" vertical="top"/>
    </xf>
    <xf numFmtId="170" fontId="10" fillId="3" borderId="9" xfId="1" applyNumberFormat="1" applyFont="1" applyFill="1" applyBorder="1" applyAlignment="1">
      <alignment horizontal="left" vertical="top"/>
    </xf>
    <xf numFmtId="173" fontId="12" fillId="5" borderId="5" xfId="1" applyNumberFormat="1" applyFont="1" applyFill="1" applyBorder="1" applyAlignment="1">
      <alignment horizontal="right" vertical="top"/>
    </xf>
    <xf numFmtId="0" fontId="0" fillId="3" borderId="18" xfId="1" applyFont="1" applyFill="1" applyBorder="1"/>
    <xf numFmtId="0" fontId="13" fillId="3" borderId="39" xfId="1" applyFont="1" applyFill="1" applyBorder="1" applyAlignment="1">
      <alignment horizontal="left" vertical="top" wrapText="1"/>
    </xf>
    <xf numFmtId="49" fontId="20" fillId="3" borderId="60" xfId="1" applyNumberFormat="1" applyFont="1" applyFill="1" applyBorder="1" applyAlignment="1">
      <alignment vertical="top" wrapText="1"/>
    </xf>
    <xf numFmtId="0" fontId="21" fillId="3" borderId="39" xfId="1" applyFont="1" applyFill="1" applyBorder="1"/>
    <xf numFmtId="49" fontId="20" fillId="3" borderId="55" xfId="1" applyNumberFormat="1" applyFont="1" applyFill="1" applyBorder="1" applyAlignment="1">
      <alignment vertical="top" wrapText="1"/>
    </xf>
    <xf numFmtId="0" fontId="11" fillId="5" borderId="39" xfId="1" applyFont="1" applyFill="1" applyBorder="1" applyAlignment="1">
      <alignment horizontal="left"/>
    </xf>
    <xf numFmtId="0" fontId="0" fillId="5" borderId="39" xfId="1" applyFont="1" applyFill="1" applyBorder="1"/>
    <xf numFmtId="0" fontId="12" fillId="5" borderId="44" xfId="1" applyFont="1" applyFill="1" applyBorder="1" applyAlignment="1">
      <alignment horizontal="left" vertical="top" wrapText="1"/>
    </xf>
    <xf numFmtId="173" fontId="12" fillId="5" borderId="39" xfId="1" applyNumberFormat="1" applyFont="1" applyFill="1" applyBorder="1" applyAlignment="1">
      <alignment horizontal="right" vertical="top"/>
    </xf>
    <xf numFmtId="10" fontId="12" fillId="5" borderId="39" xfId="1" applyNumberFormat="1" applyFont="1" applyFill="1" applyBorder="1" applyAlignment="1">
      <alignment horizontal="right" vertical="top"/>
    </xf>
    <xf numFmtId="4" fontId="12" fillId="5" borderId="39" xfId="1" applyNumberFormat="1" applyFont="1" applyFill="1" applyBorder="1" applyAlignment="1">
      <alignment horizontal="right" vertical="top"/>
    </xf>
    <xf numFmtId="4" fontId="12" fillId="5" borderId="33" xfId="1" applyNumberFormat="1" applyFont="1" applyFill="1" applyBorder="1" applyAlignment="1">
      <alignment horizontal="right" vertical="top"/>
    </xf>
    <xf numFmtId="0" fontId="0" fillId="3" borderId="39" xfId="1" applyFont="1" applyFill="1" applyBorder="1"/>
    <xf numFmtId="0" fontId="13" fillId="3" borderId="4" xfId="1" applyFont="1" applyFill="1" applyBorder="1" applyAlignment="1">
      <alignment horizontal="left" vertical="top" wrapText="1"/>
    </xf>
    <xf numFmtId="4" fontId="12" fillId="3" borderId="39" xfId="1" applyNumberFormat="1" applyFont="1" applyFill="1" applyBorder="1" applyAlignment="1">
      <alignment horizontal="right" vertical="top"/>
    </xf>
    <xf numFmtId="10" fontId="12" fillId="3" borderId="39" xfId="1" applyNumberFormat="1" applyFont="1" applyFill="1" applyBorder="1" applyAlignment="1">
      <alignment horizontal="right" vertical="top"/>
    </xf>
    <xf numFmtId="49" fontId="20" fillId="3" borderId="53" xfId="1" applyNumberFormat="1" applyFont="1" applyFill="1" applyBorder="1" applyAlignment="1">
      <alignment vertical="top" wrapText="1"/>
    </xf>
    <xf numFmtId="0" fontId="11" fillId="3" borderId="23" xfId="1" applyFont="1" applyFill="1" applyBorder="1" applyAlignment="1">
      <alignment horizontal="center" vertical="top"/>
    </xf>
    <xf numFmtId="173" fontId="13" fillId="3" borderId="2" xfId="1" applyNumberFormat="1" applyFont="1" applyFill="1" applyBorder="1" applyAlignment="1">
      <alignment horizontal="right" vertical="top"/>
    </xf>
    <xf numFmtId="4" fontId="12" fillId="3" borderId="2" xfId="1" applyNumberFormat="1" applyFont="1" applyFill="1" applyBorder="1" applyAlignment="1">
      <alignment horizontal="right" vertical="top"/>
    </xf>
    <xf numFmtId="10" fontId="12" fillId="3" borderId="2" xfId="1" applyNumberFormat="1" applyFont="1" applyFill="1" applyBorder="1" applyAlignment="1">
      <alignment horizontal="right" vertical="top"/>
    </xf>
    <xf numFmtId="0" fontId="13" fillId="5" borderId="24" xfId="1" applyFont="1" applyFill="1" applyBorder="1" applyAlignment="1">
      <alignment horizontal="left" vertical="top" wrapText="1"/>
    </xf>
    <xf numFmtId="173" fontId="13" fillId="5" borderId="5" xfId="1" applyNumberFormat="1" applyFont="1" applyFill="1" applyBorder="1" applyAlignment="1">
      <alignment horizontal="right" vertical="top"/>
    </xf>
    <xf numFmtId="4" fontId="13" fillId="5" borderId="5" xfId="1" applyNumberFormat="1" applyFont="1" applyFill="1" applyBorder="1" applyAlignment="1">
      <alignment horizontal="right" vertical="top"/>
    </xf>
    <xf numFmtId="4" fontId="13" fillId="5" borderId="71" xfId="1" applyNumberFormat="1" applyFont="1" applyFill="1" applyBorder="1" applyAlignment="1">
      <alignment horizontal="right" vertical="top"/>
    </xf>
    <xf numFmtId="168" fontId="13" fillId="0" borderId="24" xfId="1" applyNumberFormat="1" applyFont="1" applyBorder="1" applyAlignment="1">
      <alignment horizontal="right" vertical="top"/>
    </xf>
    <xf numFmtId="169" fontId="13" fillId="0" borderId="27" xfId="1" applyNumberFormat="1" applyFont="1" applyBorder="1" applyAlignment="1">
      <alignment horizontal="left" vertical="top"/>
    </xf>
    <xf numFmtId="165" fontId="10" fillId="2" borderId="37" xfId="1" applyNumberFormat="1" applyFont="1" applyFill="1" applyBorder="1" applyAlignment="1">
      <alignment horizontal="right" vertical="top"/>
    </xf>
    <xf numFmtId="4" fontId="10" fillId="2" borderId="72" xfId="1" applyNumberFormat="1" applyFont="1" applyFill="1" applyBorder="1" applyAlignment="1">
      <alignment horizontal="right" vertical="top"/>
    </xf>
    <xf numFmtId="0" fontId="0" fillId="5" borderId="9" xfId="1" applyFont="1" applyFill="1" applyBorder="1"/>
    <xf numFmtId="4" fontId="13" fillId="5" borderId="56" xfId="1" applyNumberFormat="1" applyFont="1" applyFill="1" applyBorder="1" applyAlignment="1">
      <alignment horizontal="right" vertical="top"/>
    </xf>
    <xf numFmtId="49" fontId="19" fillId="3" borderId="7" xfId="1" applyNumberFormat="1" applyFont="1" applyFill="1" applyBorder="1" applyAlignment="1">
      <alignment vertical="top" wrapText="1"/>
    </xf>
    <xf numFmtId="172" fontId="13" fillId="0" borderId="9" xfId="1" applyNumberFormat="1" applyFont="1" applyFill="1" applyBorder="1" applyAlignment="1">
      <alignment horizontal="left" vertical="top"/>
    </xf>
    <xf numFmtId="0" fontId="0" fillId="0" borderId="39" xfId="1" applyFont="1" applyFill="1" applyBorder="1"/>
    <xf numFmtId="169" fontId="13" fillId="0" borderId="73" xfId="1" applyNumberFormat="1" applyFont="1" applyBorder="1" applyAlignment="1">
      <alignment horizontal="left" vertical="top"/>
    </xf>
    <xf numFmtId="165" fontId="13" fillId="0" borderId="33" xfId="1" applyNumberFormat="1" applyFont="1" applyFill="1" applyBorder="1" applyAlignment="1">
      <alignment horizontal="right" vertical="top"/>
    </xf>
    <xf numFmtId="4" fontId="13" fillId="0" borderId="33" xfId="1" applyNumberFormat="1" applyFont="1" applyFill="1" applyBorder="1" applyAlignment="1">
      <alignment horizontal="right" vertical="top"/>
    </xf>
    <xf numFmtId="4" fontId="13" fillId="0" borderId="35" xfId="1" applyNumberFormat="1" applyFont="1" applyFill="1" applyBorder="1" applyAlignment="1">
      <alignment horizontal="right" vertical="top"/>
    </xf>
    <xf numFmtId="0" fontId="0" fillId="0" borderId="9" xfId="1" applyFont="1" applyFill="1" applyBorder="1"/>
    <xf numFmtId="165" fontId="13" fillId="5" borderId="20" xfId="1" applyNumberFormat="1" applyFont="1" applyFill="1" applyBorder="1" applyAlignment="1">
      <alignment horizontal="right" vertical="top"/>
    </xf>
    <xf numFmtId="4" fontId="13" fillId="5" borderId="19" xfId="1" applyNumberFormat="1" applyFont="1" applyFill="1" applyBorder="1" applyAlignment="1">
      <alignment horizontal="right" vertical="top"/>
    </xf>
    <xf numFmtId="49" fontId="19" fillId="3" borderId="60" xfId="1" applyNumberFormat="1" applyFont="1" applyFill="1" applyBorder="1" applyAlignment="1">
      <alignment vertical="top" wrapText="1"/>
    </xf>
    <xf numFmtId="0" fontId="13" fillId="0" borderId="74" xfId="1" applyFont="1" applyBorder="1" applyAlignment="1">
      <alignment horizontal="left" vertical="top" wrapText="1"/>
    </xf>
    <xf numFmtId="165" fontId="13" fillId="3" borderId="38" xfId="1" applyNumberFormat="1" applyFont="1" applyFill="1" applyBorder="1" applyAlignment="1">
      <alignment horizontal="right" vertical="top"/>
    </xf>
    <xf numFmtId="4" fontId="13" fillId="3" borderId="33" xfId="1" applyNumberFormat="1" applyFont="1" applyFill="1" applyBorder="1" applyAlignment="1">
      <alignment horizontal="right" vertical="top"/>
    </xf>
    <xf numFmtId="49" fontId="5" fillId="3" borderId="55" xfId="1" applyNumberFormat="1" applyFont="1" applyFill="1" applyBorder="1" applyAlignment="1">
      <alignment vertical="top" wrapText="1"/>
    </xf>
    <xf numFmtId="49" fontId="5" fillId="3" borderId="26" xfId="1" applyNumberFormat="1" applyFont="1" applyFill="1" applyBorder="1" applyAlignment="1">
      <alignment vertical="top" wrapText="1"/>
    </xf>
    <xf numFmtId="4" fontId="11" fillId="0" borderId="33" xfId="0" applyNumberFormat="1" applyFont="1" applyBorder="1" applyAlignment="1">
      <alignment vertical="top"/>
    </xf>
    <xf numFmtId="169" fontId="13" fillId="0" borderId="23" xfId="1" applyNumberFormat="1" applyFont="1" applyBorder="1" applyAlignment="1">
      <alignment horizontal="left" vertical="top"/>
    </xf>
    <xf numFmtId="174" fontId="13" fillId="0" borderId="2" xfId="1" applyNumberFormat="1" applyFont="1" applyBorder="1" applyAlignment="1">
      <alignment horizontal="right" vertical="top"/>
    </xf>
    <xf numFmtId="0" fontId="0" fillId="0" borderId="75" xfId="1" applyFont="1" applyBorder="1"/>
    <xf numFmtId="0" fontId="0" fillId="0" borderId="38" xfId="1" applyFont="1" applyBorder="1"/>
    <xf numFmtId="171" fontId="13" fillId="0" borderId="38" xfId="1" applyNumberFormat="1" applyFont="1" applyBorder="1" applyAlignment="1">
      <alignment horizontal="right" vertical="top"/>
    </xf>
    <xf numFmtId="169" fontId="13" fillId="0" borderId="7" xfId="1" applyNumberFormat="1" applyFont="1" applyBorder="1" applyAlignment="1">
      <alignment horizontal="left" vertical="top"/>
    </xf>
    <xf numFmtId="169" fontId="13" fillId="0" borderId="0" xfId="1" applyNumberFormat="1" applyFont="1" applyBorder="1" applyAlignment="1">
      <alignment horizontal="left" vertical="top"/>
    </xf>
    <xf numFmtId="4" fontId="13" fillId="5" borderId="72" xfId="1" applyNumberFormat="1" applyFont="1" applyFill="1" applyBorder="1" applyAlignment="1">
      <alignment horizontal="right" vertical="top"/>
    </xf>
    <xf numFmtId="170" fontId="10" fillId="2" borderId="44" xfId="1" applyNumberFormat="1" applyFont="1" applyFill="1" applyBorder="1" applyAlignment="1">
      <alignment horizontal="left" vertical="top"/>
    </xf>
    <xf numFmtId="0" fontId="0" fillId="2" borderId="39" xfId="1" applyFont="1" applyFill="1" applyBorder="1"/>
    <xf numFmtId="0" fontId="10" fillId="2" borderId="44" xfId="1" applyFont="1" applyFill="1" applyBorder="1" applyAlignment="1">
      <alignment horizontal="left" vertical="top" wrapText="1"/>
    </xf>
    <xf numFmtId="4" fontId="10" fillId="2" borderId="33" xfId="1" applyNumberFormat="1" applyFont="1" applyFill="1" applyBorder="1" applyAlignment="1">
      <alignment horizontal="right" vertical="top"/>
    </xf>
    <xf numFmtId="4" fontId="11" fillId="0" borderId="72" xfId="1" applyNumberFormat="1" applyFont="1" applyBorder="1" applyAlignment="1">
      <alignment vertical="top"/>
    </xf>
    <xf numFmtId="10" fontId="11" fillId="0" borderId="72" xfId="1" applyNumberFormat="1" applyFont="1" applyBorder="1" applyAlignment="1">
      <alignment vertical="top"/>
    </xf>
    <xf numFmtId="4" fontId="11" fillId="0" borderId="1" xfId="0" applyNumberFormat="1" applyFont="1" applyBorder="1" applyAlignment="1">
      <alignment vertical="top"/>
    </xf>
    <xf numFmtId="4" fontId="11" fillId="0" borderId="42" xfId="0" applyNumberFormat="1" applyFont="1" applyBorder="1" applyAlignment="1">
      <alignment vertical="top"/>
    </xf>
    <xf numFmtId="4" fontId="11" fillId="0" borderId="73" xfId="1" applyNumberFormat="1" applyFont="1" applyBorder="1" applyAlignment="1">
      <alignment vertical="top"/>
    </xf>
    <xf numFmtId="4" fontId="11" fillId="0" borderId="7" xfId="0" applyNumberFormat="1" applyFont="1" applyBorder="1" applyAlignment="1">
      <alignment vertical="top" wrapText="1"/>
    </xf>
    <xf numFmtId="4" fontId="11" fillId="0" borderId="4" xfId="0" applyNumberFormat="1" applyFont="1" applyBorder="1" applyAlignment="1">
      <alignment vertical="top"/>
    </xf>
    <xf numFmtId="4" fontId="11" fillId="0" borderId="51" xfId="1" applyNumberFormat="1" applyFont="1" applyBorder="1" applyAlignment="1">
      <alignment vertical="top"/>
    </xf>
    <xf numFmtId="171" fontId="13" fillId="0" borderId="58" xfId="1" applyNumberFormat="1" applyFont="1" applyBorder="1" applyAlignment="1">
      <alignment horizontal="right" vertical="top"/>
    </xf>
    <xf numFmtId="4" fontId="11" fillId="0" borderId="4" xfId="1" applyNumberFormat="1" applyFont="1" applyBorder="1" applyAlignment="1">
      <alignment vertical="top"/>
    </xf>
    <xf numFmtId="4" fontId="11" fillId="0" borderId="40" xfId="1" applyNumberFormat="1" applyFont="1" applyBorder="1" applyAlignment="1">
      <alignment vertical="top"/>
    </xf>
    <xf numFmtId="171" fontId="13" fillId="0" borderId="37" xfId="1" applyNumberFormat="1" applyFont="1" applyBorder="1" applyAlignment="1">
      <alignment horizontal="right" vertical="top"/>
    </xf>
    <xf numFmtId="49" fontId="5" fillId="3" borderId="22" xfId="1" applyNumberFormat="1" applyFont="1" applyFill="1" applyBorder="1" applyAlignment="1">
      <alignment vertical="top" wrapText="1"/>
    </xf>
    <xf numFmtId="0" fontId="22" fillId="0" borderId="10" xfId="1" applyFont="1" applyBorder="1" applyAlignment="1">
      <alignment horizontal="left" vertical="top" wrapText="1"/>
    </xf>
    <xf numFmtId="173" fontId="22" fillId="0" borderId="9" xfId="1" applyNumberFormat="1" applyFont="1" applyBorder="1" applyAlignment="1">
      <alignment horizontal="right" vertical="top"/>
    </xf>
    <xf numFmtId="4" fontId="23" fillId="0" borderId="56" xfId="1" applyNumberFormat="1" applyFont="1" applyBorder="1" applyAlignment="1">
      <alignment vertical="top"/>
    </xf>
    <xf numFmtId="10" fontId="23" fillId="0" borderId="56" xfId="1" applyNumberFormat="1" applyFont="1" applyBorder="1" applyAlignment="1">
      <alignment vertical="top"/>
    </xf>
    <xf numFmtId="4" fontId="23" fillId="0" borderId="17" xfId="1" applyNumberFormat="1" applyFont="1" applyBorder="1" applyAlignment="1">
      <alignment vertical="top"/>
    </xf>
    <xf numFmtId="169" fontId="22" fillId="0" borderId="0" xfId="1" applyNumberFormat="1" applyFont="1" applyBorder="1" applyAlignment="1">
      <alignment horizontal="left" vertical="top"/>
    </xf>
    <xf numFmtId="165" fontId="22" fillId="0" borderId="9" xfId="1" applyNumberFormat="1" applyFont="1" applyBorder="1" applyAlignment="1">
      <alignment horizontal="right" vertical="top"/>
    </xf>
    <xf numFmtId="49" fontId="25" fillId="3" borderId="53" xfId="1" applyNumberFormat="1" applyFont="1" applyFill="1" applyBorder="1" applyAlignment="1">
      <alignment vertical="top" wrapText="1"/>
    </xf>
    <xf numFmtId="169" fontId="22" fillId="0" borderId="27" xfId="1" applyNumberFormat="1" applyFont="1" applyBorder="1" applyAlignment="1">
      <alignment horizontal="left" vertical="top"/>
    </xf>
    <xf numFmtId="0" fontId="22" fillId="0" borderId="30" xfId="1" applyFont="1" applyBorder="1" applyAlignment="1">
      <alignment horizontal="left" vertical="top" wrapText="1"/>
    </xf>
    <xf numFmtId="165" fontId="22" fillId="0" borderId="24" xfId="1" applyNumberFormat="1" applyFont="1" applyBorder="1" applyAlignment="1">
      <alignment horizontal="right" vertical="top"/>
    </xf>
    <xf numFmtId="4" fontId="23" fillId="0" borderId="33" xfId="1" applyNumberFormat="1" applyFont="1" applyBorder="1" applyAlignment="1">
      <alignment vertical="top"/>
    </xf>
    <xf numFmtId="10" fontId="23" fillId="0" borderId="33" xfId="1" applyNumberFormat="1" applyFont="1" applyBorder="1" applyAlignment="1">
      <alignment vertical="top"/>
    </xf>
    <xf numFmtId="49" fontId="25" fillId="3" borderId="26" xfId="1" applyNumberFormat="1" applyFont="1" applyFill="1" applyBorder="1" applyAlignment="1">
      <alignment vertical="top" wrapText="1"/>
    </xf>
    <xf numFmtId="169" fontId="13" fillId="0" borderId="64" xfId="1" applyNumberFormat="1" applyFont="1" applyBorder="1" applyAlignment="1">
      <alignment horizontal="left" vertical="top"/>
    </xf>
    <xf numFmtId="165" fontId="22" fillId="0" borderId="10" xfId="1" applyNumberFormat="1" applyFont="1" applyBorder="1" applyAlignment="1">
      <alignment horizontal="right" vertical="top"/>
    </xf>
    <xf numFmtId="4" fontId="23" fillId="0" borderId="10" xfId="1" applyNumberFormat="1" applyFont="1" applyBorder="1" applyAlignment="1">
      <alignment vertical="top"/>
    </xf>
    <xf numFmtId="10" fontId="23" fillId="0" borderId="10" xfId="1" applyNumberFormat="1" applyFont="1" applyBorder="1" applyAlignment="1">
      <alignment vertical="top"/>
    </xf>
    <xf numFmtId="4" fontId="23" fillId="0" borderId="9" xfId="1" applyNumberFormat="1" applyFont="1" applyBorder="1" applyAlignment="1">
      <alignment vertical="top"/>
    </xf>
    <xf numFmtId="4" fontId="23" fillId="0" borderId="35" xfId="1" applyNumberFormat="1" applyFont="1" applyBorder="1" applyAlignment="1">
      <alignment vertical="top"/>
    </xf>
    <xf numFmtId="168" fontId="22" fillId="0" borderId="9" xfId="1" applyNumberFormat="1" applyFont="1" applyBorder="1" applyAlignment="1">
      <alignment horizontal="right" vertical="top"/>
    </xf>
    <xf numFmtId="0" fontId="22" fillId="0" borderId="44" xfId="1" applyFont="1" applyBorder="1" applyAlignment="1">
      <alignment horizontal="left" vertical="top" wrapText="1"/>
    </xf>
    <xf numFmtId="168" fontId="22" fillId="0" borderId="39" xfId="1" applyNumberFormat="1" applyFont="1" applyBorder="1" applyAlignment="1">
      <alignment horizontal="right" vertical="top"/>
    </xf>
    <xf numFmtId="168" fontId="13" fillId="0" borderId="57" xfId="1" applyNumberFormat="1" applyFont="1" applyBorder="1" applyAlignment="1">
      <alignment horizontal="right" vertical="top"/>
    </xf>
    <xf numFmtId="49" fontId="19" fillId="3" borderId="68" xfId="1" applyNumberFormat="1" applyFont="1" applyFill="1" applyBorder="1" applyAlignment="1">
      <alignment vertical="top" wrapText="1"/>
    </xf>
    <xf numFmtId="171" fontId="13" fillId="5" borderId="2" xfId="1" applyNumberFormat="1" applyFont="1" applyFill="1" applyBorder="1" applyAlignment="1">
      <alignment horizontal="right" vertical="top"/>
    </xf>
    <xf numFmtId="174" fontId="13" fillId="0" borderId="37" xfId="1" applyNumberFormat="1" applyFont="1" applyBorder="1" applyAlignment="1">
      <alignment horizontal="right" vertical="top"/>
    </xf>
    <xf numFmtId="0" fontId="0" fillId="0" borderId="10" xfId="1" applyFont="1" applyBorder="1"/>
    <xf numFmtId="176" fontId="13" fillId="0" borderId="39" xfId="1" applyNumberFormat="1" applyFont="1" applyBorder="1" applyAlignment="1">
      <alignment horizontal="right" vertical="top"/>
    </xf>
    <xf numFmtId="171" fontId="13" fillId="3" borderId="39" xfId="1" applyNumberFormat="1" applyFont="1" applyFill="1" applyBorder="1" applyAlignment="1">
      <alignment horizontal="right" vertical="top"/>
    </xf>
    <xf numFmtId="49" fontId="19" fillId="3" borderId="26" xfId="1" applyNumberFormat="1" applyFont="1" applyFill="1" applyBorder="1" applyAlignment="1">
      <alignment vertical="top" wrapText="1"/>
    </xf>
    <xf numFmtId="4" fontId="13" fillId="0" borderId="39" xfId="1" applyNumberFormat="1" applyFont="1" applyBorder="1" applyAlignment="1">
      <alignment horizontal="right" vertical="top"/>
    </xf>
    <xf numFmtId="0" fontId="0" fillId="2" borderId="4" xfId="1" applyFont="1" applyFill="1" applyBorder="1"/>
    <xf numFmtId="165" fontId="10" fillId="2" borderId="39" xfId="1" applyNumberFormat="1" applyFont="1" applyFill="1" applyBorder="1" applyAlignment="1">
      <alignment horizontal="right" vertical="top"/>
    </xf>
    <xf numFmtId="0" fontId="0" fillId="0" borderId="18" xfId="1" applyFont="1" applyBorder="1"/>
    <xf numFmtId="4" fontId="13" fillId="5" borderId="33" xfId="1" applyNumberFormat="1" applyFont="1" applyFill="1" applyBorder="1" applyAlignment="1">
      <alignment horizontal="right" vertical="top"/>
    </xf>
    <xf numFmtId="165" fontId="10" fillId="2" borderId="24" xfId="1" applyNumberFormat="1" applyFont="1" applyFill="1" applyBorder="1" applyAlignment="1">
      <alignment horizontal="right" vertical="top"/>
    </xf>
    <xf numFmtId="4" fontId="10" fillId="2" borderId="24" xfId="1" applyNumberFormat="1" applyFont="1" applyFill="1" applyBorder="1" applyAlignment="1">
      <alignment horizontal="right" vertical="top"/>
    </xf>
    <xf numFmtId="10" fontId="10" fillId="2" borderId="24" xfId="1" applyNumberFormat="1" applyFont="1" applyFill="1" applyBorder="1" applyAlignment="1">
      <alignment horizontal="right" vertical="top"/>
    </xf>
    <xf numFmtId="4" fontId="10" fillId="2" borderId="66" xfId="1" applyNumberFormat="1" applyFont="1" applyFill="1" applyBorder="1" applyAlignment="1">
      <alignment horizontal="right" vertical="top"/>
    </xf>
    <xf numFmtId="165" fontId="13" fillId="0" borderId="76" xfId="1" applyNumberFormat="1" applyFont="1" applyBorder="1" applyAlignment="1">
      <alignment horizontal="right" vertical="top"/>
    </xf>
    <xf numFmtId="165" fontId="13" fillId="0" borderId="53" xfId="1" applyNumberFormat="1" applyFont="1" applyBorder="1" applyAlignment="1">
      <alignment horizontal="right" vertical="top"/>
    </xf>
    <xf numFmtId="0" fontId="24" fillId="0" borderId="56" xfId="1" applyFont="1" applyBorder="1" applyAlignment="1">
      <alignment horizontal="left" vertical="top" wrapText="1"/>
    </xf>
    <xf numFmtId="165" fontId="24" fillId="0" borderId="56" xfId="1" applyNumberFormat="1" applyFont="1" applyBorder="1" applyAlignment="1">
      <alignment horizontal="right" vertical="top"/>
    </xf>
    <xf numFmtId="165" fontId="24" fillId="0" borderId="33" xfId="1" applyNumberFormat="1" applyFont="1" applyBorder="1" applyAlignment="1">
      <alignment horizontal="right" vertical="top"/>
    </xf>
    <xf numFmtId="0" fontId="1" fillId="0" borderId="9" xfId="1" applyFont="1" applyBorder="1"/>
    <xf numFmtId="0" fontId="24" fillId="0" borderId="39" xfId="1" applyFont="1" applyBorder="1" applyAlignment="1">
      <alignment horizontal="left" vertical="top" wrapText="1"/>
    </xf>
    <xf numFmtId="0" fontId="11" fillId="3" borderId="23" xfId="1" applyFont="1" applyFill="1" applyBorder="1" applyAlignment="1">
      <alignment horizontal="left" vertical="top"/>
    </xf>
    <xf numFmtId="4" fontId="13" fillId="3" borderId="53" xfId="1" applyNumberFormat="1" applyFont="1" applyFill="1" applyBorder="1" applyAlignment="1">
      <alignment horizontal="right" vertical="top"/>
    </xf>
    <xf numFmtId="4" fontId="13" fillId="3" borderId="67" xfId="1" applyNumberFormat="1" applyFont="1" applyFill="1" applyBorder="1" applyAlignment="1">
      <alignment horizontal="right" vertical="top"/>
    </xf>
    <xf numFmtId="4" fontId="11" fillId="0" borderId="77" xfId="1" applyNumberFormat="1" applyFont="1" applyBorder="1" applyAlignment="1">
      <alignment vertical="top"/>
    </xf>
    <xf numFmtId="4" fontId="13" fillId="0" borderId="37" xfId="1" applyNumberFormat="1" applyFont="1" applyBorder="1" applyAlignment="1">
      <alignment horizontal="right" vertical="top"/>
    </xf>
    <xf numFmtId="172" fontId="13" fillId="3" borderId="34" xfId="1" applyNumberFormat="1" applyFont="1" applyFill="1" applyBorder="1" applyAlignment="1">
      <alignment horizontal="left" vertical="top"/>
    </xf>
    <xf numFmtId="0" fontId="0" fillId="3" borderId="24" xfId="1" applyFont="1" applyFill="1" applyBorder="1"/>
    <xf numFmtId="169" fontId="13" fillId="3" borderId="27" xfId="1" applyNumberFormat="1" applyFont="1" applyFill="1" applyBorder="1" applyAlignment="1">
      <alignment horizontal="left" vertical="top"/>
    </xf>
    <xf numFmtId="0" fontId="13" fillId="3" borderId="30" xfId="1" applyFont="1" applyFill="1" applyBorder="1" applyAlignment="1">
      <alignment horizontal="left" vertical="top" wrapText="1"/>
    </xf>
    <xf numFmtId="168" fontId="13" fillId="3" borderId="24" xfId="1" applyNumberFormat="1" applyFont="1" applyFill="1" applyBorder="1" applyAlignment="1">
      <alignment horizontal="right" vertical="top"/>
    </xf>
    <xf numFmtId="4" fontId="11" fillId="3" borderId="33" xfId="1" applyNumberFormat="1" applyFont="1" applyFill="1" applyBorder="1" applyAlignment="1">
      <alignment vertical="top"/>
    </xf>
    <xf numFmtId="10" fontId="11" fillId="3" borderId="33" xfId="1" applyNumberFormat="1" applyFont="1" applyFill="1" applyBorder="1" applyAlignment="1">
      <alignment vertical="top"/>
    </xf>
    <xf numFmtId="4" fontId="11" fillId="3" borderId="35" xfId="1" applyNumberFormat="1" applyFont="1" applyFill="1" applyBorder="1" applyAlignment="1">
      <alignment vertical="top"/>
    </xf>
    <xf numFmtId="4" fontId="13" fillId="0" borderId="13" xfId="1" applyNumberFormat="1" applyFont="1" applyBorder="1" applyAlignment="1">
      <alignment horizontal="right" vertical="top"/>
    </xf>
    <xf numFmtId="174" fontId="13" fillId="0" borderId="9" xfId="1" applyNumberFormat="1" applyFont="1" applyBorder="1" applyAlignment="1">
      <alignment horizontal="right" vertical="top"/>
    </xf>
    <xf numFmtId="173" fontId="13" fillId="5" borderId="39" xfId="1" applyNumberFormat="1" applyFont="1" applyFill="1" applyBorder="1" applyAlignment="1">
      <alignment horizontal="right" vertical="top"/>
    </xf>
    <xf numFmtId="0" fontId="13" fillId="3" borderId="9" xfId="1" applyFont="1" applyFill="1" applyBorder="1" applyAlignment="1">
      <alignment horizontal="left" vertical="top" wrapText="1"/>
    </xf>
    <xf numFmtId="173" fontId="13" fillId="3" borderId="19" xfId="1" applyNumberFormat="1" applyFont="1" applyFill="1" applyBorder="1" applyAlignment="1">
      <alignment horizontal="right" vertical="top"/>
    </xf>
    <xf numFmtId="10" fontId="11" fillId="3" borderId="19" xfId="1" applyNumberFormat="1" applyFont="1" applyFill="1" applyBorder="1" applyAlignment="1">
      <alignment vertical="top"/>
    </xf>
    <xf numFmtId="4" fontId="19" fillId="3" borderId="53" xfId="1" applyNumberFormat="1" applyFont="1" applyFill="1" applyBorder="1" applyAlignment="1">
      <alignment vertical="top" wrapText="1"/>
    </xf>
    <xf numFmtId="0" fontId="11" fillId="3" borderId="53" xfId="1" applyFont="1" applyFill="1" applyBorder="1" applyAlignment="1">
      <alignment horizontal="left" vertical="top"/>
    </xf>
    <xf numFmtId="0" fontId="12" fillId="3" borderId="56" xfId="1" applyFont="1" applyFill="1" applyBorder="1" applyAlignment="1">
      <alignment horizontal="left" vertical="top" wrapText="1"/>
    </xf>
    <xf numFmtId="173" fontId="12" fillId="3" borderId="56" xfId="1" applyNumberFormat="1" applyFont="1" applyFill="1" applyBorder="1" applyAlignment="1">
      <alignment horizontal="right" vertical="top"/>
    </xf>
    <xf numFmtId="10" fontId="11" fillId="3" borderId="56" xfId="1" applyNumberFormat="1" applyFont="1" applyFill="1" applyBorder="1" applyAlignment="1">
      <alignment vertical="top"/>
    </xf>
    <xf numFmtId="0" fontId="24" fillId="3" borderId="56" xfId="1" applyFont="1" applyFill="1" applyBorder="1" applyAlignment="1">
      <alignment horizontal="left" vertical="top" wrapText="1"/>
    </xf>
    <xf numFmtId="173" fontId="24" fillId="3" borderId="56" xfId="1" applyNumberFormat="1" applyFont="1" applyFill="1" applyBorder="1" applyAlignment="1">
      <alignment horizontal="right" vertical="top"/>
    </xf>
    <xf numFmtId="4" fontId="22" fillId="3" borderId="0" xfId="1" applyNumberFormat="1" applyFont="1" applyFill="1" applyBorder="1" applyAlignment="1">
      <alignment horizontal="right" vertical="top"/>
    </xf>
    <xf numFmtId="10" fontId="23" fillId="3" borderId="56" xfId="1" applyNumberFormat="1" applyFont="1" applyFill="1" applyBorder="1" applyAlignment="1">
      <alignment vertical="top"/>
    </xf>
    <xf numFmtId="4" fontId="26" fillId="3" borderId="53" xfId="1" applyNumberFormat="1" applyFont="1" applyFill="1" applyBorder="1" applyAlignment="1">
      <alignment vertical="top" wrapText="1"/>
    </xf>
    <xf numFmtId="0" fontId="11" fillId="3" borderId="38" xfId="1" applyFont="1" applyFill="1" applyBorder="1" applyAlignment="1">
      <alignment horizontal="left" vertical="top"/>
    </xf>
    <xf numFmtId="0" fontId="24" fillId="3" borderId="33" xfId="1" applyFont="1" applyFill="1" applyBorder="1" applyAlignment="1">
      <alignment horizontal="left" vertical="top" wrapText="1"/>
    </xf>
    <xf numFmtId="173" fontId="22" fillId="3" borderId="33" xfId="1" applyNumberFormat="1" applyFont="1" applyFill="1" applyBorder="1" applyAlignment="1">
      <alignment horizontal="right" vertical="top"/>
    </xf>
    <xf numFmtId="4" fontId="22" fillId="3" borderId="38" xfId="1" applyNumberFormat="1" applyFont="1" applyFill="1" applyBorder="1" applyAlignment="1">
      <alignment horizontal="right" vertical="top"/>
    </xf>
    <xf numFmtId="4" fontId="26" fillId="3" borderId="26" xfId="1" applyNumberFormat="1" applyFont="1" applyFill="1" applyBorder="1" applyAlignment="1">
      <alignment vertical="top" wrapText="1"/>
    </xf>
    <xf numFmtId="169" fontId="13" fillId="0" borderId="63" xfId="1" applyNumberFormat="1" applyFont="1" applyBorder="1" applyAlignment="1">
      <alignment horizontal="left" vertical="top"/>
    </xf>
    <xf numFmtId="165" fontId="13" fillId="0" borderId="62" xfId="1" applyNumberFormat="1" applyFont="1" applyBorder="1" applyAlignment="1">
      <alignment horizontal="right" vertical="top"/>
    </xf>
    <xf numFmtId="49" fontId="22" fillId="0" borderId="10" xfId="1" applyNumberFormat="1" applyFont="1" applyBorder="1" applyAlignment="1">
      <alignment horizontal="left" vertical="top" wrapText="1"/>
    </xf>
    <xf numFmtId="174" fontId="13" fillId="0" borderId="20" xfId="1" applyNumberFormat="1" applyFont="1" applyBorder="1" applyAlignment="1">
      <alignment horizontal="right" vertical="top"/>
    </xf>
    <xf numFmtId="10" fontId="11" fillId="5" borderId="33" xfId="1" applyNumberFormat="1" applyFont="1" applyFill="1" applyBorder="1" applyAlignment="1">
      <alignment vertical="top"/>
    </xf>
    <xf numFmtId="173" fontId="13" fillId="0" borderId="24" xfId="1" applyNumberFormat="1" applyFont="1" applyBorder="1" applyAlignment="1">
      <alignment horizontal="right" vertical="top"/>
    </xf>
    <xf numFmtId="172" fontId="13" fillId="5" borderId="5" xfId="1" applyNumberFormat="1" applyFont="1" applyFill="1" applyBorder="1" applyAlignment="1">
      <alignment horizontal="left" vertical="top"/>
    </xf>
    <xf numFmtId="0" fontId="0" fillId="3" borderId="54" xfId="1" applyFont="1" applyFill="1" applyBorder="1"/>
    <xf numFmtId="4" fontId="13" fillId="3" borderId="77" xfId="1" applyNumberFormat="1" applyFont="1" applyFill="1" applyBorder="1" applyAlignment="1">
      <alignment horizontal="right" vertical="top"/>
    </xf>
    <xf numFmtId="4" fontId="13" fillId="3" borderId="72" xfId="1" applyNumberFormat="1" applyFont="1" applyFill="1" applyBorder="1" applyAlignment="1">
      <alignment horizontal="right" vertical="top"/>
    </xf>
    <xf numFmtId="172" fontId="13" fillId="3" borderId="56" xfId="1" applyNumberFormat="1" applyFont="1" applyFill="1" applyBorder="1" applyAlignment="1">
      <alignment horizontal="left" vertical="top"/>
    </xf>
    <xf numFmtId="0" fontId="0" fillId="3" borderId="47" xfId="1" applyFont="1" applyFill="1" applyBorder="1"/>
    <xf numFmtId="0" fontId="0" fillId="3" borderId="0" xfId="0" applyFill="1"/>
    <xf numFmtId="170" fontId="10" fillId="2" borderId="37" xfId="1" applyNumberFormat="1" applyFont="1" applyFill="1" applyBorder="1" applyAlignment="1">
      <alignment horizontal="left" vertical="top"/>
    </xf>
    <xf numFmtId="173" fontId="10" fillId="2" borderId="37" xfId="1" applyNumberFormat="1" applyFont="1" applyFill="1" applyBorder="1" applyAlignment="1">
      <alignment horizontal="right" vertical="top"/>
    </xf>
    <xf numFmtId="4" fontId="10" fillId="2" borderId="5" xfId="1" applyNumberFormat="1" applyFont="1" applyFill="1" applyBorder="1" applyAlignment="1">
      <alignment horizontal="right" vertical="top"/>
    </xf>
    <xf numFmtId="174" fontId="13" fillId="0" borderId="24" xfId="1" applyNumberFormat="1" applyFont="1" applyBorder="1" applyAlignment="1">
      <alignment horizontal="right" vertical="top"/>
    </xf>
    <xf numFmtId="172" fontId="13" fillId="5" borderId="34" xfId="1" applyNumberFormat="1" applyFont="1" applyFill="1" applyBorder="1" applyAlignment="1">
      <alignment horizontal="left" vertical="top"/>
    </xf>
    <xf numFmtId="173" fontId="13" fillId="5" borderId="19" xfId="1" applyNumberFormat="1" applyFont="1" applyFill="1" applyBorder="1" applyAlignment="1">
      <alignment horizontal="right" vertical="top"/>
    </xf>
    <xf numFmtId="0" fontId="0" fillId="3" borderId="1" xfId="1" applyFont="1" applyFill="1" applyBorder="1"/>
    <xf numFmtId="0" fontId="11" fillId="3" borderId="7" xfId="1" applyFont="1" applyFill="1" applyBorder="1" applyAlignment="1">
      <alignment horizontal="left" vertical="top"/>
    </xf>
    <xf numFmtId="10" fontId="13" fillId="3" borderId="33" xfId="1" applyNumberFormat="1" applyFont="1" applyFill="1" applyBorder="1" applyAlignment="1">
      <alignment horizontal="right" vertical="top"/>
    </xf>
    <xf numFmtId="173" fontId="13" fillId="3" borderId="1" xfId="1" applyNumberFormat="1" applyFont="1" applyFill="1" applyBorder="1" applyAlignment="1">
      <alignment horizontal="right" vertical="top"/>
    </xf>
    <xf numFmtId="172" fontId="13" fillId="3" borderId="10" xfId="1" applyNumberFormat="1" applyFont="1" applyFill="1" applyBorder="1" applyAlignment="1">
      <alignment horizontal="left" vertical="top"/>
    </xf>
    <xf numFmtId="0" fontId="11" fillId="3" borderId="0" xfId="1" applyFont="1" applyFill="1" applyBorder="1" applyAlignment="1">
      <alignment horizontal="left"/>
    </xf>
    <xf numFmtId="173" fontId="13" fillId="3" borderId="9" xfId="1" applyNumberFormat="1" applyFont="1" applyFill="1" applyBorder="1" applyAlignment="1">
      <alignment horizontal="right" vertical="top"/>
    </xf>
    <xf numFmtId="4" fontId="13" fillId="3" borderId="9" xfId="1" applyNumberFormat="1" applyFont="1" applyFill="1" applyBorder="1" applyAlignment="1">
      <alignment horizontal="right" vertical="top"/>
    </xf>
    <xf numFmtId="0" fontId="11" fillId="3" borderId="23" xfId="1" applyFont="1" applyFill="1" applyBorder="1" applyAlignment="1">
      <alignment horizontal="left"/>
    </xf>
    <xf numFmtId="0" fontId="11" fillId="3" borderId="38" xfId="1" applyFont="1" applyFill="1" applyBorder="1" applyAlignment="1">
      <alignment horizontal="left"/>
    </xf>
    <xf numFmtId="173" fontId="13" fillId="3" borderId="39" xfId="1" applyNumberFormat="1" applyFont="1" applyFill="1" applyBorder="1" applyAlignment="1">
      <alignment horizontal="right" vertical="top"/>
    </xf>
    <xf numFmtId="4" fontId="13" fillId="3" borderId="39" xfId="1" applyNumberFormat="1" applyFont="1" applyFill="1" applyBorder="1" applyAlignment="1">
      <alignment horizontal="right" vertical="top"/>
    </xf>
    <xf numFmtId="172" fontId="13" fillId="3" borderId="44" xfId="1" applyNumberFormat="1" applyFont="1" applyFill="1" applyBorder="1" applyAlignment="1">
      <alignment horizontal="left" vertical="top"/>
    </xf>
    <xf numFmtId="172" fontId="13" fillId="5" borderId="44" xfId="1" applyNumberFormat="1" applyFont="1" applyFill="1" applyBorder="1" applyAlignment="1">
      <alignment horizontal="left" vertical="top"/>
    </xf>
    <xf numFmtId="171" fontId="13" fillId="0" borderId="80" xfId="1" applyNumberFormat="1" applyFont="1" applyBorder="1" applyAlignment="1">
      <alignment horizontal="right" vertical="top"/>
    </xf>
    <xf numFmtId="0" fontId="0" fillId="3" borderId="37" xfId="1" applyFont="1" applyFill="1" applyBorder="1"/>
    <xf numFmtId="0" fontId="13" fillId="0" borderId="58" xfId="1" applyFont="1" applyBorder="1" applyAlignment="1">
      <alignment horizontal="left" vertical="top" wrapText="1"/>
    </xf>
    <xf numFmtId="171" fontId="13" fillId="0" borderId="57" xfId="1" applyNumberFormat="1" applyFont="1" applyBorder="1" applyAlignment="1">
      <alignment horizontal="right" vertical="top"/>
    </xf>
    <xf numFmtId="4" fontId="13" fillId="0" borderId="24" xfId="1" applyNumberFormat="1" applyFont="1" applyBorder="1" applyAlignment="1">
      <alignment horizontal="right" vertical="top"/>
    </xf>
    <xf numFmtId="4" fontId="13" fillId="0" borderId="9" xfId="1" applyNumberFormat="1" applyFont="1" applyFill="1" applyBorder="1" applyAlignment="1">
      <alignment horizontal="right" vertical="top"/>
    </xf>
    <xf numFmtId="175" fontId="10" fillId="2" borderId="20" xfId="1" applyNumberFormat="1" applyFont="1" applyFill="1" applyBorder="1" applyAlignment="1">
      <alignment horizontal="right" vertical="top"/>
    </xf>
    <xf numFmtId="175" fontId="13" fillId="5" borderId="37" xfId="1" applyNumberFormat="1" applyFont="1" applyFill="1" applyBorder="1" applyAlignment="1">
      <alignment horizontal="right" vertical="top"/>
    </xf>
    <xf numFmtId="175" fontId="13" fillId="3" borderId="5" xfId="1" applyNumberFormat="1" applyFont="1" applyFill="1" applyBorder="1" applyAlignment="1">
      <alignment horizontal="right" vertical="top"/>
    </xf>
    <xf numFmtId="165" fontId="13" fillId="0" borderId="58" xfId="1" applyNumberFormat="1" applyFont="1" applyBorder="1" applyAlignment="1">
      <alignment horizontal="right" vertical="top"/>
    </xf>
    <xf numFmtId="0" fontId="11" fillId="3" borderId="32" xfId="1" applyFont="1" applyFill="1" applyBorder="1" applyAlignment="1">
      <alignment horizontal="left"/>
    </xf>
    <xf numFmtId="0" fontId="11" fillId="3" borderId="73" xfId="1" applyFont="1" applyFill="1" applyBorder="1" applyAlignment="1">
      <alignment horizontal="left"/>
    </xf>
    <xf numFmtId="0" fontId="0" fillId="5" borderId="1" xfId="1" applyFont="1" applyFill="1" applyBorder="1"/>
    <xf numFmtId="169" fontId="13" fillId="5" borderId="7" xfId="1" applyNumberFormat="1" applyFont="1" applyFill="1" applyBorder="1" applyAlignment="1">
      <alignment horizontal="left" vertical="top"/>
    </xf>
    <xf numFmtId="0" fontId="0" fillId="0" borderId="62" xfId="1" applyFont="1" applyBorder="1"/>
    <xf numFmtId="4" fontId="11" fillId="0" borderId="59" xfId="1" applyNumberFormat="1" applyFont="1" applyBorder="1" applyAlignment="1">
      <alignment vertical="top"/>
    </xf>
    <xf numFmtId="175" fontId="10" fillId="0" borderId="82" xfId="1" applyNumberFormat="1" applyFont="1" applyBorder="1" applyAlignment="1">
      <alignment horizontal="right" vertical="center"/>
    </xf>
    <xf numFmtId="0" fontId="15" fillId="0" borderId="83" xfId="1" applyFont="1" applyBorder="1" applyAlignment="1">
      <alignment horizontal="right" vertical="center" wrapText="1"/>
    </xf>
    <xf numFmtId="0" fontId="15" fillId="0" borderId="84" xfId="1" applyFont="1" applyBorder="1" applyAlignment="1">
      <alignment horizontal="right" vertical="center" wrapText="1"/>
    </xf>
    <xf numFmtId="175" fontId="15" fillId="0" borderId="84" xfId="1" applyNumberFormat="1" applyFont="1" applyBorder="1" applyAlignment="1">
      <alignment horizontal="right" vertical="center"/>
    </xf>
    <xf numFmtId="10" fontId="15" fillId="0" borderId="84" xfId="1" applyNumberFormat="1" applyFont="1" applyBorder="1" applyAlignment="1">
      <alignment horizontal="right" vertical="center"/>
    </xf>
    <xf numFmtId="10" fontId="28" fillId="0" borderId="85" xfId="1" applyNumberFormat="1" applyFont="1" applyBorder="1" applyAlignment="1">
      <alignment horizontal="right" vertical="center"/>
    </xf>
    <xf numFmtId="49" fontId="20" fillId="3" borderId="85" xfId="1" applyNumberFormat="1" applyFont="1" applyFill="1" applyBorder="1" applyAlignment="1">
      <alignment vertical="top" wrapText="1"/>
    </xf>
    <xf numFmtId="175" fontId="11" fillId="0" borderId="56" xfId="0" applyNumberFormat="1" applyFont="1" applyBorder="1"/>
    <xf numFmtId="10" fontId="0" fillId="0" borderId="0" xfId="1" applyNumberFormat="1" applyFont="1" applyAlignment="1">
      <alignment vertical="top"/>
    </xf>
    <xf numFmtId="0" fontId="1" fillId="0" borderId="0" xfId="4"/>
    <xf numFmtId="0" fontId="31" fillId="0" borderId="0" xfId="3" applyNumberFormat="1" applyFont="1" applyFill="1" applyBorder="1" applyAlignment="1" applyProtection="1">
      <alignment vertical="center" wrapText="1"/>
      <protection locked="0"/>
    </xf>
    <xf numFmtId="0" fontId="3" fillId="0" borderId="86" xfId="4" applyFont="1" applyBorder="1" applyAlignment="1">
      <alignment horizontal="left" vertical="center"/>
    </xf>
    <xf numFmtId="0" fontId="31" fillId="0" borderId="86" xfId="3" applyNumberFormat="1" applyFont="1" applyFill="1" applyBorder="1" applyAlignment="1" applyProtection="1">
      <alignment vertical="center" wrapText="1"/>
      <protection locked="0"/>
    </xf>
    <xf numFmtId="0" fontId="1" fillId="0" borderId="86" xfId="4" applyBorder="1" applyAlignment="1"/>
    <xf numFmtId="0" fontId="1" fillId="0" borderId="0" xfId="4" applyBorder="1"/>
    <xf numFmtId="0" fontId="1" fillId="0" borderId="97" xfId="4" applyFont="1" applyBorder="1" applyAlignment="1">
      <alignment vertical="top"/>
    </xf>
    <xf numFmtId="4" fontId="11" fillId="0" borderId="88" xfId="4" applyNumberFormat="1" applyFont="1" applyBorder="1" applyAlignment="1">
      <alignment vertical="top" wrapText="1"/>
    </xf>
    <xf numFmtId="2" fontId="11" fillId="0" borderId="88" xfId="4" applyNumberFormat="1" applyFont="1" applyBorder="1" applyAlignment="1">
      <alignment vertical="top" wrapText="1"/>
    </xf>
    <xf numFmtId="4" fontId="11" fillId="0" borderId="98" xfId="4" applyNumberFormat="1" applyFont="1" applyBorder="1" applyAlignment="1">
      <alignment vertical="top" wrapText="1"/>
    </xf>
    <xf numFmtId="0" fontId="1" fillId="0" borderId="99" xfId="4" applyFont="1" applyBorder="1" applyAlignment="1">
      <alignment vertical="top"/>
    </xf>
    <xf numFmtId="0" fontId="1" fillId="0" borderId="100" xfId="4" applyFont="1" applyBorder="1" applyAlignment="1">
      <alignment vertical="top"/>
    </xf>
    <xf numFmtId="0" fontId="1" fillId="0" borderId="101" xfId="4" applyFont="1" applyBorder="1" applyAlignment="1">
      <alignment horizontal="right"/>
    </xf>
    <xf numFmtId="0" fontId="1" fillId="0" borderId="101" xfId="4" applyFont="1" applyBorder="1"/>
    <xf numFmtId="4" fontId="32" fillId="0" borderId="103" xfId="4" applyNumberFormat="1" applyFont="1" applyBorder="1"/>
    <xf numFmtId="3" fontId="32" fillId="0" borderId="104" xfId="4" applyNumberFormat="1" applyFont="1" applyBorder="1"/>
    <xf numFmtId="4" fontId="32" fillId="0" borderId="105" xfId="4" applyNumberFormat="1" applyFont="1" applyBorder="1"/>
    <xf numFmtId="3" fontId="33" fillId="0" borderId="106" xfId="4" applyNumberFormat="1" applyFont="1" applyBorder="1"/>
    <xf numFmtId="4" fontId="33" fillId="0" borderId="102" xfId="4" applyNumberFormat="1" applyFont="1" applyBorder="1"/>
    <xf numFmtId="4" fontId="33" fillId="0" borderId="107" xfId="4" applyNumberFormat="1" applyFont="1" applyBorder="1"/>
    <xf numFmtId="4" fontId="33" fillId="0" borderId="108" xfId="4" applyNumberFormat="1" applyFont="1" applyBorder="1"/>
    <xf numFmtId="4" fontId="33" fillId="0" borderId="109" xfId="4" applyNumberFormat="1" applyFont="1" applyBorder="1"/>
    <xf numFmtId="4" fontId="33" fillId="0" borderId="110" xfId="4" applyNumberFormat="1" applyFont="1" applyBorder="1"/>
    <xf numFmtId="4" fontId="32" fillId="0" borderId="111" xfId="4" applyNumberFormat="1" applyFont="1" applyBorder="1"/>
    <xf numFmtId="4" fontId="32" fillId="0" borderId="112" xfId="4" applyNumberFormat="1" applyFont="1" applyBorder="1"/>
    <xf numFmtId="0" fontId="1" fillId="0" borderId="65" xfId="4" applyBorder="1"/>
    <xf numFmtId="0" fontId="1" fillId="0" borderId="114" xfId="4" applyBorder="1" applyAlignment="1">
      <alignment horizontal="right"/>
    </xf>
    <xf numFmtId="0" fontId="1" fillId="0" borderId="114" xfId="4" applyFont="1" applyBorder="1"/>
    <xf numFmtId="10" fontId="32" fillId="0" borderId="115" xfId="4" applyNumberFormat="1" applyFont="1" applyBorder="1"/>
    <xf numFmtId="3" fontId="32" fillId="0" borderId="116" xfId="4" applyNumberFormat="1" applyFont="1" applyBorder="1"/>
    <xf numFmtId="4" fontId="32" fillId="0" borderId="117" xfId="4" applyNumberFormat="1" applyFont="1" applyBorder="1"/>
    <xf numFmtId="4" fontId="32" fillId="0" borderId="115" xfId="4" applyNumberFormat="1" applyFont="1" applyBorder="1"/>
    <xf numFmtId="2" fontId="32" fillId="0" borderId="115" xfId="4" applyNumberFormat="1" applyFont="1" applyBorder="1"/>
    <xf numFmtId="3" fontId="32" fillId="0" borderId="112" xfId="4" applyNumberFormat="1" applyFont="1" applyBorder="1"/>
    <xf numFmtId="3" fontId="32" fillId="0" borderId="64" xfId="4" applyNumberFormat="1" applyFont="1" applyBorder="1"/>
    <xf numFmtId="3" fontId="32" fillId="0" borderId="111" xfId="4" applyNumberFormat="1" applyFont="1" applyBorder="1"/>
    <xf numFmtId="3" fontId="1" fillId="0" borderId="0" xfId="1" applyNumberFormat="1"/>
    <xf numFmtId="4" fontId="32" fillId="0" borderId="116" xfId="4" applyNumberFormat="1" applyFont="1" applyBorder="1"/>
    <xf numFmtId="4" fontId="32" fillId="0" borderId="119" xfId="4" applyNumberFormat="1" applyFont="1" applyBorder="1"/>
    <xf numFmtId="4" fontId="32" fillId="0" borderId="120" xfId="4" applyNumberFormat="1" applyFont="1" applyBorder="1"/>
    <xf numFmtId="4" fontId="32" fillId="0" borderId="50" xfId="4" applyNumberFormat="1" applyFont="1" applyBorder="1"/>
    <xf numFmtId="4" fontId="32" fillId="0" borderId="121" xfId="4" applyNumberFormat="1" applyFont="1" applyBorder="1"/>
    <xf numFmtId="0" fontId="1" fillId="0" borderId="70" xfId="4" applyBorder="1"/>
    <xf numFmtId="3" fontId="32" fillId="0" borderId="103" xfId="4" applyNumberFormat="1" applyFont="1" applyBorder="1"/>
    <xf numFmtId="3" fontId="32" fillId="0" borderId="107" xfId="4" applyNumberFormat="1" applyFont="1" applyBorder="1"/>
    <xf numFmtId="3" fontId="32" fillId="0" borderId="108" xfId="4" applyNumberFormat="1" applyFont="1" applyBorder="1"/>
    <xf numFmtId="2" fontId="32" fillId="0" borderId="108" xfId="4" applyNumberFormat="1" applyFont="1" applyBorder="1"/>
    <xf numFmtId="2" fontId="32" fillId="0" borderId="110" xfId="4" applyNumberFormat="1" applyFont="1" applyBorder="1"/>
    <xf numFmtId="0" fontId="1" fillId="0" borderId="69" xfId="4" applyBorder="1"/>
    <xf numFmtId="3" fontId="32" fillId="0" borderId="119" xfId="4" applyNumberFormat="1" applyFont="1" applyBorder="1"/>
    <xf numFmtId="2" fontId="32" fillId="0" borderId="120" xfId="4" applyNumberFormat="1" applyFont="1" applyBorder="1"/>
    <xf numFmtId="3" fontId="32" fillId="0" borderId="50" xfId="4" applyNumberFormat="1" applyFont="1" applyBorder="1"/>
    <xf numFmtId="3" fontId="32" fillId="0" borderId="121" xfId="4" applyNumberFormat="1" applyFont="1" applyBorder="1"/>
    <xf numFmtId="4" fontId="32" fillId="0" borderId="104" xfId="4" applyNumberFormat="1" applyFont="1" applyBorder="1"/>
    <xf numFmtId="0" fontId="32" fillId="0" borderId="107" xfId="4" applyFont="1" applyBorder="1"/>
    <xf numFmtId="2" fontId="32" fillId="0" borderId="109" xfId="4" applyNumberFormat="1" applyFont="1" applyBorder="1"/>
    <xf numFmtId="0" fontId="32" fillId="0" borderId="116" xfId="4" applyFont="1" applyBorder="1"/>
    <xf numFmtId="2" fontId="32" fillId="0" borderId="112" xfId="4" applyNumberFormat="1" applyFont="1" applyBorder="1"/>
    <xf numFmtId="2" fontId="32" fillId="0" borderId="64" xfId="4" applyNumberFormat="1" applyFont="1" applyBorder="1"/>
    <xf numFmtId="2" fontId="32" fillId="0" borderId="111" xfId="4" applyNumberFormat="1" applyFont="1" applyBorder="1"/>
    <xf numFmtId="0" fontId="32" fillId="0" borderId="119" xfId="4" applyFont="1" applyBorder="1"/>
    <xf numFmtId="2" fontId="32" fillId="0" borderId="50" xfId="4" applyNumberFormat="1" applyFont="1" applyBorder="1"/>
    <xf numFmtId="2" fontId="32" fillId="0" borderId="121" xfId="4" applyNumberFormat="1" applyFont="1" applyBorder="1"/>
    <xf numFmtId="4" fontId="32" fillId="0" borderId="108" xfId="4" applyNumberFormat="1" applyFont="1" applyBorder="1"/>
    <xf numFmtId="3" fontId="32" fillId="0" borderId="109" xfId="4" applyNumberFormat="1" applyFont="1" applyBorder="1"/>
    <xf numFmtId="3" fontId="32" fillId="0" borderId="110" xfId="4" applyNumberFormat="1" applyFont="1" applyBorder="1"/>
    <xf numFmtId="4" fontId="32" fillId="0" borderId="110" xfId="4" applyNumberFormat="1" applyFont="1" applyBorder="1"/>
    <xf numFmtId="0" fontId="2" fillId="0" borderId="89" xfId="4" applyFont="1" applyBorder="1"/>
    <xf numFmtId="4" fontId="34" fillId="0" borderId="102" xfId="4" applyNumberFormat="1" applyFont="1" applyBorder="1"/>
    <xf numFmtId="3" fontId="34" fillId="0" borderId="106" xfId="4" applyNumberFormat="1" applyFont="1" applyBorder="1"/>
    <xf numFmtId="4" fontId="34" fillId="0" borderId="124" xfId="4" applyNumberFormat="1" applyFont="1" applyBorder="1"/>
    <xf numFmtId="0" fontId="2" fillId="0" borderId="114" xfId="4" applyFont="1" applyBorder="1"/>
    <xf numFmtId="4" fontId="34" fillId="0" borderId="115" xfId="4" applyNumberFormat="1" applyFont="1" applyBorder="1"/>
    <xf numFmtId="3" fontId="34" fillId="0" borderId="116" xfId="4" applyNumberFormat="1" applyFont="1" applyBorder="1"/>
    <xf numFmtId="4" fontId="34" fillId="0" borderId="117" xfId="4" applyNumberFormat="1" applyFont="1" applyBorder="1"/>
    <xf numFmtId="4" fontId="34" fillId="0" borderId="116" xfId="4" applyNumberFormat="1" applyFont="1" applyBorder="1"/>
    <xf numFmtId="0" fontId="34" fillId="0" borderId="112" xfId="4" applyFont="1" applyBorder="1"/>
    <xf numFmtId="4" fontId="34" fillId="0" borderId="64" xfId="4" applyNumberFormat="1" applyFont="1" applyBorder="1"/>
    <xf numFmtId="4" fontId="34" fillId="0" borderId="111" xfId="4" applyNumberFormat="1" applyFont="1" applyBorder="1"/>
    <xf numFmtId="0" fontId="2" fillId="0" borderId="96" xfId="4" applyFont="1" applyBorder="1"/>
    <xf numFmtId="4" fontId="34" fillId="0" borderId="125" xfId="4" applyNumberFormat="1" applyFont="1" applyBorder="1"/>
    <xf numFmtId="3" fontId="34" fillId="0" borderId="126" xfId="4" applyNumberFormat="1" applyFont="1" applyBorder="1"/>
    <xf numFmtId="4" fontId="34" fillId="0" borderId="127" xfId="4" applyNumberFormat="1" applyFont="1" applyBorder="1"/>
    <xf numFmtId="4" fontId="34" fillId="0" borderId="112" xfId="4" applyNumberFormat="1" applyFont="1" applyBorder="1"/>
    <xf numFmtId="0" fontId="16" fillId="0" borderId="114" xfId="4" applyFont="1" applyBorder="1"/>
    <xf numFmtId="10" fontId="33" fillId="0" borderId="115" xfId="4" applyNumberFormat="1" applyFont="1" applyBorder="1"/>
    <xf numFmtId="3" fontId="33" fillId="0" borderId="116" xfId="4" applyNumberFormat="1" applyFont="1" applyBorder="1"/>
    <xf numFmtId="4" fontId="33" fillId="0" borderId="117" xfId="4" applyNumberFormat="1" applyFont="1" applyBorder="1"/>
    <xf numFmtId="4" fontId="33" fillId="0" borderId="115" xfId="4" applyNumberFormat="1" applyFont="1" applyBorder="1"/>
    <xf numFmtId="2" fontId="33" fillId="0" borderId="115" xfId="4" applyNumberFormat="1" applyFont="1" applyBorder="1"/>
    <xf numFmtId="4" fontId="33" fillId="0" borderId="116" xfId="4" applyNumberFormat="1" applyFont="1" applyBorder="1"/>
    <xf numFmtId="4" fontId="33" fillId="0" borderId="112" xfId="4" applyNumberFormat="1" applyFont="1" applyBorder="1"/>
    <xf numFmtId="4" fontId="33" fillId="0" borderId="64" xfId="4" applyNumberFormat="1" applyFont="1" applyBorder="1"/>
    <xf numFmtId="4" fontId="33" fillId="0" borderId="111" xfId="4" applyNumberFormat="1" applyFont="1" applyBorder="1"/>
    <xf numFmtId="4" fontId="16" fillId="0" borderId="65" xfId="4" applyNumberFormat="1" applyFont="1" applyBorder="1"/>
    <xf numFmtId="0" fontId="1" fillId="0" borderId="89" xfId="4" applyFont="1" applyBorder="1"/>
    <xf numFmtId="4" fontId="32" fillId="0" borderId="102" xfId="4" applyNumberFormat="1" applyFont="1" applyBorder="1"/>
    <xf numFmtId="3" fontId="32" fillId="0" borderId="106" xfId="4" applyNumberFormat="1" applyFont="1" applyBorder="1"/>
    <xf numFmtId="4" fontId="32" fillId="0" borderId="124" xfId="4" applyNumberFormat="1" applyFont="1" applyBorder="1"/>
    <xf numFmtId="4" fontId="34" fillId="0" borderId="106" xfId="4" applyNumberFormat="1" applyFont="1" applyBorder="1"/>
    <xf numFmtId="4" fontId="34" fillId="0" borderId="134" xfId="4" applyNumberFormat="1" applyFont="1" applyBorder="1"/>
    <xf numFmtId="4" fontId="34" fillId="0" borderId="128" xfId="4" applyNumberFormat="1" applyFont="1" applyBorder="1"/>
    <xf numFmtId="2" fontId="34" fillId="0" borderId="115" xfId="4" applyNumberFormat="1" applyFont="1" applyBorder="1"/>
    <xf numFmtId="4" fontId="2" fillId="0" borderId="65" xfId="4" applyNumberFormat="1" applyFont="1" applyBorder="1"/>
    <xf numFmtId="0" fontId="1" fillId="0" borderId="96" xfId="4" applyFont="1" applyBorder="1"/>
    <xf numFmtId="4" fontId="34" fillId="0" borderId="126" xfId="4" applyNumberFormat="1" applyFont="1" applyBorder="1"/>
    <xf numFmtId="4" fontId="34" fillId="0" borderId="131" xfId="4" applyNumberFormat="1" applyFont="1" applyBorder="1"/>
    <xf numFmtId="4" fontId="34" fillId="0" borderId="132" xfId="4" applyNumberFormat="1" applyFont="1" applyBorder="1"/>
    <xf numFmtId="4" fontId="34" fillId="0" borderId="133" xfId="4" applyNumberFormat="1" applyFont="1" applyBorder="1"/>
    <xf numFmtId="4" fontId="32" fillId="0" borderId="64" xfId="4" applyNumberFormat="1" applyFont="1" applyBorder="1"/>
    <xf numFmtId="4" fontId="1" fillId="0" borderId="65" xfId="4" applyNumberFormat="1" applyBorder="1"/>
    <xf numFmtId="0" fontId="32" fillId="0" borderId="112" xfId="4" applyFont="1" applyBorder="1"/>
    <xf numFmtId="0" fontId="2" fillId="0" borderId="87" xfId="4" applyFont="1" applyBorder="1" applyAlignment="1">
      <alignment horizontal="right"/>
    </xf>
    <xf numFmtId="0" fontId="34" fillId="0" borderId="88" xfId="4" applyFont="1" applyBorder="1"/>
    <xf numFmtId="0" fontId="1" fillId="0" borderId="87" xfId="4" applyBorder="1"/>
    <xf numFmtId="4" fontId="32" fillId="0" borderId="88" xfId="4" applyNumberFormat="1" applyFont="1" applyBorder="1"/>
    <xf numFmtId="3" fontId="32" fillId="0" borderId="97" xfId="4" applyNumberFormat="1" applyFont="1" applyBorder="1"/>
    <xf numFmtId="4" fontId="32" fillId="0" borderId="136" xfId="4" applyNumberFormat="1" applyFont="1" applyBorder="1"/>
    <xf numFmtId="2" fontId="32" fillId="0" borderId="88" xfId="4" applyNumberFormat="1" applyFont="1" applyBorder="1"/>
    <xf numFmtId="0" fontId="32" fillId="0" borderId="64" xfId="4" applyFont="1" applyBorder="1"/>
    <xf numFmtId="0" fontId="32" fillId="0" borderId="111" xfId="4" applyFont="1" applyBorder="1"/>
    <xf numFmtId="0" fontId="2" fillId="0" borderId="114" xfId="4" applyFont="1" applyBorder="1" applyAlignment="1">
      <alignment horizontal="right"/>
    </xf>
    <xf numFmtId="0" fontId="34" fillId="0" borderId="115" xfId="4" applyFont="1" applyBorder="1" applyAlignment="1">
      <alignment wrapText="1"/>
    </xf>
    <xf numFmtId="0" fontId="11" fillId="0" borderId="0" xfId="4" applyFont="1"/>
    <xf numFmtId="0" fontId="9" fillId="0" borderId="7" xfId="1" applyFont="1" applyBorder="1" applyAlignment="1">
      <alignment vertical="top"/>
    </xf>
    <xf numFmtId="0" fontId="0" fillId="0" borderId="28" xfId="1" applyFont="1" applyBorder="1"/>
    <xf numFmtId="10" fontId="0" fillId="0" borderId="19" xfId="1" applyNumberFormat="1" applyFont="1" applyBorder="1"/>
    <xf numFmtId="0" fontId="11" fillId="0" borderId="22" xfId="1" applyFont="1" applyBorder="1" applyAlignment="1">
      <alignment vertical="top"/>
    </xf>
    <xf numFmtId="165" fontId="16" fillId="0" borderId="19" xfId="1" applyNumberFormat="1" applyFont="1" applyBorder="1"/>
    <xf numFmtId="0" fontId="0" fillId="0" borderId="38" xfId="0" applyBorder="1"/>
    <xf numFmtId="0" fontId="0" fillId="0" borderId="17" xfId="0" applyBorder="1"/>
    <xf numFmtId="0" fontId="0" fillId="0" borderId="35" xfId="0" applyBorder="1"/>
    <xf numFmtId="0" fontId="0" fillId="0" borderId="53" xfId="0" applyBorder="1"/>
    <xf numFmtId="4" fontId="0" fillId="0" borderId="53" xfId="0" applyNumberFormat="1" applyBorder="1"/>
    <xf numFmtId="0" fontId="33" fillId="0" borderId="22" xfId="1" applyFont="1" applyBorder="1" applyAlignment="1">
      <alignment vertical="top" wrapText="1"/>
    </xf>
    <xf numFmtId="4" fontId="32" fillId="0" borderId="19" xfId="1" applyNumberFormat="1" applyFont="1" applyBorder="1"/>
    <xf numFmtId="0" fontId="32" fillId="0" borderId="0" xfId="1" applyFont="1" applyBorder="1" applyAlignment="1">
      <alignment vertical="top" wrapText="1"/>
    </xf>
    <xf numFmtId="0" fontId="32" fillId="0" borderId="0" xfId="1" applyFont="1" applyBorder="1"/>
    <xf numFmtId="0" fontId="32" fillId="0" borderId="0" xfId="1" applyFont="1" applyAlignment="1">
      <alignment vertical="top" wrapText="1"/>
    </xf>
    <xf numFmtId="0" fontId="32" fillId="0" borderId="0" xfId="0" applyFont="1"/>
    <xf numFmtId="4" fontId="32" fillId="0" borderId="0" xfId="0" applyNumberFormat="1" applyFont="1"/>
    <xf numFmtId="0" fontId="34" fillId="0" borderId="0" xfId="0" applyFont="1"/>
    <xf numFmtId="0" fontId="33" fillId="0" borderId="0" xfId="1" applyFont="1" applyAlignment="1">
      <alignment vertical="top" wrapText="1"/>
    </xf>
    <xf numFmtId="173" fontId="33" fillId="0" borderId="56" xfId="0" applyNumberFormat="1" applyFont="1" applyBorder="1"/>
    <xf numFmtId="173" fontId="33" fillId="0" borderId="17" xfId="0" applyNumberFormat="1" applyFont="1" applyBorder="1"/>
    <xf numFmtId="165" fontId="33" fillId="0" borderId="56" xfId="0" applyNumberFormat="1" applyFont="1" applyBorder="1"/>
    <xf numFmtId="165" fontId="33" fillId="0" borderId="17" xfId="0" applyNumberFormat="1" applyFont="1" applyBorder="1"/>
    <xf numFmtId="4" fontId="33" fillId="0" borderId="56" xfId="0" applyNumberFormat="1" applyFont="1" applyBorder="1"/>
    <xf numFmtId="4" fontId="33" fillId="0" borderId="17" xfId="0" applyNumberFormat="1" applyFont="1" applyBorder="1"/>
    <xf numFmtId="4" fontId="33" fillId="0" borderId="33" xfId="0" applyNumberFormat="1" applyFont="1" applyBorder="1"/>
    <xf numFmtId="4" fontId="33" fillId="0" borderId="35" xfId="0" applyNumberFormat="1" applyFont="1" applyBorder="1"/>
    <xf numFmtId="0" fontId="16" fillId="0" borderId="53" xfId="0" applyFont="1" applyBorder="1"/>
    <xf numFmtId="0" fontId="16" fillId="0" borderId="26" xfId="0" applyFont="1" applyBorder="1"/>
    <xf numFmtId="10" fontId="32" fillId="0" borderId="0" xfId="1" applyNumberFormat="1" applyFont="1" applyBorder="1"/>
    <xf numFmtId="10" fontId="32" fillId="0" borderId="0" xfId="0" applyNumberFormat="1" applyFont="1"/>
    <xf numFmtId="10" fontId="34" fillId="0" borderId="0" xfId="0" applyNumberFormat="1" applyFont="1"/>
    <xf numFmtId="10" fontId="33" fillId="0" borderId="56" xfId="0" applyNumberFormat="1" applyFont="1" applyBorder="1"/>
    <xf numFmtId="10" fontId="33" fillId="0" borderId="33" xfId="0" applyNumberFormat="1" applyFont="1" applyBorder="1"/>
    <xf numFmtId="0" fontId="1" fillId="0" borderId="17" xfId="0" applyFont="1" applyBorder="1"/>
    <xf numFmtId="169" fontId="13" fillId="0" borderId="34" xfId="1" quotePrefix="1" applyNumberFormat="1" applyFont="1" applyBorder="1" applyAlignment="1">
      <alignment horizontal="left" vertical="top"/>
    </xf>
    <xf numFmtId="173" fontId="13" fillId="0" borderId="78" xfId="1" applyNumberFormat="1" applyFont="1" applyBorder="1" applyAlignment="1">
      <alignment horizontal="right" vertical="top"/>
    </xf>
    <xf numFmtId="4" fontId="11" fillId="0" borderId="78" xfId="1" applyNumberFormat="1" applyFont="1" applyBorder="1" applyAlignment="1">
      <alignment vertical="top"/>
    </xf>
    <xf numFmtId="10" fontId="11" fillId="0" borderId="78" xfId="1" applyNumberFormat="1" applyFont="1" applyBorder="1" applyAlignment="1">
      <alignment vertical="top"/>
    </xf>
    <xf numFmtId="4" fontId="11" fillId="0" borderId="79" xfId="1" applyNumberFormat="1" applyFont="1" applyBorder="1" applyAlignment="1">
      <alignment vertical="top"/>
    </xf>
    <xf numFmtId="10" fontId="11" fillId="0" borderId="44" xfId="1" applyNumberFormat="1" applyFont="1" applyBorder="1" applyAlignment="1">
      <alignment vertical="top"/>
    </xf>
    <xf numFmtId="2" fontId="13" fillId="0" borderId="44" xfId="1" applyNumberFormat="1" applyFont="1" applyBorder="1" applyAlignment="1">
      <alignment horizontal="left" vertical="top" wrapText="1"/>
    </xf>
    <xf numFmtId="169" fontId="13" fillId="0" borderId="50" xfId="1" applyNumberFormat="1" applyFont="1" applyBorder="1" applyAlignment="1">
      <alignment horizontal="left" vertical="top"/>
    </xf>
    <xf numFmtId="4" fontId="10" fillId="3" borderId="53" xfId="1" applyNumberFormat="1" applyFont="1" applyFill="1" applyBorder="1" applyAlignment="1">
      <alignment horizontal="right" vertical="top"/>
    </xf>
    <xf numFmtId="4" fontId="13" fillId="3" borderId="68" xfId="1" applyNumberFormat="1" applyFont="1" applyFill="1" applyBorder="1" applyAlignment="1">
      <alignment horizontal="right" vertical="top"/>
    </xf>
    <xf numFmtId="4" fontId="13" fillId="3" borderId="68" xfId="1" applyNumberFormat="1" applyFont="1" applyFill="1" applyBorder="1" applyAlignment="1">
      <alignment horizontal="left" vertical="top" wrapText="1"/>
    </xf>
    <xf numFmtId="4" fontId="13" fillId="3" borderId="7" xfId="1" applyNumberFormat="1" applyFont="1" applyFill="1" applyBorder="1" applyAlignment="1">
      <alignment horizontal="right" vertical="top"/>
    </xf>
    <xf numFmtId="4" fontId="13" fillId="3" borderId="55" xfId="1" applyNumberFormat="1" applyFont="1" applyFill="1" applyBorder="1" applyAlignment="1">
      <alignment horizontal="right" vertical="top"/>
    </xf>
    <xf numFmtId="4" fontId="10" fillId="3" borderId="7" xfId="1" applyNumberFormat="1" applyFont="1" applyFill="1" applyBorder="1" applyAlignment="1">
      <alignment horizontal="right" vertical="top"/>
    </xf>
    <xf numFmtId="173" fontId="13" fillId="3" borderId="22" xfId="1" applyNumberFormat="1" applyFont="1" applyFill="1" applyBorder="1" applyAlignment="1">
      <alignment horizontal="right" vertical="top"/>
    </xf>
    <xf numFmtId="4" fontId="11" fillId="0" borderId="19" xfId="0" applyNumberFormat="1" applyFont="1" applyBorder="1" applyAlignment="1">
      <alignment vertical="top"/>
    </xf>
    <xf numFmtId="4" fontId="11" fillId="0" borderId="19" xfId="0" applyNumberFormat="1" applyFont="1" applyBorder="1" applyAlignment="1">
      <alignment vertical="top" wrapText="1"/>
    </xf>
    <xf numFmtId="4" fontId="11" fillId="3" borderId="7" xfId="1" applyNumberFormat="1" applyFont="1" applyFill="1" applyBorder="1" applyAlignment="1">
      <alignment vertical="top"/>
    </xf>
    <xf numFmtId="4" fontId="10" fillId="3" borderId="55" xfId="1" applyNumberFormat="1" applyFont="1" applyFill="1" applyBorder="1" applyAlignment="1">
      <alignment horizontal="right" vertical="top"/>
    </xf>
    <xf numFmtId="4" fontId="13" fillId="3" borderId="26" xfId="1" applyNumberFormat="1" applyFont="1" applyFill="1" applyBorder="1" applyAlignment="1">
      <alignment horizontal="right" vertical="top"/>
    </xf>
    <xf numFmtId="4" fontId="10" fillId="3" borderId="60" xfId="1" applyNumberFormat="1" applyFont="1" applyFill="1" applyBorder="1" applyAlignment="1">
      <alignment horizontal="right" vertical="top"/>
    </xf>
    <xf numFmtId="173" fontId="10" fillId="3" borderId="22" xfId="1" applyNumberFormat="1" applyFont="1" applyFill="1" applyBorder="1" applyAlignment="1">
      <alignment horizontal="right" vertical="top"/>
    </xf>
    <xf numFmtId="173" fontId="12" fillId="3" borderId="7" xfId="1" applyNumberFormat="1" applyFont="1" applyFill="1" applyBorder="1" applyAlignment="1">
      <alignment horizontal="right" vertical="top"/>
    </xf>
    <xf numFmtId="4" fontId="12" fillId="3" borderId="26" xfId="1" applyNumberFormat="1" applyFont="1" applyFill="1" applyBorder="1" applyAlignment="1">
      <alignment horizontal="right" vertical="top"/>
    </xf>
    <xf numFmtId="4" fontId="13" fillId="3" borderId="22" xfId="1" applyNumberFormat="1" applyFont="1" applyFill="1" applyBorder="1" applyAlignment="1">
      <alignment horizontal="right" vertical="top"/>
    </xf>
    <xf numFmtId="4" fontId="10" fillId="3" borderId="26" xfId="1" applyNumberFormat="1" applyFont="1" applyFill="1" applyBorder="1" applyAlignment="1">
      <alignment horizontal="right" vertical="top"/>
    </xf>
    <xf numFmtId="4" fontId="13" fillId="3" borderId="61" xfId="1" applyNumberFormat="1" applyFont="1" applyFill="1" applyBorder="1" applyAlignment="1">
      <alignment horizontal="right" vertical="top"/>
    </xf>
    <xf numFmtId="173" fontId="13" fillId="3" borderId="7" xfId="1" applyNumberFormat="1" applyFont="1" applyFill="1" applyBorder="1" applyAlignment="1">
      <alignment horizontal="right" vertical="top"/>
    </xf>
    <xf numFmtId="4" fontId="10" fillId="3" borderId="68" xfId="1" applyNumberFormat="1" applyFont="1" applyFill="1" applyBorder="1" applyAlignment="1">
      <alignment horizontal="right" vertical="top"/>
    </xf>
    <xf numFmtId="10" fontId="13" fillId="0" borderId="37" xfId="1" applyNumberFormat="1" applyFont="1" applyFill="1" applyBorder="1" applyAlignment="1">
      <alignment horizontal="right" vertical="top"/>
    </xf>
    <xf numFmtId="0" fontId="11" fillId="5" borderId="9" xfId="1" applyFont="1" applyFill="1" applyBorder="1" applyAlignment="1">
      <alignment horizontal="left"/>
    </xf>
    <xf numFmtId="168" fontId="13" fillId="3" borderId="33" xfId="1" applyNumberFormat="1" applyFont="1" applyFill="1" applyBorder="1" applyAlignment="1">
      <alignment horizontal="right" vertical="top"/>
    </xf>
    <xf numFmtId="4" fontId="13" fillId="3" borderId="27" xfId="1" applyNumberFormat="1" applyFont="1" applyFill="1" applyBorder="1" applyAlignment="1">
      <alignment horizontal="right" vertical="top"/>
    </xf>
    <xf numFmtId="10" fontId="11" fillId="3" borderId="71" xfId="1" applyNumberFormat="1" applyFont="1" applyFill="1" applyBorder="1" applyAlignment="1">
      <alignment vertical="top"/>
    </xf>
    <xf numFmtId="10" fontId="13" fillId="0" borderId="9" xfId="1" applyNumberFormat="1" applyFont="1" applyFill="1" applyBorder="1" applyAlignment="1">
      <alignment horizontal="right" vertical="top"/>
    </xf>
    <xf numFmtId="165" fontId="13" fillId="0" borderId="80" xfId="1" applyNumberFormat="1" applyFont="1" applyBorder="1" applyAlignment="1">
      <alignment horizontal="right" vertical="top"/>
    </xf>
    <xf numFmtId="165" fontId="13" fillId="5" borderId="33" xfId="1" applyNumberFormat="1" applyFont="1" applyFill="1" applyBorder="1" applyAlignment="1">
      <alignment horizontal="right" vertical="top"/>
    </xf>
    <xf numFmtId="49" fontId="22" fillId="0" borderId="44" xfId="1" applyNumberFormat="1" applyFont="1" applyBorder="1" applyAlignment="1">
      <alignment horizontal="left" vertical="top" wrapText="1"/>
    </xf>
    <xf numFmtId="165" fontId="22" fillId="0" borderId="39" xfId="1" applyNumberFormat="1" applyFont="1" applyBorder="1" applyAlignment="1">
      <alignment horizontal="right" vertical="top"/>
    </xf>
    <xf numFmtId="0" fontId="13" fillId="3" borderId="2" xfId="1" applyFont="1" applyFill="1" applyBorder="1" applyAlignment="1">
      <alignment horizontal="left" vertical="top" wrapText="1"/>
    </xf>
    <xf numFmtId="173" fontId="13" fillId="3" borderId="33" xfId="1" applyNumberFormat="1" applyFont="1" applyFill="1" applyBorder="1" applyAlignment="1">
      <alignment horizontal="right" vertical="top"/>
    </xf>
    <xf numFmtId="165" fontId="22" fillId="0" borderId="44" xfId="1" applyNumberFormat="1" applyFont="1" applyBorder="1" applyAlignment="1">
      <alignment horizontal="right" vertical="top"/>
    </xf>
    <xf numFmtId="4" fontId="23" fillId="0" borderId="44" xfId="1" applyNumberFormat="1" applyFont="1" applyBorder="1" applyAlignment="1">
      <alignment vertical="top"/>
    </xf>
    <xf numFmtId="10" fontId="23" fillId="0" borderId="44" xfId="1" applyNumberFormat="1" applyFont="1" applyBorder="1" applyAlignment="1">
      <alignment vertical="top"/>
    </xf>
    <xf numFmtId="4" fontId="23" fillId="0" borderId="39" xfId="1" applyNumberFormat="1" applyFont="1" applyBorder="1" applyAlignment="1">
      <alignment vertical="top"/>
    </xf>
    <xf numFmtId="172" fontId="13" fillId="0" borderId="10" xfId="1" applyNumberFormat="1" applyFont="1" applyFill="1" applyBorder="1" applyAlignment="1">
      <alignment horizontal="left" vertical="top"/>
    </xf>
    <xf numFmtId="0" fontId="11" fillId="3" borderId="5" xfId="1" quotePrefix="1" applyFont="1" applyFill="1" applyBorder="1" applyAlignment="1">
      <alignment horizontal="left" vertical="top"/>
    </xf>
    <xf numFmtId="175" fontId="41" fillId="0" borderId="81" xfId="1" applyNumberFormat="1" applyFont="1" applyBorder="1" applyAlignment="1">
      <alignment horizontal="right" vertical="center"/>
    </xf>
    <xf numFmtId="0" fontId="0" fillId="0" borderId="0" xfId="1" applyFont="1" applyBorder="1" applyAlignment="1">
      <alignment vertical="top" wrapText="1"/>
    </xf>
    <xf numFmtId="4" fontId="40" fillId="0" borderId="0" xfId="1" applyNumberFormat="1" applyFont="1" applyBorder="1"/>
    <xf numFmtId="4" fontId="16" fillId="0" borderId="0" xfId="1" applyNumberFormat="1" applyFont="1" applyBorder="1"/>
    <xf numFmtId="4" fontId="23" fillId="0" borderId="0" xfId="1" applyNumberFormat="1" applyFont="1" applyBorder="1"/>
    <xf numFmtId="0" fontId="2" fillId="0" borderId="0" xfId="1" applyFont="1" applyBorder="1" applyAlignment="1">
      <alignment vertical="top" wrapText="1"/>
    </xf>
    <xf numFmtId="0" fontId="33" fillId="0" borderId="0" xfId="0" applyFont="1" applyBorder="1" applyAlignment="1">
      <alignment horizontal="justify" vertical="center" wrapText="1"/>
    </xf>
    <xf numFmtId="0" fontId="29" fillId="0" borderId="28" xfId="1" applyFont="1" applyBorder="1" applyAlignment="1">
      <alignment vertical="center" wrapText="1"/>
    </xf>
    <xf numFmtId="0" fontId="29" fillId="0" borderId="63" xfId="1" applyFont="1" applyBorder="1" applyAlignment="1">
      <alignment vertical="center" wrapText="1"/>
    </xf>
    <xf numFmtId="0" fontId="39" fillId="0" borderId="22" xfId="1" applyFont="1" applyBorder="1" applyAlignment="1">
      <alignment vertical="center" wrapText="1"/>
    </xf>
    <xf numFmtId="175" fontId="28" fillId="0" borderId="19" xfId="1" applyNumberFormat="1" applyFont="1" applyBorder="1" applyAlignment="1">
      <alignment horizontal="right" vertical="center"/>
    </xf>
    <xf numFmtId="10" fontId="28" fillId="0" borderId="19" xfId="1" applyNumberFormat="1" applyFont="1" applyBorder="1" applyAlignment="1">
      <alignment horizontal="right" vertical="center"/>
    </xf>
    <xf numFmtId="175" fontId="28" fillId="0" borderId="28" xfId="1" applyNumberFormat="1" applyFont="1" applyBorder="1" applyAlignment="1">
      <alignment horizontal="right" vertical="center"/>
    </xf>
    <xf numFmtId="175" fontId="28" fillId="0" borderId="29" xfId="1" applyNumberFormat="1" applyFont="1" applyBorder="1" applyAlignment="1">
      <alignment horizontal="right" vertical="center"/>
    </xf>
    <xf numFmtId="0" fontId="29" fillId="0" borderId="35" xfId="1" applyFont="1" applyBorder="1" applyAlignment="1">
      <alignment vertical="center" wrapText="1"/>
    </xf>
    <xf numFmtId="0" fontId="29" fillId="0" borderId="38" xfId="1" applyFont="1" applyBorder="1" applyAlignment="1">
      <alignment vertical="center" wrapText="1"/>
    </xf>
    <xf numFmtId="175" fontId="37" fillId="0" borderId="33" xfId="1" applyNumberFormat="1" applyFont="1" applyBorder="1" applyAlignment="1">
      <alignment horizontal="right" vertical="center"/>
    </xf>
    <xf numFmtId="0" fontId="29" fillId="0" borderId="17" xfId="1" applyFont="1" applyBorder="1" applyAlignment="1">
      <alignment vertical="center" wrapText="1"/>
    </xf>
    <xf numFmtId="0" fontId="29" fillId="0" borderId="0" xfId="1" applyFont="1" applyBorder="1" applyAlignment="1">
      <alignment vertical="center" wrapText="1"/>
    </xf>
    <xf numFmtId="0" fontId="16" fillId="0" borderId="0" xfId="0" applyFont="1" applyBorder="1"/>
    <xf numFmtId="175" fontId="42" fillId="0" borderId="56" xfId="1" applyNumberFormat="1" applyFont="1" applyBorder="1" applyAlignment="1">
      <alignment horizontal="right" vertical="center"/>
    </xf>
    <xf numFmtId="0" fontId="24" fillId="0" borderId="53" xfId="1" applyFont="1" applyBorder="1" applyAlignment="1">
      <alignment vertical="center" wrapText="1"/>
    </xf>
    <xf numFmtId="175" fontId="24" fillId="0" borderId="56" xfId="1" applyNumberFormat="1" applyFont="1" applyBorder="1" applyAlignment="1">
      <alignment horizontal="right" vertical="center"/>
    </xf>
    <xf numFmtId="0" fontId="23" fillId="0" borderId="53" xfId="0" applyFont="1" applyBorder="1" applyAlignment="1">
      <alignment horizontal="left" vertical="center" wrapText="1"/>
    </xf>
    <xf numFmtId="175" fontId="12" fillId="0" borderId="56" xfId="1" applyNumberFormat="1" applyFont="1" applyBorder="1" applyAlignment="1">
      <alignment horizontal="right" vertical="center"/>
    </xf>
    <xf numFmtId="0" fontId="33" fillId="0" borderId="0" xfId="0" applyFont="1" applyBorder="1"/>
    <xf numFmtId="175" fontId="37" fillId="0" borderId="56" xfId="1" applyNumberFormat="1" applyFont="1" applyBorder="1" applyAlignment="1">
      <alignment horizontal="right" vertical="center"/>
    </xf>
    <xf numFmtId="0" fontId="37" fillId="0" borderId="53" xfId="1" applyFont="1" applyBorder="1" applyAlignment="1">
      <alignment vertical="center" wrapText="1"/>
    </xf>
    <xf numFmtId="0" fontId="0" fillId="0" borderId="28" xfId="1" applyFont="1" applyBorder="1" applyAlignment="1">
      <alignment vertical="top" wrapText="1"/>
    </xf>
    <xf numFmtId="0" fontId="0" fillId="0" borderId="63" xfId="1" applyFont="1" applyBorder="1" applyAlignment="1">
      <alignment vertical="top" wrapText="1"/>
    </xf>
    <xf numFmtId="0" fontId="0" fillId="0" borderId="0" xfId="0" applyBorder="1"/>
    <xf numFmtId="0" fontId="33" fillId="0" borderId="0" xfId="0" applyFont="1" applyBorder="1" applyAlignment="1">
      <alignment horizontal="left" vertical="top" wrapText="1"/>
    </xf>
    <xf numFmtId="168" fontId="33" fillId="0" borderId="56" xfId="0" applyNumberFormat="1" applyFont="1" applyBorder="1" applyAlignment="1">
      <alignment vertical="center"/>
    </xf>
    <xf numFmtId="4" fontId="33" fillId="0" borderId="56" xfId="0" applyNumberFormat="1" applyFont="1" applyBorder="1" applyAlignment="1">
      <alignment vertical="center"/>
    </xf>
    <xf numFmtId="171" fontId="33" fillId="0" borderId="33" xfId="0" applyNumberFormat="1" applyFont="1" applyBorder="1" applyAlignment="1">
      <alignment vertical="center"/>
    </xf>
    <xf numFmtId="175" fontId="37" fillId="0" borderId="35" xfId="1" applyNumberFormat="1" applyFont="1" applyBorder="1" applyAlignment="1">
      <alignment horizontal="right" vertical="center"/>
    </xf>
    <xf numFmtId="0" fontId="33" fillId="0" borderId="26" xfId="0" applyFont="1" applyBorder="1" applyAlignment="1">
      <alignment horizontal="justify" vertical="center" wrapText="1"/>
    </xf>
    <xf numFmtId="0" fontId="0" fillId="0" borderId="17" xfId="1" applyFont="1" applyBorder="1" applyAlignment="1">
      <alignment vertical="top" wrapText="1"/>
    </xf>
    <xf numFmtId="0" fontId="40" fillId="0" borderId="22" xfId="1" applyFont="1" applyBorder="1" applyAlignment="1">
      <alignment vertical="top" wrapText="1"/>
    </xf>
    <xf numFmtId="4" fontId="40" fillId="0" borderId="19" xfId="1" applyNumberFormat="1" applyFont="1" applyBorder="1"/>
    <xf numFmtId="4" fontId="43" fillId="0" borderId="5" xfId="0" applyNumberFormat="1" applyFont="1" applyBorder="1" applyAlignment="1">
      <alignment vertical="top" wrapText="1"/>
    </xf>
    <xf numFmtId="4" fontId="43" fillId="0" borderId="5" xfId="0" applyNumberFormat="1" applyFont="1" applyBorder="1" applyAlignment="1">
      <alignment vertical="top"/>
    </xf>
    <xf numFmtId="4" fontId="19" fillId="3" borderId="68" xfId="1" applyNumberFormat="1" applyFont="1" applyFill="1" applyBorder="1" applyAlignment="1">
      <alignment horizontal="left" vertical="top" wrapText="1"/>
    </xf>
    <xf numFmtId="175" fontId="12" fillId="0" borderId="22" xfId="1" applyNumberFormat="1" applyFont="1" applyBorder="1" applyAlignment="1">
      <alignment horizontal="right" vertical="center"/>
    </xf>
    <xf numFmtId="175" fontId="12" fillId="0" borderId="19" xfId="1" applyNumberFormat="1" applyFont="1" applyBorder="1" applyAlignment="1">
      <alignment horizontal="right" vertical="center"/>
    </xf>
    <xf numFmtId="175" fontId="12" fillId="0" borderId="33" xfId="1" applyNumberFormat="1" applyFont="1" applyBorder="1" applyAlignment="1">
      <alignment horizontal="right" vertical="center"/>
    </xf>
    <xf numFmtId="4" fontId="11" fillId="0" borderId="33" xfId="0" applyNumberFormat="1" applyFont="1" applyBorder="1" applyAlignment="1">
      <alignment vertical="top" wrapText="1"/>
    </xf>
    <xf numFmtId="165" fontId="10" fillId="2" borderId="2" xfId="1" applyNumberFormat="1" applyFont="1" applyFill="1" applyBorder="1" applyAlignment="1">
      <alignment horizontal="right" vertical="top"/>
    </xf>
    <xf numFmtId="4" fontId="11" fillId="0" borderId="140" xfId="4" applyNumberFormat="1" applyFont="1" applyBorder="1" applyAlignment="1">
      <alignment vertical="top" wrapText="1"/>
    </xf>
    <xf numFmtId="0" fontId="1" fillId="0" borderId="17" xfId="4" applyBorder="1"/>
    <xf numFmtId="0" fontId="1" fillId="0" borderId="56" xfId="4" applyBorder="1"/>
    <xf numFmtId="0" fontId="1" fillId="0" borderId="35" xfId="4" applyBorder="1"/>
    <xf numFmtId="0" fontId="1" fillId="0" borderId="28" xfId="4" applyBorder="1"/>
    <xf numFmtId="4" fontId="33" fillId="0" borderId="56" xfId="4" applyNumberFormat="1" applyFont="1" applyBorder="1"/>
    <xf numFmtId="4" fontId="33" fillId="0" borderId="113" xfId="4" applyNumberFormat="1" applyFont="1" applyBorder="1"/>
    <xf numFmtId="4" fontId="1" fillId="0" borderId="17" xfId="4" applyNumberFormat="1" applyBorder="1"/>
    <xf numFmtId="4" fontId="2" fillId="0" borderId="56" xfId="4" applyNumberFormat="1" applyFont="1" applyBorder="1"/>
    <xf numFmtId="4" fontId="1" fillId="0" borderId="33" xfId="4" applyNumberFormat="1" applyBorder="1"/>
    <xf numFmtId="4" fontId="1" fillId="0" borderId="19" xfId="4" applyNumberFormat="1" applyBorder="1"/>
    <xf numFmtId="0" fontId="2" fillId="0" borderId="17" xfId="4" applyFont="1" applyBorder="1"/>
    <xf numFmtId="4" fontId="1" fillId="0" borderId="56" xfId="4" applyNumberFormat="1" applyBorder="1"/>
    <xf numFmtId="4" fontId="32" fillId="0" borderId="0" xfId="4" applyNumberFormat="1" applyFont="1"/>
    <xf numFmtId="0" fontId="11" fillId="3" borderId="44" xfId="1" applyFont="1" applyFill="1" applyBorder="1" applyAlignment="1">
      <alignment horizontal="center"/>
    </xf>
    <xf numFmtId="164" fontId="10" fillId="3" borderId="45" xfId="1" applyNumberFormat="1" applyFont="1" applyFill="1" applyBorder="1" applyAlignment="1">
      <alignment horizontal="left" vertical="top"/>
    </xf>
    <xf numFmtId="0" fontId="11" fillId="4" borderId="24" xfId="1" quotePrefix="1" applyFont="1" applyFill="1" applyBorder="1"/>
    <xf numFmtId="0" fontId="0" fillId="4" borderId="27" xfId="1" applyFont="1" applyFill="1" applyBorder="1"/>
    <xf numFmtId="0" fontId="12" fillId="4" borderId="30" xfId="1" applyFont="1" applyFill="1" applyBorder="1" applyAlignment="1">
      <alignment horizontal="left" vertical="top" wrapText="1"/>
    </xf>
    <xf numFmtId="165" fontId="13" fillId="4" borderId="24" xfId="1" applyNumberFormat="1" applyFont="1" applyFill="1" applyBorder="1" applyAlignment="1">
      <alignment horizontal="right" vertical="top"/>
    </xf>
    <xf numFmtId="165" fontId="10" fillId="2" borderId="4" xfId="1" applyNumberFormat="1" applyFont="1" applyFill="1" applyBorder="1" applyAlignment="1">
      <alignment horizontal="right" vertical="top"/>
    </xf>
    <xf numFmtId="169" fontId="13" fillId="0" borderId="19" xfId="1" applyNumberFormat="1" applyFont="1" applyBorder="1" applyAlignment="1">
      <alignment horizontal="left" vertical="top"/>
    </xf>
    <xf numFmtId="165" fontId="13" fillId="0" borderId="19" xfId="1" applyNumberFormat="1" applyFont="1" applyBorder="1" applyAlignment="1">
      <alignment horizontal="right" vertical="top"/>
    </xf>
    <xf numFmtId="164" fontId="10" fillId="2" borderId="43" xfId="1" applyNumberFormat="1" applyFont="1" applyFill="1" applyBorder="1" applyAlignment="1">
      <alignment horizontal="left" vertical="top"/>
    </xf>
    <xf numFmtId="0" fontId="10" fillId="2" borderId="33" xfId="1" applyFont="1" applyFill="1" applyBorder="1" applyAlignment="1">
      <alignment horizontal="left" vertical="top" wrapText="1"/>
    </xf>
    <xf numFmtId="169" fontId="10" fillId="2" borderId="5" xfId="1" applyNumberFormat="1" applyFont="1" applyFill="1" applyBorder="1" applyAlignment="1">
      <alignment horizontal="left" vertical="top"/>
    </xf>
    <xf numFmtId="0" fontId="11" fillId="0" borderId="5" xfId="1" applyFont="1" applyBorder="1"/>
    <xf numFmtId="0" fontId="9" fillId="2" borderId="5" xfId="1" quotePrefix="1" applyFont="1" applyFill="1" applyBorder="1"/>
    <xf numFmtId="0" fontId="11" fillId="5" borderId="5" xfId="1" quotePrefix="1" applyFont="1" applyFill="1" applyBorder="1"/>
    <xf numFmtId="173" fontId="13" fillId="0" borderId="5" xfId="1" applyNumberFormat="1" applyFont="1" applyBorder="1" applyAlignment="1">
      <alignment horizontal="right" vertical="top"/>
    </xf>
    <xf numFmtId="167" fontId="13" fillId="0" borderId="1" xfId="1" quotePrefix="1" applyNumberFormat="1" applyFont="1" applyBorder="1" applyAlignment="1">
      <alignment horizontal="left" vertical="top"/>
    </xf>
    <xf numFmtId="0" fontId="13" fillId="3" borderId="23" xfId="1" applyFont="1" applyFill="1" applyBorder="1" applyAlignment="1">
      <alignment horizontal="left" vertical="top" wrapText="1"/>
    </xf>
    <xf numFmtId="4" fontId="13" fillId="5" borderId="14" xfId="1" applyNumberFormat="1" applyFont="1" applyFill="1" applyBorder="1" applyAlignment="1">
      <alignment horizontal="right" vertical="top"/>
    </xf>
    <xf numFmtId="4" fontId="33" fillId="0" borderId="53" xfId="0" applyNumberFormat="1" applyFont="1" applyBorder="1"/>
    <xf numFmtId="165" fontId="16" fillId="0" borderId="28" xfId="1" applyNumberFormat="1" applyFont="1" applyBorder="1"/>
    <xf numFmtId="4" fontId="33" fillId="0" borderId="56" xfId="0" applyNumberFormat="1" applyFont="1" applyBorder="1" applyAlignment="1">
      <alignment vertical="top"/>
    </xf>
    <xf numFmtId="10" fontId="33" fillId="0" borderId="56" xfId="0" applyNumberFormat="1" applyFont="1" applyBorder="1" applyAlignment="1">
      <alignment vertical="top"/>
    </xf>
    <xf numFmtId="4" fontId="33" fillId="0" borderId="17" xfId="0" applyNumberFormat="1" applyFont="1" applyBorder="1" applyAlignment="1">
      <alignment vertical="top"/>
    </xf>
    <xf numFmtId="0" fontId="16" fillId="0" borderId="22" xfId="1" applyFont="1" applyBorder="1" applyAlignment="1">
      <alignment vertical="top" wrapText="1"/>
    </xf>
    <xf numFmtId="0" fontId="33" fillId="0" borderId="53" xfId="1" applyFont="1" applyBorder="1" applyAlignment="1">
      <alignment vertical="top" wrapText="1"/>
    </xf>
    <xf numFmtId="0" fontId="30" fillId="0" borderId="53" xfId="1" applyFont="1" applyBorder="1" applyAlignment="1">
      <alignment horizontal="left" vertical="top" wrapText="1"/>
    </xf>
    <xf numFmtId="0" fontId="33" fillId="0" borderId="26" xfId="1" applyFont="1" applyBorder="1" applyAlignment="1">
      <alignment vertical="top" wrapText="1"/>
    </xf>
    <xf numFmtId="4" fontId="10" fillId="2" borderId="25" xfId="1" applyNumberFormat="1" applyFont="1" applyFill="1" applyBorder="1" applyAlignment="1">
      <alignment horizontal="right" vertical="top"/>
    </xf>
    <xf numFmtId="4" fontId="43" fillId="0" borderId="56" xfId="0" applyNumberFormat="1" applyFont="1" applyBorder="1" applyAlignment="1">
      <alignment vertical="top" wrapText="1"/>
    </xf>
    <xf numFmtId="4" fontId="11" fillId="0" borderId="56" xfId="0" applyNumberFormat="1" applyFont="1" applyBorder="1" applyAlignment="1">
      <alignment vertical="top" wrapText="1"/>
    </xf>
    <xf numFmtId="4" fontId="12" fillId="3" borderId="5" xfId="1" applyNumberFormat="1" applyFont="1" applyFill="1" applyBorder="1" applyAlignment="1">
      <alignment horizontal="right" vertical="top"/>
    </xf>
    <xf numFmtId="0" fontId="0" fillId="0" borderId="1" xfId="1" applyFont="1" applyFill="1" applyBorder="1"/>
    <xf numFmtId="4" fontId="13" fillId="0" borderId="141" xfId="1" applyNumberFormat="1" applyFont="1" applyBorder="1" applyAlignment="1">
      <alignment horizontal="right" vertical="top"/>
    </xf>
    <xf numFmtId="4" fontId="13" fillId="0" borderId="57" xfId="1" applyNumberFormat="1" applyFont="1" applyBorder="1" applyAlignment="1">
      <alignment horizontal="right" vertical="top"/>
    </xf>
    <xf numFmtId="165" fontId="13" fillId="0" borderId="57" xfId="1" applyNumberFormat="1" applyFont="1" applyBorder="1" applyAlignment="1">
      <alignment horizontal="right" vertical="top"/>
    </xf>
    <xf numFmtId="0" fontId="24" fillId="0" borderId="10" xfId="1" applyFont="1" applyBorder="1" applyAlignment="1">
      <alignment horizontal="left" vertical="top" wrapText="1"/>
    </xf>
    <xf numFmtId="4" fontId="22" fillId="0" borderId="9" xfId="1" applyNumberFormat="1" applyFont="1" applyBorder="1" applyAlignment="1">
      <alignment horizontal="right" vertical="top"/>
    </xf>
    <xf numFmtId="4" fontId="22" fillId="0" borderId="24" xfId="1" applyNumberFormat="1" applyFont="1" applyBorder="1" applyAlignment="1">
      <alignment horizontal="right" vertical="top"/>
    </xf>
    <xf numFmtId="4" fontId="23" fillId="0" borderId="56" xfId="0" applyNumberFormat="1" applyFont="1" applyBorder="1" applyAlignment="1">
      <alignment vertical="top"/>
    </xf>
    <xf numFmtId="4" fontId="23" fillId="0" borderId="56" xfId="0" applyNumberFormat="1" applyFont="1" applyBorder="1" applyAlignment="1">
      <alignment vertical="top" wrapText="1"/>
    </xf>
    <xf numFmtId="4" fontId="23" fillId="0" borderId="33" xfId="0" applyNumberFormat="1" applyFont="1" applyBorder="1" applyAlignment="1">
      <alignment vertical="top"/>
    </xf>
    <xf numFmtId="4" fontId="23" fillId="0" borderId="33" xfId="0" applyNumberFormat="1" applyFont="1" applyBorder="1" applyAlignment="1">
      <alignment vertical="top" wrapText="1"/>
    </xf>
    <xf numFmtId="165" fontId="13" fillId="0" borderId="74" xfId="1" applyNumberFormat="1" applyFont="1" applyBorder="1" applyAlignment="1">
      <alignment horizontal="right" vertical="top"/>
    </xf>
    <xf numFmtId="0" fontId="11" fillId="3" borderId="51" xfId="1" applyFont="1" applyFill="1" applyBorder="1" applyAlignment="1">
      <alignment horizontal="left" vertical="top"/>
    </xf>
    <xf numFmtId="169" fontId="13" fillId="0" borderId="51" xfId="1" applyNumberFormat="1" applyFont="1" applyBorder="1" applyAlignment="1">
      <alignment horizontal="left" vertical="top"/>
    </xf>
    <xf numFmtId="165" fontId="12" fillId="5" borderId="2" xfId="1" applyNumberFormat="1" applyFont="1" applyFill="1" applyBorder="1" applyAlignment="1">
      <alignment horizontal="right" vertical="top"/>
    </xf>
    <xf numFmtId="4" fontId="12" fillId="5" borderId="72" xfId="1" applyNumberFormat="1" applyFont="1" applyFill="1" applyBorder="1" applyAlignment="1">
      <alignment horizontal="right" vertical="top"/>
    </xf>
    <xf numFmtId="165" fontId="12" fillId="3" borderId="39" xfId="1" applyNumberFormat="1" applyFont="1" applyFill="1" applyBorder="1" applyAlignment="1">
      <alignment horizontal="right" vertical="top"/>
    </xf>
    <xf numFmtId="4" fontId="12" fillId="3" borderId="33" xfId="1" applyNumberFormat="1" applyFont="1" applyFill="1" applyBorder="1" applyAlignment="1">
      <alignment horizontal="right" vertical="top"/>
    </xf>
    <xf numFmtId="165" fontId="12" fillId="3" borderId="2" xfId="1" applyNumberFormat="1" applyFont="1" applyFill="1" applyBorder="1" applyAlignment="1">
      <alignment horizontal="right" vertical="top"/>
    </xf>
    <xf numFmtId="4" fontId="12" fillId="3" borderId="7" xfId="1" applyNumberFormat="1" applyFont="1" applyFill="1" applyBorder="1" applyAlignment="1">
      <alignment horizontal="right" vertical="top"/>
    </xf>
    <xf numFmtId="4" fontId="12" fillId="3" borderId="72" xfId="1" applyNumberFormat="1" applyFont="1" applyFill="1" applyBorder="1" applyAlignment="1">
      <alignment horizontal="right" vertical="top"/>
    </xf>
    <xf numFmtId="10" fontId="12" fillId="5" borderId="2" xfId="1" applyNumberFormat="1" applyFont="1" applyFill="1" applyBorder="1" applyAlignment="1">
      <alignment horizontal="right" vertical="top"/>
    </xf>
    <xf numFmtId="0" fontId="30" fillId="0" borderId="0" xfId="1" applyFont="1" applyBorder="1" applyAlignment="1">
      <alignment vertical="center" wrapText="1"/>
    </xf>
    <xf numFmtId="4" fontId="13" fillId="3" borderId="66" xfId="1" applyNumberFormat="1" applyFont="1" applyFill="1" applyBorder="1" applyAlignment="1">
      <alignment horizontal="right" vertical="top"/>
    </xf>
    <xf numFmtId="4" fontId="13" fillId="5" borderId="67" xfId="1" applyNumberFormat="1" applyFont="1" applyFill="1" applyBorder="1" applyAlignment="1">
      <alignment horizontal="right" vertical="top"/>
    </xf>
    <xf numFmtId="175" fontId="10" fillId="0" borderId="81" xfId="1" applyNumberFormat="1" applyFont="1" applyBorder="1" applyAlignment="1">
      <alignment horizontal="right" vertical="center"/>
    </xf>
    <xf numFmtId="4" fontId="9" fillId="0" borderId="19" xfId="1" applyNumberFormat="1" applyFont="1" applyBorder="1"/>
    <xf numFmtId="171" fontId="13" fillId="5" borderId="9" xfId="1" applyNumberFormat="1" applyFont="1" applyFill="1" applyBorder="1" applyAlignment="1">
      <alignment horizontal="right" vertical="top"/>
    </xf>
    <xf numFmtId="4" fontId="23" fillId="0" borderId="19" xfId="0" applyNumberFormat="1" applyFont="1" applyBorder="1" applyAlignment="1">
      <alignment vertical="top" wrapText="1"/>
    </xf>
    <xf numFmtId="49" fontId="27" fillId="3" borderId="7" xfId="1" applyNumberFormat="1" applyFont="1" applyFill="1" applyBorder="1" applyAlignment="1">
      <alignment vertical="top" wrapText="1"/>
    </xf>
    <xf numFmtId="171" fontId="23" fillId="0" borderId="33" xfId="0" applyNumberFormat="1" applyFont="1" applyBorder="1" applyAlignment="1">
      <alignment vertical="center"/>
    </xf>
    <xf numFmtId="10" fontId="5" fillId="0" borderId="7" xfId="1" applyNumberFormat="1" applyFont="1" applyBorder="1" applyAlignment="1">
      <alignment horizontal="center" vertical="top" wrapText="1"/>
    </xf>
    <xf numFmtId="4" fontId="13" fillId="5" borderId="48" xfId="1" applyNumberFormat="1" applyFont="1" applyFill="1" applyBorder="1" applyAlignment="1">
      <alignment horizontal="right" vertical="top"/>
    </xf>
    <xf numFmtId="175" fontId="41" fillId="0" borderId="139" xfId="1" applyNumberFormat="1" applyFont="1" applyBorder="1" applyAlignment="1">
      <alignment horizontal="right" vertical="center"/>
    </xf>
    <xf numFmtId="175" fontId="42" fillId="0" borderId="17" xfId="1" applyNumberFormat="1" applyFont="1" applyBorder="1" applyAlignment="1">
      <alignment horizontal="right" vertical="center"/>
    </xf>
    <xf numFmtId="175" fontId="37" fillId="0" borderId="17" xfId="1" applyNumberFormat="1" applyFont="1" applyBorder="1" applyAlignment="1">
      <alignment horizontal="right" vertical="center"/>
    </xf>
    <xf numFmtId="4" fontId="40" fillId="0" borderId="28" xfId="1" applyNumberFormat="1" applyFont="1" applyBorder="1"/>
    <xf numFmtId="175" fontId="12" fillId="0" borderId="11" xfId="1" applyNumberFormat="1" applyFont="1" applyBorder="1" applyAlignment="1">
      <alignment horizontal="right" vertical="center"/>
    </xf>
    <xf numFmtId="4" fontId="40" fillId="0" borderId="29" xfId="1" applyNumberFormat="1" applyFont="1" applyBorder="1"/>
    <xf numFmtId="168" fontId="33" fillId="0" borderId="17" xfId="0" applyNumberFormat="1" applyFont="1" applyBorder="1" applyAlignment="1">
      <alignment vertical="center"/>
    </xf>
    <xf numFmtId="4" fontId="33" fillId="0" borderId="17" xfId="0" applyNumberFormat="1" applyFont="1" applyBorder="1" applyAlignment="1">
      <alignment vertical="center"/>
    </xf>
    <xf numFmtId="171" fontId="33" fillId="0" borderId="35" xfId="0" applyNumberFormat="1" applyFont="1" applyBorder="1" applyAlignment="1">
      <alignment vertical="center"/>
    </xf>
    <xf numFmtId="168" fontId="33" fillId="0" borderId="11" xfId="0" applyNumberFormat="1" applyFont="1" applyBorder="1" applyAlignment="1">
      <alignment vertical="center"/>
    </xf>
    <xf numFmtId="4" fontId="33" fillId="0" borderId="11" xfId="0" applyNumberFormat="1" applyFont="1" applyBorder="1" applyAlignment="1">
      <alignment vertical="center"/>
    </xf>
    <xf numFmtId="171" fontId="33" fillId="0" borderId="36" xfId="0" applyNumberFormat="1" applyFont="1" applyBorder="1" applyAlignment="1">
      <alignment vertical="center"/>
    </xf>
    <xf numFmtId="4" fontId="34" fillId="0" borderId="19" xfId="1" applyNumberFormat="1" applyFont="1" applyBorder="1"/>
    <xf numFmtId="0" fontId="11" fillId="5" borderId="2" xfId="1" applyFont="1" applyFill="1" applyBorder="1" applyAlignment="1">
      <alignment horizontal="left"/>
    </xf>
    <xf numFmtId="10" fontId="15" fillId="0" borderId="7" xfId="1" applyNumberFormat="1" applyFont="1" applyBorder="1" applyAlignment="1">
      <alignment horizontal="right" vertical="center"/>
    </xf>
    <xf numFmtId="175" fontId="13" fillId="5" borderId="9" xfId="1" applyNumberFormat="1" applyFont="1" applyFill="1" applyBorder="1" applyAlignment="1">
      <alignment horizontal="right" vertical="top"/>
    </xf>
    <xf numFmtId="170" fontId="10" fillId="2" borderId="77" xfId="1" applyNumberFormat="1" applyFont="1" applyFill="1" applyBorder="1" applyAlignment="1">
      <alignment horizontal="left" vertical="top"/>
    </xf>
    <xf numFmtId="175" fontId="10" fillId="2" borderId="37" xfId="1" applyNumberFormat="1" applyFont="1" applyFill="1" applyBorder="1" applyAlignment="1">
      <alignment horizontal="right" vertical="top"/>
    </xf>
    <xf numFmtId="0" fontId="2" fillId="2" borderId="5" xfId="1" applyFont="1" applyFill="1" applyBorder="1"/>
    <xf numFmtId="0" fontId="2" fillId="2" borderId="23" xfId="1" applyFont="1" applyFill="1" applyBorder="1"/>
    <xf numFmtId="165" fontId="10" fillId="2" borderId="6" xfId="1" applyNumberFormat="1" applyFont="1" applyFill="1" applyBorder="1" applyAlignment="1">
      <alignment horizontal="right" vertical="top"/>
    </xf>
    <xf numFmtId="10" fontId="40" fillId="0" borderId="22" xfId="1" applyNumberFormat="1" applyFont="1" applyBorder="1"/>
    <xf numFmtId="10" fontId="33" fillId="0" borderId="70" xfId="0" applyNumberFormat="1" applyFont="1" applyBorder="1" applyAlignment="1">
      <alignment vertical="center"/>
    </xf>
    <xf numFmtId="10" fontId="13" fillId="3" borderId="20" xfId="1" applyNumberFormat="1" applyFont="1" applyFill="1" applyBorder="1" applyAlignment="1">
      <alignment horizontal="right" vertical="top"/>
    </xf>
    <xf numFmtId="165" fontId="13" fillId="3" borderId="32" xfId="1" applyNumberFormat="1" applyFont="1" applyFill="1" applyBorder="1" applyAlignment="1">
      <alignment horizontal="right" vertical="top"/>
    </xf>
    <xf numFmtId="166" fontId="13" fillId="5" borderId="24" xfId="1" applyNumberFormat="1" applyFont="1" applyFill="1" applyBorder="1" applyAlignment="1">
      <alignment horizontal="left" vertical="top"/>
    </xf>
    <xf numFmtId="0" fontId="11" fillId="5" borderId="5" xfId="1" quotePrefix="1" applyFont="1" applyFill="1" applyBorder="1" applyAlignment="1">
      <alignment vertical="top"/>
    </xf>
    <xf numFmtId="165" fontId="13" fillId="5" borderId="32" xfId="1" applyNumberFormat="1" applyFont="1" applyFill="1" applyBorder="1" applyAlignment="1">
      <alignment horizontal="right" vertical="top"/>
    </xf>
    <xf numFmtId="49" fontId="11" fillId="5" borderId="22" xfId="1" applyNumberFormat="1" applyFont="1" applyFill="1" applyBorder="1" applyAlignment="1">
      <alignment vertical="top"/>
    </xf>
    <xf numFmtId="0" fontId="11" fillId="3" borderId="5" xfId="1" applyFont="1" applyFill="1" applyBorder="1"/>
    <xf numFmtId="171" fontId="13" fillId="0" borderId="19" xfId="1" applyNumberFormat="1" applyFont="1" applyBorder="1" applyAlignment="1">
      <alignment horizontal="right" vertical="top"/>
    </xf>
    <xf numFmtId="167" fontId="13" fillId="5" borderId="5" xfId="1" applyNumberFormat="1" applyFont="1" applyFill="1" applyBorder="1" applyAlignment="1">
      <alignment horizontal="left" vertical="top"/>
    </xf>
    <xf numFmtId="0" fontId="11" fillId="0" borderId="9" xfId="1" applyFont="1" applyBorder="1"/>
    <xf numFmtId="0" fontId="11" fillId="5" borderId="5" xfId="1" applyFont="1" applyFill="1" applyBorder="1" applyAlignment="1">
      <alignment horizontal="left" vertical="top"/>
    </xf>
    <xf numFmtId="10" fontId="12" fillId="3" borderId="22" xfId="1" applyNumberFormat="1" applyFont="1" applyFill="1" applyBorder="1" applyAlignment="1">
      <alignment horizontal="right" vertical="top"/>
    </xf>
    <xf numFmtId="172" fontId="10" fillId="2" borderId="5" xfId="1" applyNumberFormat="1" applyFont="1" applyFill="1" applyBorder="1" applyAlignment="1">
      <alignment horizontal="left" vertical="top"/>
    </xf>
    <xf numFmtId="0" fontId="9" fillId="2" borderId="5" xfId="1" applyFont="1" applyFill="1" applyBorder="1" applyAlignment="1">
      <alignment horizontal="left" vertical="top"/>
    </xf>
    <xf numFmtId="10" fontId="10" fillId="2" borderId="5" xfId="1" applyNumberFormat="1" applyFont="1" applyFill="1" applyBorder="1" applyAlignment="1">
      <alignment horizontal="right" vertical="top"/>
    </xf>
    <xf numFmtId="0" fontId="13" fillId="5" borderId="62" xfId="1" applyFont="1" applyFill="1" applyBorder="1" applyAlignment="1">
      <alignment horizontal="left" vertical="top" wrapText="1"/>
    </xf>
    <xf numFmtId="10" fontId="15" fillId="0" borderId="5" xfId="1" applyNumberFormat="1" applyFont="1" applyBorder="1" applyAlignment="1">
      <alignment horizontal="right" vertical="center"/>
    </xf>
    <xf numFmtId="165" fontId="10" fillId="2" borderId="1" xfId="1" applyNumberFormat="1" applyFont="1" applyFill="1" applyBorder="1" applyAlignment="1">
      <alignment horizontal="right" vertical="top"/>
    </xf>
    <xf numFmtId="4" fontId="13" fillId="5" borderId="1" xfId="1" applyNumberFormat="1" applyFont="1" applyFill="1" applyBorder="1" applyAlignment="1">
      <alignment horizontal="right" vertical="top"/>
    </xf>
    <xf numFmtId="49" fontId="11" fillId="0" borderId="5" xfId="1" applyNumberFormat="1" applyFont="1" applyBorder="1" applyAlignment="1">
      <alignment vertical="top" wrapText="1"/>
    </xf>
    <xf numFmtId="0" fontId="8" fillId="0" borderId="3" xfId="1" applyFont="1" applyBorder="1" applyAlignment="1">
      <alignment vertical="center"/>
    </xf>
    <xf numFmtId="0" fontId="47" fillId="0" borderId="2" xfId="1" applyFont="1" applyBorder="1" applyAlignment="1">
      <alignment horizontal="center" vertical="center"/>
    </xf>
    <xf numFmtId="0" fontId="47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10" fontId="41" fillId="0" borderId="81" xfId="1" applyNumberFormat="1" applyFont="1" applyBorder="1" applyAlignment="1">
      <alignment horizontal="right" vertical="center"/>
    </xf>
    <xf numFmtId="165" fontId="12" fillId="5" borderId="23" xfId="1" applyNumberFormat="1" applyFont="1" applyFill="1" applyBorder="1" applyAlignment="1">
      <alignment horizontal="right" vertical="top"/>
    </xf>
    <xf numFmtId="175" fontId="12" fillId="0" borderId="53" xfId="1" applyNumberFormat="1" applyFont="1" applyBorder="1" applyAlignment="1">
      <alignment horizontal="right" vertical="center"/>
    </xf>
    <xf numFmtId="175" fontId="24" fillId="0" borderId="53" xfId="1" applyNumberFormat="1" applyFont="1" applyBorder="1" applyAlignment="1">
      <alignment horizontal="right" vertical="center"/>
    </xf>
    <xf numFmtId="175" fontId="24" fillId="0" borderId="26" xfId="1" applyNumberFormat="1" applyFont="1" applyBorder="1" applyAlignment="1">
      <alignment horizontal="right" vertical="center"/>
    </xf>
    <xf numFmtId="4" fontId="40" fillId="0" borderId="22" xfId="1" applyNumberFormat="1" applyFont="1" applyBorder="1"/>
    <xf numFmtId="168" fontId="33" fillId="0" borderId="53" xfId="0" applyNumberFormat="1" applyFont="1" applyBorder="1" applyAlignment="1">
      <alignment vertical="center"/>
    </xf>
    <xf numFmtId="4" fontId="33" fillId="0" borderId="53" xfId="0" applyNumberFormat="1" applyFont="1" applyBorder="1" applyAlignment="1">
      <alignment vertical="center"/>
    </xf>
    <xf numFmtId="171" fontId="33" fillId="0" borderId="26" xfId="0" applyNumberFormat="1" applyFont="1" applyBorder="1" applyAlignment="1">
      <alignment vertical="center"/>
    </xf>
    <xf numFmtId="0" fontId="33" fillId="0" borderId="0" xfId="0" applyFont="1" applyBorder="1" applyAlignment="1">
      <alignment horizontal="justify" vertical="center"/>
    </xf>
    <xf numFmtId="10" fontId="40" fillId="0" borderId="53" xfId="1" applyNumberFormat="1" applyFont="1" applyBorder="1"/>
    <xf numFmtId="10" fontId="33" fillId="0" borderId="53" xfId="0" applyNumberFormat="1" applyFont="1" applyBorder="1" applyAlignment="1">
      <alignment vertical="center"/>
    </xf>
    <xf numFmtId="10" fontId="30" fillId="0" borderId="53" xfId="1" applyNumberFormat="1" applyFont="1" applyBorder="1" applyAlignment="1">
      <alignment horizontal="right" vertical="center"/>
    </xf>
    <xf numFmtId="10" fontId="41" fillId="0" borderId="139" xfId="1" applyNumberFormat="1" applyFont="1" applyBorder="1" applyAlignment="1">
      <alignment horizontal="right" vertical="center"/>
    </xf>
    <xf numFmtId="0" fontId="9" fillId="0" borderId="147" xfId="1" applyFont="1" applyBorder="1" applyAlignment="1">
      <alignment horizontal="center" vertical="center" wrapText="1"/>
    </xf>
    <xf numFmtId="4" fontId="10" fillId="2" borderId="142" xfId="1" applyNumberFormat="1" applyFont="1" applyFill="1" applyBorder="1" applyAlignment="1">
      <alignment horizontal="right" vertical="top"/>
    </xf>
    <xf numFmtId="4" fontId="13" fillId="4" borderId="148" xfId="1" applyNumberFormat="1" applyFont="1" applyFill="1" applyBorder="1" applyAlignment="1">
      <alignment horizontal="right" vertical="top"/>
    </xf>
    <xf numFmtId="4" fontId="13" fillId="3" borderId="148" xfId="1" applyNumberFormat="1" applyFont="1" applyFill="1" applyBorder="1" applyAlignment="1">
      <alignment horizontal="right" vertical="top"/>
    </xf>
    <xf numFmtId="4" fontId="13" fillId="3" borderId="149" xfId="1" applyNumberFormat="1" applyFont="1" applyFill="1" applyBorder="1" applyAlignment="1">
      <alignment horizontal="right" vertical="top"/>
    </xf>
    <xf numFmtId="4" fontId="13" fillId="5" borderId="149" xfId="1" applyNumberFormat="1" applyFont="1" applyFill="1" applyBorder="1" applyAlignment="1">
      <alignment horizontal="right" vertical="top"/>
    </xf>
    <xf numFmtId="4" fontId="13" fillId="5" borderId="148" xfId="1" applyNumberFormat="1" applyFont="1" applyFill="1" applyBorder="1" applyAlignment="1">
      <alignment horizontal="right" vertical="top"/>
    </xf>
    <xf numFmtId="4" fontId="11" fillId="0" borderId="147" xfId="1" applyNumberFormat="1" applyFont="1" applyBorder="1" applyAlignment="1">
      <alignment vertical="top"/>
    </xf>
    <xf numFmtId="4" fontId="11" fillId="0" borderId="150" xfId="1" applyNumberFormat="1" applyFont="1" applyBorder="1" applyAlignment="1">
      <alignment vertical="top"/>
    </xf>
    <xf numFmtId="4" fontId="9" fillId="2" borderId="147" xfId="1" applyNumberFormat="1" applyFont="1" applyFill="1" applyBorder="1" applyAlignment="1">
      <alignment vertical="top"/>
    </xf>
    <xf numFmtId="4" fontId="11" fillId="5" borderId="147" xfId="1" applyNumberFormat="1" applyFont="1" applyFill="1" applyBorder="1" applyAlignment="1">
      <alignment vertical="top"/>
    </xf>
    <xf numFmtId="4" fontId="10" fillId="2" borderId="151" xfId="1" applyNumberFormat="1" applyFont="1" applyFill="1" applyBorder="1" applyAlignment="1">
      <alignment horizontal="right" vertical="top"/>
    </xf>
    <xf numFmtId="4" fontId="10" fillId="2" borderId="150" xfId="1" applyNumberFormat="1" applyFont="1" applyFill="1" applyBorder="1" applyAlignment="1">
      <alignment horizontal="right" vertical="top"/>
    </xf>
    <xf numFmtId="4" fontId="10" fillId="2" borderId="152" xfId="1" applyNumberFormat="1" applyFont="1" applyFill="1" applyBorder="1" applyAlignment="1">
      <alignment horizontal="right" vertical="top"/>
    </xf>
    <xf numFmtId="4" fontId="13" fillId="5" borderId="151" xfId="1" applyNumberFormat="1" applyFont="1" applyFill="1" applyBorder="1" applyAlignment="1">
      <alignment horizontal="right" vertical="top"/>
    </xf>
    <xf numFmtId="4" fontId="11" fillId="0" borderId="152" xfId="1" applyNumberFormat="1" applyFont="1" applyBorder="1" applyAlignment="1">
      <alignment vertical="top"/>
    </xf>
    <xf numFmtId="4" fontId="10" fillId="2" borderId="149" xfId="1" applyNumberFormat="1" applyFont="1" applyFill="1" applyBorder="1" applyAlignment="1">
      <alignment horizontal="right" vertical="top"/>
    </xf>
    <xf numFmtId="4" fontId="13" fillId="5" borderId="153" xfId="1" applyNumberFormat="1" applyFont="1" applyFill="1" applyBorder="1" applyAlignment="1">
      <alignment horizontal="right" vertical="top"/>
    </xf>
    <xf numFmtId="4" fontId="10" fillId="2" borderId="153" xfId="1" applyNumberFormat="1" applyFont="1" applyFill="1" applyBorder="1" applyAlignment="1">
      <alignment horizontal="right" vertical="top"/>
    </xf>
    <xf numFmtId="4" fontId="13" fillId="5" borderId="152" xfId="1" applyNumberFormat="1" applyFont="1" applyFill="1" applyBorder="1" applyAlignment="1">
      <alignment horizontal="right" vertical="top"/>
    </xf>
    <xf numFmtId="4" fontId="9" fillId="2" borderId="152" xfId="1" applyNumberFormat="1" applyFont="1" applyFill="1" applyBorder="1" applyAlignment="1">
      <alignment vertical="top"/>
    </xf>
    <xf numFmtId="4" fontId="10" fillId="2" borderId="147" xfId="1" applyNumberFormat="1" applyFont="1" applyFill="1" applyBorder="1" applyAlignment="1">
      <alignment horizontal="right" vertical="top"/>
    </xf>
    <xf numFmtId="4" fontId="13" fillId="5" borderId="142" xfId="1" applyNumberFormat="1" applyFont="1" applyFill="1" applyBorder="1" applyAlignment="1">
      <alignment horizontal="right" vertical="top"/>
    </xf>
    <xf numFmtId="4" fontId="11" fillId="0" borderId="151" xfId="1" applyNumberFormat="1" applyFont="1" applyBorder="1" applyAlignment="1">
      <alignment vertical="top"/>
    </xf>
    <xf numFmtId="4" fontId="11" fillId="0" borderId="153" xfId="1" applyNumberFormat="1" applyFont="1" applyBorder="1" applyAlignment="1">
      <alignment vertical="top"/>
    </xf>
    <xf numFmtId="4" fontId="13" fillId="5" borderId="147" xfId="1" applyNumberFormat="1" applyFont="1" applyFill="1" applyBorder="1" applyAlignment="1">
      <alignment horizontal="right" vertical="top"/>
    </xf>
    <xf numFmtId="4" fontId="13" fillId="3" borderId="152" xfId="1" applyNumberFormat="1" applyFont="1" applyFill="1" applyBorder="1" applyAlignment="1">
      <alignment horizontal="right" vertical="top"/>
    </xf>
    <xf numFmtId="168" fontId="13" fillId="5" borderId="153" xfId="1" applyNumberFormat="1" applyFont="1" applyFill="1" applyBorder="1" applyAlignment="1">
      <alignment horizontal="right" vertical="top"/>
    </xf>
    <xf numFmtId="4" fontId="13" fillId="3" borderId="147" xfId="1" applyNumberFormat="1" applyFont="1" applyFill="1" applyBorder="1" applyAlignment="1">
      <alignment horizontal="right" vertical="top"/>
    </xf>
    <xf numFmtId="4" fontId="11" fillId="0" borderId="142" xfId="1" applyNumberFormat="1" applyFont="1" applyBorder="1" applyAlignment="1">
      <alignment vertical="top"/>
    </xf>
    <xf numFmtId="4" fontId="13" fillId="3" borderId="142" xfId="1" applyNumberFormat="1" applyFont="1" applyFill="1" applyBorder="1" applyAlignment="1">
      <alignment horizontal="right" vertical="top"/>
    </xf>
    <xf numFmtId="165" fontId="10" fillId="2" borderId="147" xfId="1" applyNumberFormat="1" applyFont="1" applyFill="1" applyBorder="1" applyAlignment="1">
      <alignment horizontal="right" vertical="top"/>
    </xf>
    <xf numFmtId="165" fontId="13" fillId="5" borderId="147" xfId="1" applyNumberFormat="1" applyFont="1" applyFill="1" applyBorder="1" applyAlignment="1">
      <alignment horizontal="right" vertical="top"/>
    </xf>
    <xf numFmtId="173" fontId="10" fillId="2" borderId="147" xfId="1" applyNumberFormat="1" applyFont="1" applyFill="1" applyBorder="1" applyAlignment="1">
      <alignment horizontal="right" vertical="top"/>
    </xf>
    <xf numFmtId="4" fontId="12" fillId="4" borderId="147" xfId="1" applyNumberFormat="1" applyFont="1" applyFill="1" applyBorder="1" applyAlignment="1">
      <alignment horizontal="right" vertical="top"/>
    </xf>
    <xf numFmtId="4" fontId="12" fillId="3" borderId="142" xfId="1" applyNumberFormat="1" applyFont="1" applyFill="1" applyBorder="1" applyAlignment="1">
      <alignment horizontal="right" vertical="top"/>
    </xf>
    <xf numFmtId="173" fontId="13" fillId="4" borderId="152" xfId="1" applyNumberFormat="1" applyFont="1" applyFill="1" applyBorder="1" applyAlignment="1">
      <alignment horizontal="right" vertical="top"/>
    </xf>
    <xf numFmtId="4" fontId="11" fillId="0" borderId="154" xfId="1" applyNumberFormat="1" applyFont="1" applyBorder="1" applyAlignment="1">
      <alignment vertical="top"/>
    </xf>
    <xf numFmtId="4" fontId="11" fillId="3" borderId="147" xfId="1" applyNumberFormat="1" applyFont="1" applyFill="1" applyBorder="1" applyAlignment="1">
      <alignment vertical="top"/>
    </xf>
    <xf numFmtId="4" fontId="11" fillId="4" borderId="147" xfId="1" applyNumberFormat="1" applyFont="1" applyFill="1" applyBorder="1" applyAlignment="1">
      <alignment vertical="top"/>
    </xf>
    <xf numFmtId="175" fontId="15" fillId="0" borderId="147" xfId="1" applyNumberFormat="1" applyFont="1" applyBorder="1" applyAlignment="1">
      <alignment horizontal="right" vertical="center"/>
    </xf>
    <xf numFmtId="0" fontId="32" fillId="0" borderId="142" xfId="1" applyFont="1" applyBorder="1"/>
    <xf numFmtId="4" fontId="32" fillId="0" borderId="147" xfId="0" applyNumberFormat="1" applyFont="1" applyBorder="1"/>
    <xf numFmtId="4" fontId="34" fillId="0" borderId="147" xfId="0" applyNumberFormat="1" applyFont="1" applyBorder="1"/>
    <xf numFmtId="0" fontId="32" fillId="0" borderId="142" xfId="0" applyFont="1" applyBorder="1"/>
    <xf numFmtId="173" fontId="33" fillId="0" borderId="142" xfId="0" applyNumberFormat="1" applyFont="1" applyBorder="1"/>
    <xf numFmtId="165" fontId="33" fillId="0" borderId="142" xfId="0" applyNumberFormat="1" applyFont="1" applyBorder="1"/>
    <xf numFmtId="4" fontId="33" fillId="0" borderId="142" xfId="0" applyNumberFormat="1" applyFont="1" applyBorder="1"/>
    <xf numFmtId="165" fontId="16" fillId="0" borderId="150" xfId="1" applyNumberFormat="1" applyFont="1" applyBorder="1"/>
    <xf numFmtId="4" fontId="33" fillId="0" borderId="142" xfId="0" applyNumberFormat="1" applyFont="1" applyBorder="1" applyAlignment="1">
      <alignment vertical="top"/>
    </xf>
    <xf numFmtId="4" fontId="33" fillId="0" borderId="152" xfId="0" applyNumberFormat="1" applyFont="1" applyBorder="1"/>
    <xf numFmtId="168" fontId="13" fillId="5" borderId="5" xfId="1" applyNumberFormat="1" applyFont="1" applyFill="1" applyBorder="1" applyAlignment="1">
      <alignment horizontal="right" vertical="top"/>
    </xf>
    <xf numFmtId="4" fontId="32" fillId="0" borderId="5" xfId="0" applyNumberFormat="1" applyFont="1" applyBorder="1"/>
    <xf numFmtId="4" fontId="34" fillId="0" borderId="5" xfId="0" applyNumberFormat="1" applyFont="1" applyBorder="1"/>
    <xf numFmtId="0" fontId="32" fillId="0" borderId="5" xfId="0" applyFont="1" applyBorder="1"/>
    <xf numFmtId="0" fontId="11" fillId="5" borderId="1" xfId="1" applyFont="1" applyFill="1" applyBorder="1" applyAlignment="1">
      <alignment horizontal="left"/>
    </xf>
    <xf numFmtId="167" fontId="13" fillId="5" borderId="1" xfId="1" quotePrefix="1" applyNumberFormat="1" applyFont="1" applyFill="1" applyBorder="1" applyAlignment="1">
      <alignment horizontal="left" vertical="top"/>
    </xf>
    <xf numFmtId="0" fontId="13" fillId="5" borderId="1" xfId="1" applyFont="1" applyFill="1" applyBorder="1" applyAlignment="1">
      <alignment horizontal="left" vertical="top" wrapText="1"/>
    </xf>
    <xf numFmtId="10" fontId="11" fillId="5" borderId="1" xfId="1" applyNumberFormat="1" applyFont="1" applyFill="1" applyBorder="1" applyAlignment="1">
      <alignment vertical="top"/>
    </xf>
    <xf numFmtId="10" fontId="12" fillId="2" borderId="7" xfId="1" applyNumberFormat="1" applyFont="1" applyFill="1" applyBorder="1" applyAlignment="1">
      <alignment horizontal="right" vertical="top"/>
    </xf>
    <xf numFmtId="0" fontId="32" fillId="0" borderId="33" xfId="1" applyFont="1" applyBorder="1"/>
    <xf numFmtId="0" fontId="32" fillId="0" borderId="122" xfId="1" applyFont="1" applyBorder="1"/>
    <xf numFmtId="4" fontId="32" fillId="0" borderId="137" xfId="0" applyNumberFormat="1" applyFont="1" applyBorder="1"/>
    <xf numFmtId="4" fontId="34" fillId="0" borderId="137" xfId="0" applyNumberFormat="1" applyFont="1" applyBorder="1"/>
    <xf numFmtId="0" fontId="32" fillId="0" borderId="137" xfId="0" applyFont="1" applyBorder="1"/>
    <xf numFmtId="173" fontId="33" fillId="0" borderId="113" xfId="0" applyNumberFormat="1" applyFont="1" applyBorder="1"/>
    <xf numFmtId="165" fontId="33" fillId="0" borderId="113" xfId="0" applyNumberFormat="1" applyFont="1" applyBorder="1"/>
    <xf numFmtId="4" fontId="33" fillId="0" borderId="113" xfId="0" applyNumberFormat="1" applyFont="1" applyBorder="1"/>
    <xf numFmtId="165" fontId="16" fillId="0" borderId="123" xfId="1" applyNumberFormat="1" applyFont="1" applyBorder="1"/>
    <xf numFmtId="4" fontId="33" fillId="0" borderId="113" xfId="0" applyNumberFormat="1" applyFont="1" applyBorder="1" applyAlignment="1">
      <alignment vertical="top"/>
    </xf>
    <xf numFmtId="4" fontId="33" fillId="0" borderId="122" xfId="0" applyNumberFormat="1" applyFont="1" applyBorder="1"/>
    <xf numFmtId="10" fontId="32" fillId="0" borderId="69" xfId="1" applyNumberFormat="1" applyFont="1" applyBorder="1"/>
    <xf numFmtId="10" fontId="32" fillId="0" borderId="65" xfId="1" applyNumberFormat="1" applyFont="1" applyBorder="1"/>
    <xf numFmtId="10" fontId="32" fillId="0" borderId="155" xfId="0" applyNumberFormat="1" applyFont="1" applyBorder="1"/>
    <xf numFmtId="10" fontId="32" fillId="0" borderId="65" xfId="0" applyNumberFormat="1" applyFont="1" applyBorder="1"/>
    <xf numFmtId="10" fontId="33" fillId="0" borderId="65" xfId="0" applyNumberFormat="1" applyFont="1" applyBorder="1"/>
    <xf numFmtId="10" fontId="33" fillId="0" borderId="70" xfId="0" applyNumberFormat="1" applyFont="1" applyBorder="1"/>
    <xf numFmtId="10" fontId="12" fillId="3" borderId="53" xfId="1" applyNumberFormat="1" applyFont="1" applyFill="1" applyBorder="1" applyAlignment="1">
      <alignment horizontal="right" vertical="top"/>
    </xf>
    <xf numFmtId="10" fontId="24" fillId="3" borderId="53" xfId="1" applyNumberFormat="1" applyFont="1" applyFill="1" applyBorder="1" applyAlignment="1">
      <alignment horizontal="right" vertical="top"/>
    </xf>
    <xf numFmtId="10" fontId="24" fillId="3" borderId="26" xfId="1" applyNumberFormat="1" applyFont="1" applyFill="1" applyBorder="1" applyAlignment="1">
      <alignment horizontal="right" vertical="top"/>
    </xf>
    <xf numFmtId="4" fontId="10" fillId="2" borderId="69" xfId="1" applyNumberFormat="1" applyFont="1" applyFill="1" applyBorder="1" applyAlignment="1">
      <alignment horizontal="right" vertical="top"/>
    </xf>
    <xf numFmtId="4" fontId="13" fillId="5" borderId="156" xfId="1" applyNumberFormat="1" applyFont="1" applyFill="1" applyBorder="1" applyAlignment="1">
      <alignment horizontal="right" vertical="top"/>
    </xf>
    <xf numFmtId="4" fontId="11" fillId="0" borderId="155" xfId="1" applyNumberFormat="1" applyFont="1" applyBorder="1" applyAlignment="1">
      <alignment vertical="top"/>
    </xf>
    <xf numFmtId="4" fontId="11" fillId="0" borderId="65" xfId="1" applyNumberFormat="1" applyFont="1" applyBorder="1" applyAlignment="1">
      <alignment vertical="top"/>
    </xf>
    <xf numFmtId="4" fontId="10" fillId="2" borderId="157" xfId="1" applyNumberFormat="1" applyFont="1" applyFill="1" applyBorder="1" applyAlignment="1">
      <alignment horizontal="right" vertical="top"/>
    </xf>
    <xf numFmtId="4" fontId="13" fillId="3" borderId="65" xfId="1" applyNumberFormat="1" applyFont="1" applyFill="1" applyBorder="1" applyAlignment="1">
      <alignment horizontal="right" vertical="top"/>
    </xf>
    <xf numFmtId="4" fontId="11" fillId="0" borderId="70" xfId="1" applyNumberFormat="1" applyFont="1" applyBorder="1" applyAlignment="1">
      <alignment vertical="top"/>
    </xf>
    <xf numFmtId="173" fontId="10" fillId="2" borderId="155" xfId="1" applyNumberFormat="1" applyFont="1" applyFill="1" applyBorder="1" applyAlignment="1">
      <alignment horizontal="right" vertical="top"/>
    </xf>
    <xf numFmtId="173" fontId="12" fillId="5" borderId="70" xfId="1" applyNumberFormat="1" applyFont="1" applyFill="1" applyBorder="1" applyAlignment="1">
      <alignment horizontal="right" vertical="top"/>
    </xf>
    <xf numFmtId="173" fontId="12" fillId="3" borderId="155" xfId="1" applyNumberFormat="1" applyFont="1" applyFill="1" applyBorder="1" applyAlignment="1">
      <alignment horizontal="right" vertical="top"/>
    </xf>
    <xf numFmtId="173" fontId="12" fillId="3" borderId="70" xfId="1" applyNumberFormat="1" applyFont="1" applyFill="1" applyBorder="1" applyAlignment="1">
      <alignment horizontal="right" vertical="top"/>
    </xf>
    <xf numFmtId="4" fontId="12" fillId="5" borderId="70" xfId="1" applyNumberFormat="1" applyFont="1" applyFill="1" applyBorder="1" applyAlignment="1">
      <alignment horizontal="right" vertical="top"/>
    </xf>
    <xf numFmtId="4" fontId="12" fillId="3" borderId="155" xfId="1" applyNumberFormat="1" applyFont="1" applyFill="1" applyBorder="1" applyAlignment="1">
      <alignment horizontal="right" vertical="top"/>
    </xf>
    <xf numFmtId="4" fontId="13" fillId="5" borderId="69" xfId="1" applyNumberFormat="1" applyFont="1" applyFill="1" applyBorder="1" applyAlignment="1">
      <alignment horizontal="right" vertical="top"/>
    </xf>
    <xf numFmtId="4" fontId="13" fillId="3" borderId="155" xfId="1" applyNumberFormat="1" applyFont="1" applyFill="1" applyBorder="1" applyAlignment="1">
      <alignment horizontal="right" vertical="top"/>
    </xf>
    <xf numFmtId="4" fontId="10" fillId="2" borderId="158" xfId="1" applyNumberFormat="1" applyFont="1" applyFill="1" applyBorder="1" applyAlignment="1">
      <alignment horizontal="right" vertical="top"/>
    </xf>
    <xf numFmtId="4" fontId="13" fillId="5" borderId="155" xfId="1" applyNumberFormat="1" applyFont="1" applyFill="1" applyBorder="1" applyAlignment="1">
      <alignment horizontal="right" vertical="top"/>
    </xf>
    <xf numFmtId="4" fontId="13" fillId="0" borderId="70" xfId="1" applyNumberFormat="1" applyFont="1" applyFill="1" applyBorder="1" applyAlignment="1">
      <alignment horizontal="right" vertical="top"/>
    </xf>
    <xf numFmtId="4" fontId="13" fillId="0" borderId="155" xfId="1" applyNumberFormat="1" applyFont="1" applyFill="1" applyBorder="1" applyAlignment="1">
      <alignment horizontal="right" vertical="top"/>
    </xf>
    <xf numFmtId="4" fontId="10" fillId="2" borderId="155" xfId="1" applyNumberFormat="1" applyFont="1" applyFill="1" applyBorder="1" applyAlignment="1">
      <alignment horizontal="right" vertical="top"/>
    </xf>
    <xf numFmtId="4" fontId="13" fillId="5" borderId="70" xfId="1" applyNumberFormat="1" applyFont="1" applyFill="1" applyBorder="1" applyAlignment="1">
      <alignment horizontal="right" vertical="top"/>
    </xf>
    <xf numFmtId="4" fontId="13" fillId="3" borderId="157" xfId="1" applyNumberFormat="1" applyFont="1" applyFill="1" applyBorder="1" applyAlignment="1">
      <alignment horizontal="right" vertical="top"/>
    </xf>
    <xf numFmtId="4" fontId="11" fillId="0" borderId="158" xfId="1" applyNumberFormat="1" applyFont="1" applyFill="1" applyBorder="1" applyAlignment="1">
      <alignment vertical="top"/>
    </xf>
    <xf numFmtId="4" fontId="11" fillId="0" borderId="70" xfId="1" applyNumberFormat="1" applyFont="1" applyFill="1" applyBorder="1" applyAlignment="1">
      <alignment vertical="top"/>
    </xf>
    <xf numFmtId="4" fontId="11" fillId="0" borderId="155" xfId="1" applyNumberFormat="1" applyFont="1" applyFill="1" applyBorder="1" applyAlignment="1">
      <alignment vertical="top"/>
    </xf>
    <xf numFmtId="4" fontId="13" fillId="5" borderId="158" xfId="1" applyNumberFormat="1" applyFont="1" applyFill="1" applyBorder="1" applyAlignment="1">
      <alignment horizontal="right" vertical="top"/>
    </xf>
    <xf numFmtId="4" fontId="13" fillId="5" borderId="159" xfId="1" applyNumberFormat="1" applyFont="1" applyFill="1" applyBorder="1" applyAlignment="1">
      <alignment horizontal="right" vertical="top"/>
    </xf>
    <xf numFmtId="4" fontId="10" fillId="2" borderId="70" xfId="1" applyNumberFormat="1" applyFont="1" applyFill="1" applyBorder="1" applyAlignment="1">
      <alignment horizontal="right" vertical="top"/>
    </xf>
    <xf numFmtId="4" fontId="11" fillId="0" borderId="158" xfId="1" applyNumberFormat="1" applyFont="1" applyBorder="1" applyAlignment="1">
      <alignment vertical="top"/>
    </xf>
    <xf numFmtId="4" fontId="11" fillId="0" borderId="69" xfId="1" applyNumberFormat="1" applyFont="1" applyBorder="1" applyAlignment="1">
      <alignment vertical="top"/>
    </xf>
    <xf numFmtId="4" fontId="23" fillId="0" borderId="65" xfId="1" applyNumberFormat="1" applyFont="1" applyBorder="1" applyAlignment="1">
      <alignment vertical="top"/>
    </xf>
    <xf numFmtId="4" fontId="23" fillId="0" borderId="70" xfId="1" applyNumberFormat="1" applyFont="1" applyBorder="1" applyAlignment="1">
      <alignment vertical="top"/>
    </xf>
    <xf numFmtId="171" fontId="13" fillId="0" borderId="160" xfId="1" applyNumberFormat="1" applyFont="1" applyBorder="1" applyAlignment="1">
      <alignment horizontal="right" vertical="top"/>
    </xf>
    <xf numFmtId="174" fontId="13" fillId="0" borderId="158" xfId="1" applyNumberFormat="1" applyFont="1" applyBorder="1" applyAlignment="1">
      <alignment horizontal="right" vertical="top"/>
    </xf>
    <xf numFmtId="176" fontId="13" fillId="0" borderId="70" xfId="1" applyNumberFormat="1" applyFont="1" applyBorder="1" applyAlignment="1">
      <alignment horizontal="right" vertical="top"/>
    </xf>
    <xf numFmtId="4" fontId="13" fillId="3" borderId="70" xfId="1" applyNumberFormat="1" applyFont="1" applyFill="1" applyBorder="1" applyAlignment="1">
      <alignment horizontal="right" vertical="top"/>
    </xf>
    <xf numFmtId="4" fontId="11" fillId="0" borderId="157" xfId="1" applyNumberFormat="1" applyFont="1" applyBorder="1" applyAlignment="1">
      <alignment vertical="top"/>
    </xf>
    <xf numFmtId="4" fontId="13" fillId="3" borderId="160" xfId="1" applyNumberFormat="1" applyFont="1" applyFill="1" applyBorder="1" applyAlignment="1">
      <alignment horizontal="right" vertical="top"/>
    </xf>
    <xf numFmtId="4" fontId="11" fillId="3" borderId="70" xfId="1" applyNumberFormat="1" applyFont="1" applyFill="1" applyBorder="1" applyAlignment="1">
      <alignment vertical="top"/>
    </xf>
    <xf numFmtId="4" fontId="22" fillId="3" borderId="65" xfId="1" applyNumberFormat="1" applyFont="1" applyFill="1" applyBorder="1" applyAlignment="1">
      <alignment horizontal="right" vertical="top"/>
    </xf>
    <xf numFmtId="4" fontId="22" fillId="3" borderId="70" xfId="1" applyNumberFormat="1" applyFont="1" applyFill="1" applyBorder="1" applyAlignment="1">
      <alignment horizontal="right" vertical="top"/>
    </xf>
    <xf numFmtId="4" fontId="13" fillId="3" borderId="158" xfId="1" applyNumberFormat="1" applyFont="1" applyFill="1" applyBorder="1" applyAlignment="1">
      <alignment horizontal="right" vertical="top"/>
    </xf>
    <xf numFmtId="165" fontId="12" fillId="5" borderId="155" xfId="1" applyNumberFormat="1" applyFont="1" applyFill="1" applyBorder="1" applyAlignment="1">
      <alignment horizontal="right" vertical="top"/>
    </xf>
    <xf numFmtId="4" fontId="12" fillId="3" borderId="70" xfId="1" applyNumberFormat="1" applyFont="1" applyFill="1" applyBorder="1" applyAlignment="1">
      <alignment horizontal="right" vertical="top"/>
    </xf>
    <xf numFmtId="4" fontId="13" fillId="5" borderId="160" xfId="1" applyNumberFormat="1" applyFont="1" applyFill="1" applyBorder="1" applyAlignment="1">
      <alignment horizontal="right" vertical="top"/>
    </xf>
    <xf numFmtId="4" fontId="11" fillId="0" borderId="160" xfId="1" applyNumberFormat="1" applyFont="1" applyBorder="1" applyAlignment="1">
      <alignment vertical="top"/>
    </xf>
    <xf numFmtId="173" fontId="13" fillId="5" borderId="69" xfId="1" applyNumberFormat="1" applyFont="1" applyFill="1" applyBorder="1" applyAlignment="1">
      <alignment horizontal="right" vertical="top"/>
    </xf>
    <xf numFmtId="173" fontId="13" fillId="3" borderId="155" xfId="1" applyNumberFormat="1" applyFont="1" applyFill="1" applyBorder="1" applyAlignment="1">
      <alignment horizontal="right" vertical="top"/>
    </xf>
    <xf numFmtId="4" fontId="13" fillId="3" borderId="159" xfId="1" applyNumberFormat="1" applyFont="1" applyFill="1" applyBorder="1" applyAlignment="1">
      <alignment horizontal="right" vertical="top"/>
    </xf>
    <xf numFmtId="4" fontId="13" fillId="5" borderId="65" xfId="1" applyNumberFormat="1" applyFont="1" applyFill="1" applyBorder="1" applyAlignment="1">
      <alignment horizontal="right" vertical="top"/>
    </xf>
    <xf numFmtId="4" fontId="11" fillId="5" borderId="155" xfId="1" applyNumberFormat="1" applyFont="1" applyFill="1" applyBorder="1" applyAlignment="1">
      <alignment vertical="top"/>
    </xf>
    <xf numFmtId="175" fontId="41" fillId="0" borderId="135" xfId="1" applyNumberFormat="1" applyFont="1" applyBorder="1" applyAlignment="1">
      <alignment horizontal="right" vertical="center"/>
    </xf>
    <xf numFmtId="0" fontId="0" fillId="2" borderId="44" xfId="1" applyFont="1" applyFill="1" applyBorder="1"/>
    <xf numFmtId="0" fontId="0" fillId="2" borderId="24" xfId="1" applyFont="1" applyFill="1" applyBorder="1"/>
    <xf numFmtId="0" fontId="0" fillId="2" borderId="27" xfId="1" applyFont="1" applyFill="1" applyBorder="1"/>
    <xf numFmtId="0" fontId="10" fillId="2" borderId="30" xfId="1" applyFont="1" applyFill="1" applyBorder="1" applyAlignment="1">
      <alignment horizontal="left" vertical="top" wrapText="1"/>
    </xf>
    <xf numFmtId="4" fontId="10" fillId="2" borderId="159" xfId="1" applyNumberFormat="1" applyFont="1" applyFill="1" applyBorder="1" applyAlignment="1">
      <alignment horizontal="right" vertical="top"/>
    </xf>
    <xf numFmtId="10" fontId="14" fillId="2" borderId="26" xfId="1" applyNumberFormat="1" applyFont="1" applyFill="1" applyBorder="1" applyAlignment="1">
      <alignment horizontal="right" vertical="top"/>
    </xf>
    <xf numFmtId="4" fontId="22" fillId="0" borderId="39" xfId="1" applyNumberFormat="1" applyFont="1" applyBorder="1" applyAlignment="1">
      <alignment horizontal="right" vertical="top"/>
    </xf>
    <xf numFmtId="168" fontId="13" fillId="0" borderId="58" xfId="1" applyNumberFormat="1" applyFont="1" applyBorder="1" applyAlignment="1">
      <alignment horizontal="right" vertical="top"/>
    </xf>
    <xf numFmtId="175" fontId="28" fillId="0" borderId="0" xfId="1" applyNumberFormat="1" applyFont="1" applyBorder="1" applyAlignment="1">
      <alignment vertical="center" wrapText="1"/>
    </xf>
    <xf numFmtId="171" fontId="13" fillId="5" borderId="37" xfId="1" applyNumberFormat="1" applyFont="1" applyFill="1" applyBorder="1" applyAlignment="1">
      <alignment horizontal="right" vertical="top"/>
    </xf>
    <xf numFmtId="0" fontId="11" fillId="3" borderId="1" xfId="1" quotePrefix="1" applyFont="1" applyFill="1" applyBorder="1" applyAlignment="1">
      <alignment vertical="top"/>
    </xf>
    <xf numFmtId="169" fontId="13" fillId="0" borderId="2" xfId="1" applyNumberFormat="1" applyFont="1" applyBorder="1" applyAlignment="1">
      <alignment horizontal="left" vertical="top"/>
    </xf>
    <xf numFmtId="0" fontId="11" fillId="5" borderId="33" xfId="1" applyFont="1" applyFill="1" applyBorder="1" applyAlignment="1">
      <alignment horizontal="left"/>
    </xf>
    <xf numFmtId="169" fontId="13" fillId="5" borderId="33" xfId="1" applyNumberFormat="1" applyFont="1" applyFill="1" applyBorder="1" applyAlignment="1">
      <alignment horizontal="left" vertical="top"/>
    </xf>
    <xf numFmtId="171" fontId="13" fillId="5" borderId="33" xfId="1" applyNumberFormat="1" applyFont="1" applyFill="1" applyBorder="1" applyAlignment="1">
      <alignment horizontal="right" vertical="top"/>
    </xf>
    <xf numFmtId="4" fontId="11" fillId="5" borderId="35" xfId="1" applyNumberFormat="1" applyFont="1" applyFill="1" applyBorder="1" applyAlignment="1">
      <alignment vertical="top"/>
    </xf>
    <xf numFmtId="4" fontId="11" fillId="5" borderId="152" xfId="1" applyNumberFormat="1" applyFont="1" applyFill="1" applyBorder="1" applyAlignment="1">
      <alignment vertical="top"/>
    </xf>
    <xf numFmtId="175" fontId="37" fillId="0" borderId="36" xfId="1" applyNumberFormat="1" applyFont="1" applyBorder="1" applyAlignment="1">
      <alignment horizontal="right" vertical="center"/>
    </xf>
    <xf numFmtId="10" fontId="10" fillId="5" borderId="39" xfId="1" applyNumberFormat="1" applyFont="1" applyFill="1" applyBorder="1" applyAlignment="1">
      <alignment horizontal="right" vertical="top"/>
    </xf>
    <xf numFmtId="10" fontId="12" fillId="5" borderId="37" xfId="1" applyNumberFormat="1" applyFont="1" applyFill="1" applyBorder="1" applyAlignment="1">
      <alignment horizontal="right" vertical="top"/>
    </xf>
    <xf numFmtId="10" fontId="13" fillId="5" borderId="33" xfId="1" applyNumberFormat="1" applyFont="1" applyFill="1" applyBorder="1" applyAlignment="1">
      <alignment horizontal="right" vertical="top"/>
    </xf>
    <xf numFmtId="10" fontId="12" fillId="5" borderId="9" xfId="1" applyNumberFormat="1" applyFont="1" applyFill="1" applyBorder="1" applyAlignment="1">
      <alignment horizontal="right" vertical="top"/>
    </xf>
    <xf numFmtId="10" fontId="12" fillId="5" borderId="20" xfId="1" applyNumberFormat="1" applyFont="1" applyFill="1" applyBorder="1" applyAlignment="1">
      <alignment horizontal="right" vertical="top"/>
    </xf>
    <xf numFmtId="10" fontId="11" fillId="5" borderId="72" xfId="1" applyNumberFormat="1" applyFont="1" applyFill="1" applyBorder="1" applyAlignment="1">
      <alignment vertical="top"/>
    </xf>
    <xf numFmtId="175" fontId="14" fillId="0" borderId="0" xfId="1" applyNumberFormat="1" applyFont="1" applyBorder="1" applyAlignment="1">
      <alignment vertical="center" wrapText="1"/>
    </xf>
    <xf numFmtId="175" fontId="46" fillId="0" borderId="56" xfId="1" applyNumberFormat="1" applyFont="1" applyBorder="1" applyAlignment="1">
      <alignment horizontal="right" vertical="center"/>
    </xf>
    <xf numFmtId="4" fontId="5" fillId="0" borderId="0" xfId="0" applyNumberFormat="1" applyFont="1"/>
    <xf numFmtId="175" fontId="53" fillId="0" borderId="0" xfId="1" applyNumberFormat="1" applyFont="1" applyFill="1" applyBorder="1" applyAlignment="1">
      <alignment vertical="center" wrapText="1"/>
    </xf>
    <xf numFmtId="173" fontId="13" fillId="5" borderId="1" xfId="1" applyNumberFormat="1" applyFont="1" applyFill="1" applyBorder="1" applyAlignment="1">
      <alignment horizontal="right" vertical="top"/>
    </xf>
    <xf numFmtId="171" fontId="13" fillId="0" borderId="35" xfId="1" applyNumberFormat="1" applyFont="1" applyBorder="1" applyAlignment="1">
      <alignment horizontal="right" vertical="top"/>
    </xf>
    <xf numFmtId="171" fontId="13" fillId="3" borderId="1" xfId="1" applyNumberFormat="1" applyFont="1" applyFill="1" applyBorder="1" applyAlignment="1">
      <alignment horizontal="right" vertical="top"/>
    </xf>
    <xf numFmtId="165" fontId="13" fillId="5" borderId="35" xfId="1" applyNumberFormat="1" applyFont="1" applyFill="1" applyBorder="1" applyAlignment="1">
      <alignment horizontal="right" vertical="top"/>
    </xf>
    <xf numFmtId="175" fontId="41" fillId="0" borderId="138" xfId="1" applyNumberFormat="1" applyFont="1" applyBorder="1" applyAlignment="1">
      <alignment horizontal="right" vertical="center"/>
    </xf>
    <xf numFmtId="173" fontId="13" fillId="5" borderId="151" xfId="1" applyNumberFormat="1" applyFont="1" applyFill="1" applyBorder="1" applyAlignment="1">
      <alignment horizontal="right" vertical="top"/>
    </xf>
    <xf numFmtId="175" fontId="24" fillId="0" borderId="17" xfId="1" applyNumberFormat="1" applyFont="1" applyBorder="1" applyAlignment="1">
      <alignment horizontal="right" vertical="center"/>
    </xf>
    <xf numFmtId="175" fontId="12" fillId="0" borderId="17" xfId="1" applyNumberFormat="1" applyFont="1" applyBorder="1" applyAlignment="1">
      <alignment horizontal="right" vertical="center"/>
    </xf>
    <xf numFmtId="10" fontId="28" fillId="0" borderId="22" xfId="1" applyNumberFormat="1" applyFont="1" applyBorder="1" applyAlignment="1">
      <alignment horizontal="right" vertical="center"/>
    </xf>
    <xf numFmtId="175" fontId="28" fillId="0" borderId="69" xfId="1" applyNumberFormat="1" applyFont="1" applyBorder="1" applyAlignment="1">
      <alignment horizontal="right" vertical="center"/>
    </xf>
    <xf numFmtId="175" fontId="28" fillId="0" borderId="65" xfId="1" applyNumberFormat="1" applyFont="1" applyBorder="1" applyAlignment="1">
      <alignment vertical="center" wrapText="1"/>
    </xf>
    <xf numFmtId="175" fontId="42" fillId="0" borderId="65" xfId="1" applyNumberFormat="1" applyFont="1" applyBorder="1" applyAlignment="1">
      <alignment horizontal="right" vertical="center"/>
    </xf>
    <xf numFmtId="175" fontId="24" fillId="0" borderId="65" xfId="1" applyNumberFormat="1" applyFont="1" applyBorder="1" applyAlignment="1">
      <alignment horizontal="right" vertical="center"/>
    </xf>
    <xf numFmtId="175" fontId="12" fillId="0" borderId="65" xfId="1" applyNumberFormat="1" applyFont="1" applyBorder="1" applyAlignment="1">
      <alignment horizontal="right" vertical="center"/>
    </xf>
    <xf numFmtId="175" fontId="37" fillId="0" borderId="65" xfId="1" applyNumberFormat="1" applyFont="1" applyBorder="1" applyAlignment="1">
      <alignment horizontal="right" vertical="center"/>
    </xf>
    <xf numFmtId="175" fontId="37" fillId="0" borderId="70" xfId="1" applyNumberFormat="1" applyFont="1" applyBorder="1" applyAlignment="1">
      <alignment horizontal="right" vertical="center"/>
    </xf>
    <xf numFmtId="4" fontId="40" fillId="0" borderId="69" xfId="1" applyNumberFormat="1" applyFont="1" applyBorder="1"/>
    <xf numFmtId="0" fontId="9" fillId="0" borderId="1" xfId="1" applyFont="1" applyBorder="1" applyAlignment="1">
      <alignment horizontal="center" vertical="center" wrapText="1"/>
    </xf>
    <xf numFmtId="4" fontId="10" fillId="2" borderId="28" xfId="1" applyNumberFormat="1" applyFont="1" applyFill="1" applyBorder="1" applyAlignment="1">
      <alignment horizontal="right" vertical="top"/>
    </xf>
    <xf numFmtId="4" fontId="13" fillId="5" borderId="54" xfId="1" applyNumberFormat="1" applyFont="1" applyFill="1" applyBorder="1" applyAlignment="1">
      <alignment horizontal="right" vertical="top"/>
    </xf>
    <xf numFmtId="4" fontId="50" fillId="0" borderId="1" xfId="1" applyNumberFormat="1" applyFont="1" applyBorder="1" applyAlignment="1">
      <alignment vertical="top"/>
    </xf>
    <xf numFmtId="4" fontId="10" fillId="2" borderId="46" xfId="1" applyNumberFormat="1" applyFont="1" applyFill="1" applyBorder="1" applyAlignment="1">
      <alignment horizontal="right" vertical="top"/>
    </xf>
    <xf numFmtId="4" fontId="13" fillId="3" borderId="17" xfId="1" applyNumberFormat="1" applyFont="1" applyFill="1" applyBorder="1" applyAlignment="1">
      <alignment horizontal="right" vertical="top"/>
    </xf>
    <xf numFmtId="173" fontId="10" fillId="2" borderId="1" xfId="1" applyNumberFormat="1" applyFont="1" applyFill="1" applyBorder="1" applyAlignment="1">
      <alignment horizontal="right" vertical="top"/>
    </xf>
    <xf numFmtId="173" fontId="12" fillId="5" borderId="35" xfId="1" applyNumberFormat="1" applyFont="1" applyFill="1" applyBorder="1" applyAlignment="1">
      <alignment horizontal="right" vertical="top"/>
    </xf>
    <xf numFmtId="173" fontId="12" fillId="3" borderId="1" xfId="1" applyNumberFormat="1" applyFont="1" applyFill="1" applyBorder="1" applyAlignment="1">
      <alignment horizontal="right" vertical="top"/>
    </xf>
    <xf numFmtId="173" fontId="51" fillId="3" borderId="35" xfId="1" applyNumberFormat="1" applyFont="1" applyFill="1" applyBorder="1" applyAlignment="1">
      <alignment horizontal="right" vertical="top"/>
    </xf>
    <xf numFmtId="4" fontId="12" fillId="5" borderId="35" xfId="1" applyNumberFormat="1" applyFont="1" applyFill="1" applyBorder="1" applyAlignment="1">
      <alignment horizontal="right" vertical="top"/>
    </xf>
    <xf numFmtId="4" fontId="12" fillId="3" borderId="1" xfId="1" applyNumberFormat="1" applyFont="1" applyFill="1" applyBorder="1" applyAlignment="1">
      <alignment horizontal="right" vertical="top"/>
    </xf>
    <xf numFmtId="4" fontId="13" fillId="5" borderId="28" xfId="1" applyNumberFormat="1" applyFont="1" applyFill="1" applyBorder="1" applyAlignment="1">
      <alignment horizontal="right" vertical="top"/>
    </xf>
    <xf numFmtId="4" fontId="43" fillId="0" borderId="1" xfId="1" applyNumberFormat="1" applyFont="1" applyBorder="1" applyAlignment="1">
      <alignment vertical="top"/>
    </xf>
    <xf numFmtId="4" fontId="43" fillId="0" borderId="35" xfId="1" applyNumberFormat="1" applyFont="1" applyBorder="1" applyAlignment="1">
      <alignment vertical="top"/>
    </xf>
    <xf numFmtId="4" fontId="10" fillId="2" borderId="77" xfId="1" applyNumberFormat="1" applyFont="1" applyFill="1" applyBorder="1" applyAlignment="1">
      <alignment horizontal="right" vertical="top"/>
    </xf>
    <xf numFmtId="4" fontId="48" fillId="0" borderId="1" xfId="1" applyNumberFormat="1" applyFont="1" applyFill="1" applyBorder="1" applyAlignment="1">
      <alignment horizontal="right" vertical="top"/>
    </xf>
    <xf numFmtId="4" fontId="10" fillId="2" borderId="1" xfId="1" applyNumberFormat="1" applyFont="1" applyFill="1" applyBorder="1" applyAlignment="1">
      <alignment horizontal="right" vertical="top"/>
    </xf>
    <xf numFmtId="4" fontId="13" fillId="5" borderId="35" xfId="1" applyNumberFormat="1" applyFont="1" applyFill="1" applyBorder="1" applyAlignment="1">
      <alignment horizontal="right" vertical="top"/>
    </xf>
    <xf numFmtId="4" fontId="50" fillId="0" borderId="17" xfId="1" applyNumberFormat="1" applyFont="1" applyBorder="1" applyAlignment="1">
      <alignment vertical="top"/>
    </xf>
    <xf numFmtId="4" fontId="13" fillId="3" borderId="46" xfId="1" applyNumberFormat="1" applyFont="1" applyFill="1" applyBorder="1" applyAlignment="1">
      <alignment horizontal="right" vertical="top"/>
    </xf>
    <xf numFmtId="4" fontId="50" fillId="0" borderId="1" xfId="1" applyNumberFormat="1" applyFont="1" applyFill="1" applyBorder="1" applyAlignment="1">
      <alignment vertical="top"/>
    </xf>
    <xf numFmtId="4" fontId="11" fillId="0" borderId="1" xfId="1" applyNumberFormat="1" applyFont="1" applyFill="1" applyBorder="1" applyAlignment="1">
      <alignment vertical="top"/>
    </xf>
    <xf numFmtId="4" fontId="13" fillId="5" borderId="77" xfId="1" applyNumberFormat="1" applyFont="1" applyFill="1" applyBorder="1" applyAlignment="1">
      <alignment horizontal="right" vertical="top"/>
    </xf>
    <xf numFmtId="4" fontId="50" fillId="0" borderId="35" xfId="1" applyNumberFormat="1" applyFont="1" applyBorder="1" applyAlignment="1">
      <alignment vertical="top"/>
    </xf>
    <xf numFmtId="4" fontId="13" fillId="5" borderId="47" xfId="1" applyNumberFormat="1" applyFont="1" applyFill="1" applyBorder="1" applyAlignment="1">
      <alignment horizontal="right" vertical="top"/>
    </xf>
    <xf numFmtId="4" fontId="10" fillId="2" borderId="35" xfId="1" applyNumberFormat="1" applyFont="1" applyFill="1" applyBorder="1" applyAlignment="1">
      <alignment horizontal="right" vertical="top"/>
    </xf>
    <xf numFmtId="4" fontId="13" fillId="5" borderId="46" xfId="1" applyNumberFormat="1" applyFont="1" applyFill="1" applyBorder="1" applyAlignment="1">
      <alignment horizontal="right" vertical="top"/>
    </xf>
    <xf numFmtId="171" fontId="13" fillId="0" borderId="17" xfId="1" applyNumberFormat="1" applyFont="1" applyBorder="1" applyAlignment="1">
      <alignment horizontal="right" vertical="top"/>
    </xf>
    <xf numFmtId="174" fontId="13" fillId="0" borderId="1" xfId="1" applyNumberFormat="1" applyFont="1" applyBorder="1" applyAlignment="1">
      <alignment horizontal="right" vertical="top"/>
    </xf>
    <xf numFmtId="176" fontId="13" fillId="0" borderId="1" xfId="1" applyNumberFormat="1" applyFont="1" applyBorder="1" applyAlignment="1">
      <alignment horizontal="right" vertical="top"/>
    </xf>
    <xf numFmtId="4" fontId="13" fillId="3" borderId="35" xfId="1" applyNumberFormat="1" applyFont="1" applyFill="1" applyBorder="1" applyAlignment="1">
      <alignment horizontal="right" vertical="top"/>
    </xf>
    <xf numFmtId="4" fontId="13" fillId="5" borderId="17" xfId="1" applyNumberFormat="1" applyFont="1" applyFill="1" applyBorder="1" applyAlignment="1">
      <alignment horizontal="right" vertical="top"/>
    </xf>
    <xf numFmtId="4" fontId="10" fillId="2" borderId="47" xfId="1" applyNumberFormat="1" applyFont="1" applyFill="1" applyBorder="1" applyAlignment="1">
      <alignment horizontal="right" vertical="top"/>
    </xf>
    <xf numFmtId="4" fontId="11" fillId="0" borderId="46" xfId="1" applyNumberFormat="1" applyFont="1" applyBorder="1" applyAlignment="1">
      <alignment vertical="top"/>
    </xf>
    <xf numFmtId="4" fontId="52" fillId="0" borderId="35" xfId="1" applyNumberFormat="1" applyFont="1" applyBorder="1" applyAlignment="1">
      <alignment vertical="top"/>
    </xf>
    <xf numFmtId="4" fontId="22" fillId="3" borderId="17" xfId="1" applyNumberFormat="1" applyFont="1" applyFill="1" applyBorder="1" applyAlignment="1">
      <alignment horizontal="right" vertical="top"/>
    </xf>
    <xf numFmtId="4" fontId="49" fillId="0" borderId="17" xfId="1" applyNumberFormat="1" applyFont="1" applyBorder="1" applyAlignment="1">
      <alignment vertical="top"/>
    </xf>
    <xf numFmtId="4" fontId="49" fillId="0" borderId="35" xfId="1" applyNumberFormat="1" applyFont="1" applyBorder="1" applyAlignment="1">
      <alignment vertical="top"/>
    </xf>
    <xf numFmtId="165" fontId="12" fillId="5" borderId="1" xfId="1" applyNumberFormat="1" applyFont="1" applyFill="1" applyBorder="1" applyAlignment="1">
      <alignment horizontal="right" vertical="top"/>
    </xf>
    <xf numFmtId="4" fontId="12" fillId="3" borderId="35" xfId="1" applyNumberFormat="1" applyFont="1" applyFill="1" applyBorder="1" applyAlignment="1">
      <alignment horizontal="right" vertical="top"/>
    </xf>
    <xf numFmtId="4" fontId="13" fillId="5" borderId="161" xfId="1" applyNumberFormat="1" applyFont="1" applyFill="1" applyBorder="1" applyAlignment="1">
      <alignment horizontal="right" vertical="top"/>
    </xf>
    <xf numFmtId="4" fontId="43" fillId="0" borderId="17" xfId="1" applyNumberFormat="1" applyFont="1" applyBorder="1" applyAlignment="1">
      <alignment vertical="top"/>
    </xf>
    <xf numFmtId="173" fontId="13" fillId="3" borderId="35" xfId="1" applyNumberFormat="1" applyFont="1" applyFill="1" applyBorder="1" applyAlignment="1">
      <alignment horizontal="right" vertical="top"/>
    </xf>
    <xf numFmtId="4" fontId="13" fillId="3" borderId="47" xfId="1" applyNumberFormat="1" applyFont="1" applyFill="1" applyBorder="1" applyAlignment="1">
      <alignment horizontal="right" vertical="top"/>
    </xf>
    <xf numFmtId="4" fontId="43" fillId="0" borderId="161" xfId="1" applyNumberFormat="1" applyFont="1" applyBorder="1" applyAlignment="1">
      <alignment vertical="top"/>
    </xf>
    <xf numFmtId="175" fontId="28" fillId="0" borderId="17" xfId="1" applyNumberFormat="1" applyFont="1" applyBorder="1" applyAlignment="1">
      <alignment vertical="center" wrapText="1"/>
    </xf>
    <xf numFmtId="4" fontId="10" fillId="2" borderId="29" xfId="1" applyNumberFormat="1" applyFont="1" applyFill="1" applyBorder="1" applyAlignment="1">
      <alignment horizontal="right" vertical="top"/>
    </xf>
    <xf numFmtId="173" fontId="12" fillId="5" borderId="36" xfId="1" applyNumberFormat="1" applyFont="1" applyFill="1" applyBorder="1" applyAlignment="1">
      <alignment horizontal="right" vertical="top"/>
    </xf>
    <xf numFmtId="173" fontId="12" fillId="3" borderId="6" xfId="1" applyNumberFormat="1" applyFont="1" applyFill="1" applyBorder="1" applyAlignment="1">
      <alignment horizontal="right" vertical="top"/>
    </xf>
    <xf numFmtId="4" fontId="12" fillId="5" borderId="36" xfId="1" applyNumberFormat="1" applyFont="1" applyFill="1" applyBorder="1" applyAlignment="1">
      <alignment horizontal="right" vertical="top"/>
    </xf>
    <xf numFmtId="4" fontId="12" fillId="3" borderId="6" xfId="1" applyNumberFormat="1" applyFont="1" applyFill="1" applyBorder="1" applyAlignment="1">
      <alignment horizontal="right" vertical="top"/>
    </xf>
    <xf numFmtId="4" fontId="13" fillId="0" borderId="36" xfId="1" applyNumberFormat="1" applyFont="1" applyFill="1" applyBorder="1" applyAlignment="1">
      <alignment horizontal="right" vertical="top"/>
    </xf>
    <xf numFmtId="4" fontId="11" fillId="0" borderId="21" xfId="1" applyNumberFormat="1" applyFont="1" applyBorder="1" applyAlignment="1">
      <alignment vertical="top"/>
    </xf>
    <xf numFmtId="173" fontId="13" fillId="5" borderId="25" xfId="1" applyNumberFormat="1" applyFont="1" applyFill="1" applyBorder="1" applyAlignment="1">
      <alignment horizontal="right" vertical="top"/>
    </xf>
    <xf numFmtId="4" fontId="23" fillId="0" borderId="11" xfId="1" applyNumberFormat="1" applyFont="1" applyBorder="1" applyAlignment="1">
      <alignment vertical="top"/>
    </xf>
    <xf numFmtId="4" fontId="23" fillId="0" borderId="36" xfId="1" applyNumberFormat="1" applyFont="1" applyBorder="1" applyAlignment="1">
      <alignment vertical="top"/>
    </xf>
    <xf numFmtId="171" fontId="13" fillId="0" borderId="25" xfId="1" applyNumberFormat="1" applyFont="1" applyBorder="1" applyAlignment="1">
      <alignment horizontal="right" vertical="top"/>
    </xf>
    <xf numFmtId="4" fontId="22" fillId="3" borderId="11" xfId="1" applyNumberFormat="1" applyFont="1" applyFill="1" applyBorder="1" applyAlignment="1">
      <alignment horizontal="right" vertical="top"/>
    </xf>
    <xf numFmtId="4" fontId="13" fillId="3" borderId="49" xfId="1" applyNumberFormat="1" applyFont="1" applyFill="1" applyBorder="1" applyAlignment="1">
      <alignment horizontal="right" vertical="top"/>
    </xf>
    <xf numFmtId="165" fontId="12" fillId="5" borderId="6" xfId="1" applyNumberFormat="1" applyFont="1" applyFill="1" applyBorder="1" applyAlignment="1">
      <alignment horizontal="right" vertical="top"/>
    </xf>
    <xf numFmtId="4" fontId="12" fillId="3" borderId="36" xfId="1" applyNumberFormat="1" applyFont="1" applyFill="1" applyBorder="1" applyAlignment="1">
      <alignment horizontal="right" vertical="top"/>
    </xf>
    <xf numFmtId="4" fontId="13" fillId="5" borderId="59" xfId="1" applyNumberFormat="1" applyFont="1" applyFill="1" applyBorder="1" applyAlignment="1">
      <alignment horizontal="right" vertical="top"/>
    </xf>
    <xf numFmtId="173" fontId="13" fillId="5" borderId="6" xfId="1" applyNumberFormat="1" applyFont="1" applyFill="1" applyBorder="1" applyAlignment="1">
      <alignment horizontal="right" vertical="top"/>
    </xf>
    <xf numFmtId="173" fontId="13" fillId="3" borderId="36" xfId="1" applyNumberFormat="1" applyFont="1" applyFill="1" applyBorder="1" applyAlignment="1">
      <alignment horizontal="right" vertical="top"/>
    </xf>
    <xf numFmtId="4" fontId="13" fillId="3" borderId="25" xfId="1" applyNumberFormat="1" applyFont="1" applyFill="1" applyBorder="1" applyAlignment="1">
      <alignment horizontal="right" vertical="top"/>
    </xf>
    <xf numFmtId="175" fontId="41" fillId="0" borderId="162" xfId="1" applyNumberFormat="1" applyFont="1" applyBorder="1" applyAlignment="1">
      <alignment horizontal="right" vertical="center"/>
    </xf>
    <xf numFmtId="175" fontId="28" fillId="0" borderId="11" xfId="1" applyNumberFormat="1" applyFont="1" applyBorder="1" applyAlignment="1">
      <alignment vertical="center" wrapText="1"/>
    </xf>
    <xf numFmtId="175" fontId="42" fillId="0" borderId="11" xfId="1" applyNumberFormat="1" applyFont="1" applyBorder="1" applyAlignment="1">
      <alignment horizontal="right" vertical="center"/>
    </xf>
    <xf numFmtId="175" fontId="24" fillId="0" borderId="11" xfId="1" applyNumberFormat="1" applyFont="1" applyBorder="1" applyAlignment="1">
      <alignment horizontal="right" vertical="center"/>
    </xf>
    <xf numFmtId="175" fontId="37" fillId="0" borderId="11" xfId="1" applyNumberFormat="1" applyFont="1" applyBorder="1" applyAlignment="1">
      <alignment horizontal="right" vertical="center"/>
    </xf>
    <xf numFmtId="175" fontId="46" fillId="0" borderId="53" xfId="1" applyNumberFormat="1" applyFont="1" applyBorder="1" applyAlignment="1">
      <alignment horizontal="right" vertical="center"/>
    </xf>
    <xf numFmtId="175" fontId="14" fillId="0" borderId="53" xfId="1" applyNumberFormat="1" applyFont="1" applyBorder="1" applyAlignment="1">
      <alignment vertical="center" wrapText="1"/>
    </xf>
    <xf numFmtId="0" fontId="0" fillId="3" borderId="9" xfId="1" applyFont="1" applyFill="1" applyBorder="1" applyAlignment="1">
      <alignment horizontal="left"/>
    </xf>
    <xf numFmtId="173" fontId="13" fillId="3" borderId="6" xfId="1" applyNumberFormat="1" applyFont="1" applyFill="1" applyBorder="1" applyAlignment="1">
      <alignment horizontal="right" vertical="top"/>
    </xf>
    <xf numFmtId="0" fontId="11" fillId="3" borderId="26" xfId="1" applyFont="1" applyFill="1" applyBorder="1" applyAlignment="1">
      <alignment horizontal="left" vertical="top"/>
    </xf>
    <xf numFmtId="173" fontId="24" fillId="3" borderId="33" xfId="1" applyNumberFormat="1" applyFont="1" applyFill="1" applyBorder="1" applyAlignment="1">
      <alignment horizontal="right" vertical="top"/>
    </xf>
    <xf numFmtId="10" fontId="23" fillId="3" borderId="33" xfId="1" applyNumberFormat="1" applyFont="1" applyFill="1" applyBorder="1" applyAlignment="1">
      <alignment vertical="top"/>
    </xf>
    <xf numFmtId="4" fontId="22" fillId="3" borderId="35" xfId="1" applyNumberFormat="1" applyFont="1" applyFill="1" applyBorder="1" applyAlignment="1">
      <alignment horizontal="right" vertical="top"/>
    </xf>
    <xf numFmtId="4" fontId="22" fillId="3" borderId="36" xfId="1" applyNumberFormat="1" applyFont="1" applyFill="1" applyBorder="1" applyAlignment="1">
      <alignment horizontal="right" vertical="top"/>
    </xf>
    <xf numFmtId="168" fontId="13" fillId="0" borderId="26" xfId="1" applyNumberFormat="1" applyFont="1" applyBorder="1" applyAlignment="1">
      <alignment horizontal="right" vertical="top"/>
    </xf>
    <xf numFmtId="4" fontId="43" fillId="0" borderId="35" xfId="1" applyNumberFormat="1" applyFont="1" applyFill="1" applyBorder="1" applyAlignment="1">
      <alignment vertical="top"/>
    </xf>
    <xf numFmtId="165" fontId="13" fillId="0" borderId="5" xfId="1" applyNumberFormat="1" applyFont="1" applyFill="1" applyBorder="1" applyAlignment="1">
      <alignment horizontal="right" vertical="top"/>
    </xf>
    <xf numFmtId="4" fontId="13" fillId="0" borderId="5" xfId="1" applyNumberFormat="1" applyFont="1" applyFill="1" applyBorder="1" applyAlignment="1">
      <alignment horizontal="right" vertical="top"/>
    </xf>
    <xf numFmtId="10" fontId="13" fillId="0" borderId="2" xfId="1" applyNumberFormat="1" applyFont="1" applyFill="1" applyBorder="1" applyAlignment="1">
      <alignment horizontal="right" vertical="top"/>
    </xf>
    <xf numFmtId="4" fontId="13" fillId="0" borderId="1" xfId="1" applyNumberFormat="1" applyFont="1" applyFill="1" applyBorder="1" applyAlignment="1">
      <alignment horizontal="right" vertical="top"/>
    </xf>
    <xf numFmtId="4" fontId="13" fillId="0" borderId="6" xfId="1" applyNumberFormat="1" applyFont="1" applyFill="1" applyBorder="1" applyAlignment="1">
      <alignment horizontal="right" vertical="top"/>
    </xf>
    <xf numFmtId="173" fontId="12" fillId="3" borderId="39" xfId="1" applyNumberFormat="1" applyFont="1" applyFill="1" applyBorder="1" applyAlignment="1">
      <alignment horizontal="right" vertical="top"/>
    </xf>
    <xf numFmtId="173" fontId="12" fillId="3" borderId="36" xfId="1" applyNumberFormat="1" applyFont="1" applyFill="1" applyBorder="1" applyAlignment="1">
      <alignment horizontal="right" vertical="top"/>
    </xf>
    <xf numFmtId="0" fontId="11" fillId="3" borderId="48" xfId="1" applyFont="1" applyFill="1" applyBorder="1" applyAlignment="1">
      <alignment horizontal="left" vertical="top"/>
    </xf>
    <xf numFmtId="10" fontId="10" fillId="2" borderId="4" xfId="1" applyNumberFormat="1" applyFont="1" applyFill="1" applyBorder="1" applyAlignment="1">
      <alignment horizontal="right" vertical="top"/>
    </xf>
    <xf numFmtId="10" fontId="42" fillId="0" borderId="56" xfId="1" applyNumberFormat="1" applyFont="1" applyBorder="1" applyAlignment="1">
      <alignment horizontal="right" vertical="center"/>
    </xf>
    <xf numFmtId="10" fontId="24" fillId="0" borderId="56" xfId="1" applyNumberFormat="1" applyFont="1" applyBorder="1" applyAlignment="1">
      <alignment horizontal="right" vertical="center"/>
    </xf>
    <xf numFmtId="10" fontId="12" fillId="0" borderId="56" xfId="1" applyNumberFormat="1" applyFont="1" applyBorder="1" applyAlignment="1">
      <alignment horizontal="right" vertical="center"/>
    </xf>
    <xf numFmtId="10" fontId="40" fillId="0" borderId="19" xfId="1" applyNumberFormat="1" applyFont="1" applyBorder="1"/>
    <xf numFmtId="10" fontId="40" fillId="0" borderId="0" xfId="1" applyNumberFormat="1" applyFont="1" applyBorder="1"/>
    <xf numFmtId="10" fontId="33" fillId="0" borderId="56" xfId="0" applyNumberFormat="1" applyFont="1" applyBorder="1" applyAlignment="1">
      <alignment vertical="center"/>
    </xf>
    <xf numFmtId="10" fontId="33" fillId="0" borderId="33" xfId="0" applyNumberFormat="1" applyFont="1" applyBorder="1" applyAlignment="1">
      <alignment vertical="center"/>
    </xf>
    <xf numFmtId="10" fontId="42" fillId="0" borderId="53" xfId="1" applyNumberFormat="1" applyFont="1" applyBorder="1" applyAlignment="1">
      <alignment horizontal="right" vertical="center"/>
    </xf>
    <xf numFmtId="10" fontId="24" fillId="0" borderId="53" xfId="1" applyNumberFormat="1" applyFont="1" applyBorder="1" applyAlignment="1">
      <alignment horizontal="right" vertical="center"/>
    </xf>
    <xf numFmtId="10" fontId="12" fillId="0" borderId="53" xfId="1" applyNumberFormat="1" applyFont="1" applyBorder="1" applyAlignment="1">
      <alignment horizontal="right" vertical="center"/>
    </xf>
    <xf numFmtId="4" fontId="10" fillId="2" borderId="17" xfId="1" applyNumberFormat="1" applyFont="1" applyFill="1" applyBorder="1" applyAlignment="1">
      <alignment horizontal="right" vertical="top"/>
    </xf>
    <xf numFmtId="4" fontId="13" fillId="4" borderId="1" xfId="1" applyNumberFormat="1" applyFont="1" applyFill="1" applyBorder="1" applyAlignment="1">
      <alignment horizontal="right" vertical="top"/>
    </xf>
    <xf numFmtId="4" fontId="9" fillId="2" borderId="35" xfId="1" applyNumberFormat="1" applyFont="1" applyFill="1" applyBorder="1" applyAlignment="1">
      <alignment vertical="top"/>
    </xf>
    <xf numFmtId="168" fontId="13" fillId="5" borderId="77" xfId="1" applyNumberFormat="1" applyFont="1" applyFill="1" applyBorder="1" applyAlignment="1">
      <alignment horizontal="right" vertical="top"/>
    </xf>
    <xf numFmtId="4" fontId="12" fillId="4" borderId="1" xfId="1" applyNumberFormat="1" applyFont="1" applyFill="1" applyBorder="1" applyAlignment="1">
      <alignment horizontal="right" vertical="top"/>
    </xf>
    <xf numFmtId="173" fontId="13" fillId="4" borderId="35" xfId="1" applyNumberFormat="1" applyFont="1" applyFill="1" applyBorder="1" applyAlignment="1">
      <alignment horizontal="right" vertical="top"/>
    </xf>
    <xf numFmtId="4" fontId="13" fillId="4" borderId="6" xfId="1" applyNumberFormat="1" applyFont="1" applyFill="1" applyBorder="1" applyAlignment="1">
      <alignment horizontal="right" vertical="top"/>
    </xf>
    <xf numFmtId="4" fontId="11" fillId="5" borderId="36" xfId="1" applyNumberFormat="1" applyFont="1" applyFill="1" applyBorder="1" applyAlignment="1">
      <alignment vertical="top"/>
    </xf>
    <xf numFmtId="0" fontId="33" fillId="0" borderId="38" xfId="1" applyFont="1" applyBorder="1" applyAlignment="1">
      <alignment vertical="top" wrapText="1"/>
    </xf>
    <xf numFmtId="0" fontId="2" fillId="0" borderId="7" xfId="1" applyFont="1" applyBorder="1" applyAlignment="1">
      <alignment vertical="center" wrapText="1"/>
    </xf>
    <xf numFmtId="4" fontId="2" fillId="0" borderId="5" xfId="1" applyNumberFormat="1" applyFont="1" applyBorder="1" applyAlignment="1">
      <alignment vertical="center"/>
    </xf>
    <xf numFmtId="10" fontId="2" fillId="0" borderId="5" xfId="1" applyNumberFormat="1" applyFont="1" applyBorder="1" applyAlignment="1">
      <alignment vertical="center"/>
    </xf>
    <xf numFmtId="4" fontId="2" fillId="0" borderId="1" xfId="1" applyNumberFormat="1" applyFont="1" applyBorder="1" applyAlignment="1">
      <alignment vertical="center"/>
    </xf>
    <xf numFmtId="4" fontId="2" fillId="0" borderId="147" xfId="1" applyNumberFormat="1" applyFont="1" applyBorder="1" applyAlignment="1">
      <alignment vertical="center"/>
    </xf>
    <xf numFmtId="4" fontId="2" fillId="0" borderId="137" xfId="1" applyNumberFormat="1" applyFont="1" applyBorder="1" applyAlignment="1">
      <alignment vertical="center"/>
    </xf>
    <xf numFmtId="10" fontId="2" fillId="0" borderId="155" xfId="1" applyNumberFormat="1" applyFont="1" applyBorder="1" applyAlignment="1">
      <alignment vertical="center"/>
    </xf>
    <xf numFmtId="10" fontId="34" fillId="0" borderId="155" xfId="0" applyNumberFormat="1" applyFont="1" applyBorder="1" applyAlignment="1">
      <alignment vertical="center"/>
    </xf>
    <xf numFmtId="4" fontId="33" fillId="0" borderId="163" xfId="4" applyNumberFormat="1" applyFont="1" applyBorder="1"/>
    <xf numFmtId="4" fontId="32" fillId="0" borderId="0" xfId="4" applyNumberFormat="1" applyFont="1" applyBorder="1"/>
    <xf numFmtId="4" fontId="32" fillId="0" borderId="32" xfId="4" applyNumberFormat="1" applyFont="1" applyBorder="1"/>
    <xf numFmtId="4" fontId="34" fillId="0" borderId="163" xfId="4" applyNumberFormat="1" applyFont="1" applyBorder="1"/>
    <xf numFmtId="4" fontId="34" fillId="0" borderId="0" xfId="4" applyNumberFormat="1" applyFont="1" applyBorder="1"/>
    <xf numFmtId="4" fontId="34" fillId="0" borderId="86" xfId="4" applyNumberFormat="1" applyFont="1" applyBorder="1"/>
    <xf numFmtId="4" fontId="33" fillId="0" borderId="0" xfId="4" applyNumberFormat="1" applyFont="1" applyBorder="1"/>
    <xf numFmtId="4" fontId="32" fillId="0" borderId="140" xfId="4" applyNumberFormat="1" applyFont="1" applyBorder="1"/>
    <xf numFmtId="10" fontId="32" fillId="0" borderId="0" xfId="4" applyNumberFormat="1" applyFont="1" applyBorder="1"/>
    <xf numFmtId="0" fontId="1" fillId="0" borderId="164" xfId="4" applyFont="1" applyBorder="1" applyAlignment="1">
      <alignment vertical="top"/>
    </xf>
    <xf numFmtId="3" fontId="33" fillId="0" borderId="134" xfId="4" applyNumberFormat="1" applyFont="1" applyBorder="1"/>
    <xf numFmtId="3" fontId="32" fillId="0" borderId="10" xfId="4" applyNumberFormat="1" applyFont="1" applyBorder="1"/>
    <xf numFmtId="3" fontId="32" fillId="0" borderId="18" xfId="4" applyNumberFormat="1" applyFont="1" applyBorder="1"/>
    <xf numFmtId="4" fontId="33" fillId="0" borderId="10" xfId="4" applyNumberFormat="1" applyFont="1" applyBorder="1"/>
    <xf numFmtId="4" fontId="34" fillId="0" borderId="10" xfId="4" applyNumberFormat="1" applyFont="1" applyBorder="1"/>
    <xf numFmtId="4" fontId="34" fillId="0" borderId="165" xfId="4" applyNumberFormat="1" applyFont="1" applyBorder="1"/>
    <xf numFmtId="3" fontId="32" fillId="0" borderId="164" xfId="4" applyNumberFormat="1" applyFont="1" applyBorder="1"/>
    <xf numFmtId="4" fontId="1" fillId="0" borderId="113" xfId="4" applyNumberFormat="1" applyBorder="1"/>
    <xf numFmtId="4" fontId="1" fillId="0" borderId="123" xfId="4" applyNumberFormat="1" applyBorder="1"/>
    <xf numFmtId="4" fontId="1" fillId="0" borderId="122" xfId="4" applyNumberFormat="1" applyBorder="1"/>
    <xf numFmtId="4" fontId="2" fillId="0" borderId="113" xfId="4" applyNumberFormat="1" applyFont="1" applyBorder="1"/>
    <xf numFmtId="4" fontId="2" fillId="0" borderId="112" xfId="4" applyNumberFormat="1" applyFont="1" applyBorder="1"/>
    <xf numFmtId="4" fontId="33" fillId="0" borderId="65" xfId="4" applyNumberFormat="1" applyFont="1" applyBorder="1"/>
    <xf numFmtId="4" fontId="32" fillId="0" borderId="17" xfId="4" applyNumberFormat="1" applyFont="1" applyBorder="1"/>
    <xf numFmtId="4" fontId="34" fillId="0" borderId="129" xfId="4" applyNumberFormat="1" applyFont="1" applyBorder="1"/>
    <xf numFmtId="4" fontId="34" fillId="0" borderId="130" xfId="4" applyNumberFormat="1" applyFont="1" applyBorder="1"/>
    <xf numFmtId="4" fontId="34" fillId="0" borderId="166" xfId="4" applyNumberFormat="1" applyFont="1" applyBorder="1"/>
    <xf numFmtId="4" fontId="2" fillId="0" borderId="128" xfId="4" applyNumberFormat="1" applyFont="1" applyBorder="1"/>
    <xf numFmtId="4" fontId="34" fillId="0" borderId="167" xfId="4" applyNumberFormat="1" applyFont="1" applyBorder="1"/>
    <xf numFmtId="4" fontId="2" fillId="0" borderId="131" xfId="4" applyNumberFormat="1" applyFont="1" applyBorder="1"/>
    <xf numFmtId="0" fontId="1" fillId="0" borderId="114" xfId="4" applyFont="1" applyBorder="1" applyAlignment="1">
      <alignment horizontal="right"/>
    </xf>
    <xf numFmtId="4" fontId="2" fillId="0" borderId="168" xfId="4" applyNumberFormat="1" applyFont="1" applyBorder="1"/>
    <xf numFmtId="4" fontId="1" fillId="0" borderId="169" xfId="4" applyNumberFormat="1" applyBorder="1"/>
    <xf numFmtId="4" fontId="34" fillId="0" borderId="170" xfId="4" applyNumberFormat="1" applyFont="1" applyBorder="1"/>
    <xf numFmtId="4" fontId="2" fillId="0" borderId="171" xfId="4" applyNumberFormat="1" applyFont="1" applyBorder="1"/>
    <xf numFmtId="4" fontId="2" fillId="0" borderId="172" xfId="4" applyNumberFormat="1" applyFont="1" applyBorder="1"/>
    <xf numFmtId="4" fontId="1" fillId="0" borderId="173" xfId="4" applyNumberFormat="1" applyBorder="1"/>
    <xf numFmtId="4" fontId="2" fillId="0" borderId="174" xfId="4" applyNumberFormat="1" applyFont="1" applyBorder="1"/>
    <xf numFmtId="4" fontId="2" fillId="0" borderId="175" xfId="4" applyNumberFormat="1" applyFont="1" applyBorder="1"/>
    <xf numFmtId="0" fontId="34" fillId="0" borderId="114" xfId="4" applyFont="1" applyBorder="1" applyAlignment="1">
      <alignment horizontal="right" vertical="center"/>
    </xf>
    <xf numFmtId="0" fontId="32" fillId="0" borderId="114" xfId="4" applyFont="1" applyBorder="1"/>
    <xf numFmtId="0" fontId="32" fillId="0" borderId="97" xfId="4" applyFont="1" applyBorder="1"/>
    <xf numFmtId="0" fontId="32" fillId="0" borderId="98" xfId="4" applyFont="1" applyBorder="1"/>
    <xf numFmtId="0" fontId="32" fillId="0" borderId="99" xfId="4" applyFont="1" applyBorder="1"/>
    <xf numFmtId="0" fontId="32" fillId="0" borderId="100" xfId="4" applyFont="1" applyBorder="1"/>
    <xf numFmtId="0" fontId="1" fillId="0" borderId="176" xfId="4" applyBorder="1"/>
    <xf numFmtId="0" fontId="1" fillId="0" borderId="177" xfId="4" applyBorder="1"/>
    <xf numFmtId="0" fontId="1" fillId="0" borderId="178" xfId="4" applyBorder="1"/>
    <xf numFmtId="4" fontId="1" fillId="0" borderId="179" xfId="4" applyNumberFormat="1" applyBorder="1"/>
    <xf numFmtId="4" fontId="2" fillId="0" borderId="169" xfId="4" applyNumberFormat="1" applyFont="1" applyBorder="1"/>
    <xf numFmtId="4" fontId="2" fillId="0" borderId="170" xfId="4" applyNumberFormat="1" applyFont="1" applyBorder="1"/>
    <xf numFmtId="4" fontId="2" fillId="0" borderId="173" xfId="4" applyNumberFormat="1" applyFont="1" applyBorder="1"/>
    <xf numFmtId="4" fontId="33" fillId="0" borderId="0" xfId="0" applyNumberFormat="1" applyFont="1" applyBorder="1"/>
    <xf numFmtId="0" fontId="16" fillId="0" borderId="0" xfId="0" applyFont="1" applyAlignment="1">
      <alignment horizontal="right"/>
    </xf>
    <xf numFmtId="0" fontId="16" fillId="0" borderId="38" xfId="0" applyFont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169" fontId="13" fillId="0" borderId="4" xfId="1" applyNumberFormat="1" applyFont="1" applyBorder="1" applyAlignment="1">
      <alignment horizontal="left" vertical="top"/>
    </xf>
    <xf numFmtId="172" fontId="13" fillId="3" borderId="39" xfId="1" applyNumberFormat="1" applyFont="1" applyFill="1" applyBorder="1" applyAlignment="1">
      <alignment horizontal="left" vertical="top"/>
    </xf>
    <xf numFmtId="0" fontId="11" fillId="3" borderId="5" xfId="1" applyFont="1" applyFill="1" applyBorder="1" applyAlignment="1">
      <alignment horizontal="left" vertical="top"/>
    </xf>
    <xf numFmtId="10" fontId="12" fillId="5" borderId="44" xfId="1" applyNumberFormat="1" applyFont="1" applyFill="1" applyBorder="1" applyAlignment="1">
      <alignment horizontal="right" vertical="top"/>
    </xf>
    <xf numFmtId="0" fontId="13" fillId="3" borderId="44" xfId="1" applyFont="1" applyFill="1" applyBorder="1" applyAlignment="1">
      <alignment horizontal="left" vertical="top" wrapText="1"/>
    </xf>
    <xf numFmtId="168" fontId="13" fillId="0" borderId="80" xfId="1" applyNumberFormat="1" applyFont="1" applyBorder="1" applyAlignment="1">
      <alignment horizontal="right" vertical="top"/>
    </xf>
    <xf numFmtId="0" fontId="0" fillId="0" borderId="2" xfId="1" applyFont="1" applyFill="1" applyBorder="1"/>
    <xf numFmtId="10" fontId="33" fillId="0" borderId="65" xfId="0" applyNumberFormat="1" applyFont="1" applyBorder="1" applyAlignment="1">
      <alignment vertical="top"/>
    </xf>
    <xf numFmtId="10" fontId="32" fillId="0" borderId="155" xfId="0" applyNumberFormat="1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11" fillId="0" borderId="19" xfId="1" applyFont="1" applyBorder="1" applyAlignment="1">
      <alignment horizontal="center"/>
    </xf>
    <xf numFmtId="0" fontId="11" fillId="0" borderId="33" xfId="1" applyFont="1" applyBorder="1" applyAlignment="1">
      <alignment horizontal="center"/>
    </xf>
    <xf numFmtId="0" fontId="0" fillId="0" borderId="8" xfId="1" applyFont="1" applyBorder="1" applyAlignment="1">
      <alignment horizontal="center"/>
    </xf>
    <xf numFmtId="0" fontId="0" fillId="0" borderId="45" xfId="1" applyFont="1" applyBorder="1" applyAlignment="1">
      <alignment horizontal="center"/>
    </xf>
    <xf numFmtId="0" fontId="0" fillId="0" borderId="43" xfId="1" applyFont="1" applyBorder="1" applyAlignment="1">
      <alignment horizontal="center"/>
    </xf>
    <xf numFmtId="0" fontId="0" fillId="0" borderId="28" xfId="1" applyFont="1" applyBorder="1" applyAlignment="1">
      <alignment horizontal="center"/>
    </xf>
    <xf numFmtId="0" fontId="0" fillId="0" borderId="17" xfId="1" applyFont="1" applyBorder="1" applyAlignment="1">
      <alignment horizontal="center"/>
    </xf>
    <xf numFmtId="0" fontId="0" fillId="0" borderId="35" xfId="1" applyFont="1" applyBorder="1" applyAlignment="1">
      <alignment horizontal="center"/>
    </xf>
    <xf numFmtId="0" fontId="11" fillId="5" borderId="2" xfId="1" applyFont="1" applyFill="1" applyBorder="1" applyAlignment="1">
      <alignment horizontal="left"/>
    </xf>
    <xf numFmtId="0" fontId="11" fillId="5" borderId="51" xfId="1" applyFont="1" applyFill="1" applyBorder="1" applyAlignment="1">
      <alignment horizontal="left"/>
    </xf>
    <xf numFmtId="0" fontId="0" fillId="0" borderId="5" xfId="1" applyFont="1" applyBorder="1" applyAlignment="1">
      <alignment horizontal="center"/>
    </xf>
    <xf numFmtId="0" fontId="0" fillId="0" borderId="19" xfId="1" applyFont="1" applyBorder="1" applyAlignment="1">
      <alignment horizontal="center"/>
    </xf>
    <xf numFmtId="0" fontId="0" fillId="0" borderId="56" xfId="1" applyFont="1" applyBorder="1" applyAlignment="1">
      <alignment horizontal="center"/>
    </xf>
    <xf numFmtId="0" fontId="0" fillId="0" borderId="33" xfId="1" applyFont="1" applyBorder="1" applyAlignment="1">
      <alignment horizontal="center"/>
    </xf>
    <xf numFmtId="0" fontId="0" fillId="0" borderId="46" xfId="1" applyFont="1" applyBorder="1" applyAlignment="1">
      <alignment horizontal="center"/>
    </xf>
    <xf numFmtId="170" fontId="10" fillId="3" borderId="45" xfId="1" applyNumberFormat="1" applyFont="1" applyFill="1" applyBorder="1" applyAlignment="1">
      <alignment horizontal="center" vertical="top"/>
    </xf>
    <xf numFmtId="170" fontId="10" fillId="3" borderId="43" xfId="1" applyNumberFormat="1" applyFont="1" applyFill="1" applyBorder="1" applyAlignment="1">
      <alignment horizontal="center" vertical="top"/>
    </xf>
    <xf numFmtId="0" fontId="0" fillId="0" borderId="34" xfId="1" applyFont="1" applyBorder="1" applyAlignment="1">
      <alignment horizontal="center"/>
    </xf>
    <xf numFmtId="0" fontId="0" fillId="0" borderId="10" xfId="1" applyFont="1" applyBorder="1" applyAlignment="1">
      <alignment horizontal="center"/>
    </xf>
    <xf numFmtId="0" fontId="0" fillId="0" borderId="44" xfId="1" applyFont="1" applyBorder="1" applyAlignment="1">
      <alignment horizontal="center"/>
    </xf>
    <xf numFmtId="0" fontId="0" fillId="0" borderId="18" xfId="1" applyFont="1" applyBorder="1" applyAlignment="1">
      <alignment horizontal="center"/>
    </xf>
    <xf numFmtId="0" fontId="15" fillId="0" borderId="5" xfId="1" applyFont="1" applyBorder="1" applyAlignment="1">
      <alignment horizontal="right" vertical="center" wrapText="1"/>
    </xf>
    <xf numFmtId="0" fontId="11" fillId="0" borderId="5" xfId="1" applyFont="1" applyBorder="1" applyAlignment="1">
      <alignment horizontal="center"/>
    </xf>
    <xf numFmtId="172" fontId="13" fillId="3" borderId="19" xfId="1" applyNumberFormat="1" applyFont="1" applyFill="1" applyBorder="1" applyAlignment="1">
      <alignment horizontal="center" vertical="top"/>
    </xf>
    <xf numFmtId="172" fontId="13" fillId="3" borderId="33" xfId="1" applyNumberFormat="1" applyFont="1" applyFill="1" applyBorder="1" applyAlignment="1">
      <alignment horizontal="center" vertical="top"/>
    </xf>
    <xf numFmtId="172" fontId="13" fillId="3" borderId="34" xfId="1" applyNumberFormat="1" applyFont="1" applyFill="1" applyBorder="1" applyAlignment="1">
      <alignment horizontal="center" vertical="top"/>
    </xf>
    <xf numFmtId="172" fontId="13" fillId="3" borderId="10" xfId="1" applyNumberFormat="1" applyFont="1" applyFill="1" applyBorder="1" applyAlignment="1">
      <alignment horizontal="center" vertical="top"/>
    </xf>
    <xf numFmtId="172" fontId="13" fillId="3" borderId="44" xfId="1" applyNumberFormat="1" applyFont="1" applyFill="1" applyBorder="1" applyAlignment="1">
      <alignment horizontal="center" vertical="top"/>
    </xf>
    <xf numFmtId="0" fontId="0" fillId="3" borderId="45" xfId="1" applyFont="1" applyFill="1" applyBorder="1" applyAlignment="1">
      <alignment horizontal="center"/>
    </xf>
    <xf numFmtId="0" fontId="0" fillId="3" borderId="43" xfId="1" applyFont="1" applyFill="1" applyBorder="1" applyAlignment="1">
      <alignment horizontal="center"/>
    </xf>
    <xf numFmtId="0" fontId="0" fillId="0" borderId="20" xfId="1" applyFont="1" applyBorder="1" applyAlignment="1">
      <alignment horizontal="center"/>
    </xf>
    <xf numFmtId="0" fontId="0" fillId="0" borderId="9" xfId="1" applyFont="1" applyBorder="1" applyAlignment="1">
      <alignment horizontal="center"/>
    </xf>
    <xf numFmtId="0" fontId="0" fillId="0" borderId="39" xfId="1" applyFont="1" applyBorder="1" applyAlignment="1">
      <alignment horizontal="center"/>
    </xf>
    <xf numFmtId="0" fontId="0" fillId="3" borderId="28" xfId="1" applyFont="1" applyFill="1" applyBorder="1" applyAlignment="1">
      <alignment horizontal="center"/>
    </xf>
    <xf numFmtId="0" fontId="0" fillId="3" borderId="17" xfId="1" applyFont="1" applyFill="1" applyBorder="1" applyAlignment="1">
      <alignment horizontal="center"/>
    </xf>
    <xf numFmtId="0" fontId="0" fillId="3" borderId="35" xfId="1" applyFont="1" applyFill="1" applyBorder="1" applyAlignment="1">
      <alignment horizontal="center"/>
    </xf>
    <xf numFmtId="0" fontId="0" fillId="0" borderId="24" xfId="1" applyFont="1" applyBorder="1" applyAlignment="1">
      <alignment horizontal="center"/>
    </xf>
    <xf numFmtId="0" fontId="0" fillId="3" borderId="8" xfId="1" applyFont="1" applyFill="1" applyBorder="1" applyAlignment="1">
      <alignment horizontal="center"/>
    </xf>
    <xf numFmtId="0" fontId="0" fillId="0" borderId="143" xfId="1" applyFont="1" applyBorder="1" applyAlignment="1">
      <alignment horizontal="center"/>
    </xf>
    <xf numFmtId="0" fontId="0" fillId="0" borderId="80" xfId="1" applyFont="1" applyBorder="1" applyAlignment="1">
      <alignment horizontal="center"/>
    </xf>
    <xf numFmtId="0" fontId="0" fillId="0" borderId="75" xfId="1" applyFont="1" applyBorder="1" applyAlignment="1">
      <alignment horizontal="center"/>
    </xf>
    <xf numFmtId="0" fontId="0" fillId="0" borderId="47" xfId="1" applyFont="1" applyBorder="1" applyAlignment="1">
      <alignment horizontal="center"/>
    </xf>
    <xf numFmtId="0" fontId="0" fillId="0" borderId="58" xfId="1" applyFont="1" applyBorder="1" applyAlignment="1">
      <alignment horizontal="center"/>
    </xf>
    <xf numFmtId="172" fontId="13" fillId="3" borderId="143" xfId="1" applyNumberFormat="1" applyFont="1" applyFill="1" applyBorder="1" applyAlignment="1">
      <alignment horizontal="center" vertical="top"/>
    </xf>
    <xf numFmtId="172" fontId="13" fillId="3" borderId="75" xfId="1" applyNumberFormat="1" applyFont="1" applyFill="1" applyBorder="1" applyAlignment="1">
      <alignment horizontal="center" vertical="top"/>
    </xf>
    <xf numFmtId="172" fontId="13" fillId="3" borderId="80" xfId="1" applyNumberFormat="1" applyFont="1" applyFill="1" applyBorder="1" applyAlignment="1">
      <alignment horizontal="center" vertical="top"/>
    </xf>
    <xf numFmtId="0" fontId="0" fillId="0" borderId="76" xfId="1" applyFont="1" applyBorder="1" applyAlignment="1">
      <alignment horizontal="center"/>
    </xf>
    <xf numFmtId="0" fontId="0" fillId="0" borderId="62" xfId="1" applyFont="1" applyBorder="1" applyAlignment="1">
      <alignment horizontal="center"/>
    </xf>
    <xf numFmtId="0" fontId="0" fillId="3" borderId="19" xfId="1" applyFont="1" applyFill="1" applyBorder="1" applyAlignment="1">
      <alignment horizontal="center"/>
    </xf>
    <xf numFmtId="0" fontId="0" fillId="3" borderId="56" xfId="1" applyFont="1" applyFill="1" applyBorder="1" applyAlignment="1">
      <alignment horizontal="center"/>
    </xf>
    <xf numFmtId="0" fontId="0" fillId="3" borderId="33" xfId="1" applyFont="1" applyFill="1" applyBorder="1" applyAlignment="1">
      <alignment horizontal="center"/>
    </xf>
    <xf numFmtId="0" fontId="41" fillId="0" borderId="144" xfId="1" applyFont="1" applyBorder="1" applyAlignment="1">
      <alignment horizontal="right" vertical="center" wrapText="1"/>
    </xf>
    <xf numFmtId="0" fontId="41" fillId="0" borderId="145" xfId="1" applyFont="1" applyBorder="1" applyAlignment="1">
      <alignment horizontal="right" vertical="center" wrapText="1"/>
    </xf>
    <xf numFmtId="0" fontId="41" fillId="0" borderId="146" xfId="1" applyFont="1" applyBorder="1" applyAlignment="1">
      <alignment horizontal="right" vertical="center" wrapText="1"/>
    </xf>
    <xf numFmtId="175" fontId="9" fillId="0" borderId="83" xfId="0" applyNumberFormat="1" applyFont="1" applyBorder="1" applyAlignment="1">
      <alignment horizontal="center"/>
    </xf>
    <xf numFmtId="175" fontId="9" fillId="0" borderId="84" xfId="0" applyNumberFormat="1" applyFont="1" applyBorder="1" applyAlignment="1">
      <alignment horizontal="center"/>
    </xf>
    <xf numFmtId="175" fontId="9" fillId="0" borderId="85" xfId="0" applyNumberFormat="1" applyFont="1" applyBorder="1" applyAlignment="1">
      <alignment horizontal="center"/>
    </xf>
    <xf numFmtId="0" fontId="1" fillId="0" borderId="63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172" fontId="13" fillId="3" borderId="30" xfId="1" applyNumberFormat="1" applyFont="1" applyFill="1" applyBorder="1" applyAlignment="1">
      <alignment horizontal="center" vertical="top"/>
    </xf>
    <xf numFmtId="172" fontId="13" fillId="3" borderId="18" xfId="1" applyNumberFormat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top" wrapText="1"/>
    </xf>
    <xf numFmtId="0" fontId="2" fillId="0" borderId="125" xfId="4" applyFont="1" applyBorder="1" applyAlignment="1">
      <alignment horizontal="left" vertical="center"/>
    </xf>
    <xf numFmtId="0" fontId="2" fillId="0" borderId="88" xfId="4" applyFont="1" applyBorder="1" applyAlignment="1">
      <alignment horizontal="left" vertical="center"/>
    </xf>
    <xf numFmtId="0" fontId="2" fillId="0" borderId="102" xfId="4" applyFont="1" applyBorder="1" applyAlignment="1">
      <alignment horizontal="left" vertical="center"/>
    </xf>
    <xf numFmtId="0" fontId="32" fillId="0" borderId="88" xfId="4" applyFont="1" applyBorder="1" applyAlignment="1">
      <alignment horizontal="center" wrapText="1"/>
    </xf>
    <xf numFmtId="0" fontId="1" fillId="0" borderId="89" xfId="4" applyBorder="1" applyAlignment="1">
      <alignment horizontal="center" vertical="top"/>
    </xf>
    <xf numFmtId="0" fontId="1" fillId="0" borderId="96" xfId="4" applyBorder="1" applyAlignment="1">
      <alignment horizontal="center" vertical="top"/>
    </xf>
    <xf numFmtId="0" fontId="1" fillId="0" borderId="103" xfId="4" applyBorder="1" applyAlignment="1">
      <alignment horizontal="left" vertical="top" wrapText="1"/>
    </xf>
    <xf numFmtId="0" fontId="1" fillId="0" borderId="103" xfId="4" applyFont="1" applyBorder="1" applyAlignment="1">
      <alignment horizontal="left" vertical="top" wrapText="1"/>
    </xf>
    <xf numFmtId="0" fontId="2" fillId="0" borderId="90" xfId="4" applyFont="1" applyBorder="1" applyAlignment="1">
      <alignment horizontal="center" vertical="center"/>
    </xf>
    <xf numFmtId="0" fontId="16" fillId="0" borderId="96" xfId="4" applyFont="1" applyBorder="1" applyAlignment="1">
      <alignment horizontal="center" vertical="top"/>
    </xf>
    <xf numFmtId="0" fontId="16" fillId="0" borderId="87" xfId="4" applyFont="1" applyBorder="1" applyAlignment="1">
      <alignment horizontal="center" vertical="top"/>
    </xf>
    <xf numFmtId="0" fontId="16" fillId="0" borderId="89" xfId="4" applyFont="1" applyBorder="1" applyAlignment="1">
      <alignment horizontal="center" vertical="top"/>
    </xf>
    <xf numFmtId="0" fontId="16" fillId="0" borderId="125" xfId="4" applyFont="1" applyBorder="1" applyAlignment="1">
      <alignment horizontal="left" vertical="top" wrapText="1"/>
    </xf>
    <xf numFmtId="0" fontId="16" fillId="0" borderId="88" xfId="4" applyFont="1" applyBorder="1" applyAlignment="1">
      <alignment horizontal="left" vertical="top" wrapText="1"/>
    </xf>
    <xf numFmtId="0" fontId="16" fillId="0" borderId="102" xfId="4" applyFont="1" applyBorder="1" applyAlignment="1">
      <alignment horizontal="left" vertical="top" wrapText="1"/>
    </xf>
    <xf numFmtId="0" fontId="2" fillId="0" borderId="89" xfId="4" applyFont="1" applyBorder="1" applyAlignment="1">
      <alignment horizontal="left" vertical="top" wrapText="1"/>
    </xf>
    <xf numFmtId="0" fontId="35" fillId="0" borderId="102" xfId="3" applyNumberFormat="1" applyFont="1" applyFill="1" applyBorder="1" applyAlignment="1" applyProtection="1">
      <alignment horizontal="left" vertical="top"/>
      <protection locked="0"/>
    </xf>
    <xf numFmtId="0" fontId="35" fillId="0" borderId="114" xfId="3" applyNumberFormat="1" applyFont="1" applyFill="1" applyBorder="1" applyAlignment="1" applyProtection="1">
      <alignment horizontal="left" vertical="top"/>
      <protection locked="0"/>
    </xf>
    <xf numFmtId="0" fontId="35" fillId="0" borderId="115" xfId="3" applyNumberFormat="1" applyFont="1" applyFill="1" applyBorder="1" applyAlignment="1" applyProtection="1">
      <alignment horizontal="left" vertical="top"/>
      <protection locked="0"/>
    </xf>
    <xf numFmtId="0" fontId="35" fillId="0" borderId="96" xfId="3" applyNumberFormat="1" applyFont="1" applyFill="1" applyBorder="1" applyAlignment="1" applyProtection="1">
      <alignment horizontal="left" vertical="top"/>
      <protection locked="0"/>
    </xf>
    <xf numFmtId="0" fontId="35" fillId="0" borderId="125" xfId="3" applyNumberFormat="1" applyFont="1" applyFill="1" applyBorder="1" applyAlignment="1" applyProtection="1">
      <alignment horizontal="left" vertical="top"/>
      <protection locked="0"/>
    </xf>
    <xf numFmtId="0" fontId="1" fillId="0" borderId="115" xfId="4" applyFont="1" applyBorder="1" applyAlignment="1">
      <alignment horizontal="left" vertical="top" wrapText="1"/>
    </xf>
    <xf numFmtId="0" fontId="1" fillId="0" borderId="118" xfId="4" applyFont="1" applyBorder="1" applyAlignment="1">
      <alignment horizontal="left" vertical="top" wrapText="1"/>
    </xf>
    <xf numFmtId="0" fontId="1" fillId="0" borderId="94" xfId="4" applyBorder="1" applyAlignment="1">
      <alignment horizontal="center"/>
    </xf>
    <xf numFmtId="0" fontId="1" fillId="0" borderId="95" xfId="4" applyBorder="1" applyAlignment="1">
      <alignment horizontal="center"/>
    </xf>
    <xf numFmtId="0" fontId="1" fillId="0" borderId="93" xfId="4" applyBorder="1" applyAlignment="1">
      <alignment horizontal="center"/>
    </xf>
    <xf numFmtId="0" fontId="1" fillId="0" borderId="91" xfId="4" applyBorder="1" applyAlignment="1">
      <alignment horizontal="center"/>
    </xf>
    <xf numFmtId="0" fontId="1" fillId="0" borderId="83" xfId="4" applyBorder="1" applyAlignment="1">
      <alignment horizontal="center"/>
    </xf>
    <xf numFmtId="0" fontId="1" fillId="0" borderId="102" xfId="4" applyFont="1" applyBorder="1" applyAlignment="1">
      <alignment horizontal="left" vertical="top" wrapText="1"/>
    </xf>
    <xf numFmtId="0" fontId="1" fillId="0" borderId="90" xfId="4" applyBorder="1" applyAlignment="1">
      <alignment horizontal="center"/>
    </xf>
    <xf numFmtId="0" fontId="1" fillId="0" borderId="92" xfId="4" applyBorder="1" applyAlignment="1">
      <alignment horizontal="center"/>
    </xf>
    <xf numFmtId="0" fontId="36" fillId="0" borderId="0" xfId="3" applyNumberFormat="1" applyFont="1" applyFill="1" applyBorder="1" applyAlignment="1" applyProtection="1">
      <alignment horizontal="left" vertical="center" wrapText="1"/>
      <protection locked="0"/>
    </xf>
    <xf numFmtId="0" fontId="2" fillId="0" borderId="87" xfId="4" applyFont="1" applyBorder="1" applyAlignment="1">
      <alignment horizontal="center" vertical="top"/>
    </xf>
    <xf numFmtId="0" fontId="2" fillId="0" borderId="88" xfId="4" applyFont="1" applyBorder="1" applyAlignment="1">
      <alignment horizontal="left" vertical="top" wrapText="1"/>
    </xf>
    <xf numFmtId="0" fontId="1" fillId="0" borderId="87" xfId="4" applyBorder="1" applyAlignment="1">
      <alignment horizontal="center"/>
    </xf>
    <xf numFmtId="0" fontId="1" fillId="0" borderId="88" xfId="4" applyBorder="1" applyAlignment="1">
      <alignment horizontal="center"/>
    </xf>
  </cellXfs>
  <cellStyles count="15">
    <cellStyle name="ConditionalStyle_1" xfId="6"/>
    <cellStyle name="Dziesiętny" xfId="1" builtinId="3"/>
    <cellStyle name="Excel Built-in Normal" xfId="7"/>
    <cellStyle name="Normalny" xfId="0" builtinId="0"/>
    <cellStyle name="Normalny 10" xfId="5"/>
    <cellStyle name="Normalny 2" xfId="8"/>
    <cellStyle name="Normalny 3" xfId="9"/>
    <cellStyle name="Normalny 4" xfId="2"/>
    <cellStyle name="Normalny 5" xfId="10"/>
    <cellStyle name="Normalny 6" xfId="11"/>
    <cellStyle name="Normalny 7" xfId="12"/>
    <cellStyle name="Normalny 8" xfId="13"/>
    <cellStyle name="Normalny 9" xfId="14"/>
    <cellStyle name="Normalny_Prognoza długu 2011 do WPF mat. pomocnicze" xfId="3"/>
    <cellStyle name="Normalny_Załacznik Nr 3  do Zarządzenia nr 179 Prognoza długu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583</xdr:row>
      <xdr:rowOff>0</xdr:rowOff>
    </xdr:from>
    <xdr:to>
      <xdr:col>3</xdr:col>
      <xdr:colOff>314325</xdr:colOff>
      <xdr:row>583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 flipH="1" flipV="1">
          <a:off x="0" y="125529975"/>
          <a:ext cx="123825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a%20Dochody%20i%20Wydatki%20i%20prognoza%20d&#322;ugu%20(Automatycznie%20zapisany)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Zał.1 Dochody "/>
      <sheetName val="Zał. 2 Wydatki "/>
      <sheetName val=" Zał.1 Dochody  (2)"/>
      <sheetName val="Zał. 2 Wydatki  (2)"/>
      <sheetName val=" prognoza zadłużenia 2014) (3)"/>
      <sheetName val=" prognoza zadłużenia 2014) (2)"/>
      <sheetName val="Odpady"/>
      <sheetName val="Arkusz1"/>
      <sheetName val="Arkusz2"/>
    </sheetNames>
    <sheetDataSet>
      <sheetData sheetId="0"/>
      <sheetData sheetId="1">
        <row r="537">
          <cell r="J537">
            <v>51150727.109999999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5"/>
  <sheetViews>
    <sheetView zoomScaleNormal="100" workbookViewId="0">
      <selection activeCell="W256" sqref="W256"/>
    </sheetView>
  </sheetViews>
  <sheetFormatPr defaultRowHeight="12.75" x14ac:dyDescent="0.2"/>
  <cols>
    <col min="1" max="1" width="4.7109375" customWidth="1"/>
    <col min="2" max="2" width="7" customWidth="1" collapsed="1"/>
    <col min="3" max="3" width="6.42578125" customWidth="1"/>
    <col min="4" max="4" width="49.7109375" style="1" customWidth="1"/>
    <col min="5" max="5" width="14.140625" customWidth="1" collapsed="1"/>
    <col min="6" max="6" width="13.140625" customWidth="1" collapsed="1"/>
    <col min="7" max="7" width="8.28515625" customWidth="1" collapsed="1"/>
    <col min="8" max="8" width="13.42578125" customWidth="1"/>
    <col min="9" max="9" width="13.28515625" hidden="1" customWidth="1"/>
    <col min="10" max="10" width="12.5703125" hidden="1" customWidth="1"/>
    <col min="11" max="11" width="13" customWidth="1"/>
    <col min="12" max="12" width="10.140625" customWidth="1"/>
    <col min="13" max="13" width="15.42578125" hidden="1" customWidth="1"/>
    <col min="14" max="15" width="9.140625" hidden="1" customWidth="1"/>
    <col min="16" max="20" width="0" hidden="1" customWidth="1"/>
  </cols>
  <sheetData>
    <row r="1" spans="1:13" ht="39" customHeight="1" x14ac:dyDescent="0.2">
      <c r="F1" s="1386" t="s">
        <v>330</v>
      </c>
      <c r="G1" s="1386"/>
      <c r="H1" s="1386"/>
      <c r="I1" s="1386"/>
      <c r="J1" s="1386"/>
      <c r="K1" s="1386"/>
      <c r="L1" s="1386"/>
    </row>
    <row r="2" spans="1:13" ht="50.25" customHeight="1" x14ac:dyDescent="0.2">
      <c r="A2" s="1387" t="s">
        <v>331</v>
      </c>
      <c r="B2" s="1387"/>
      <c r="C2" s="1387"/>
      <c r="D2" s="1387"/>
      <c r="E2" s="1387"/>
      <c r="F2" s="1387"/>
      <c r="G2" s="1387"/>
      <c r="H2" s="1387"/>
      <c r="I2" s="1387"/>
      <c r="J2" s="1387"/>
      <c r="K2" s="1387"/>
      <c r="L2" s="1387"/>
    </row>
    <row r="3" spans="1:13" ht="39" x14ac:dyDescent="0.2">
      <c r="A3" s="1010" t="s">
        <v>0</v>
      </c>
      <c r="B3" s="1009" t="s">
        <v>1</v>
      </c>
      <c r="C3" s="1008" t="s">
        <v>2</v>
      </c>
      <c r="D3" s="3" t="s">
        <v>3</v>
      </c>
      <c r="E3" s="4" t="s">
        <v>334</v>
      </c>
      <c r="F3" s="5" t="s">
        <v>335</v>
      </c>
      <c r="G3" s="6" t="s">
        <v>4</v>
      </c>
      <c r="H3" s="7" t="s">
        <v>336</v>
      </c>
      <c r="I3" s="1026" t="s">
        <v>337</v>
      </c>
      <c r="J3" s="1203" t="s">
        <v>427</v>
      </c>
      <c r="K3" s="8" t="s">
        <v>431</v>
      </c>
      <c r="L3" s="9" t="s">
        <v>338</v>
      </c>
      <c r="M3" s="10" t="s">
        <v>5</v>
      </c>
    </row>
    <row r="4" spans="1:13" x14ac:dyDescent="0.2">
      <c r="A4" s="71">
        <v>10</v>
      </c>
      <c r="B4" s="180"/>
      <c r="C4" s="181"/>
      <c r="D4" s="106" t="s">
        <v>6</v>
      </c>
      <c r="E4" s="906">
        <f>E10+E5+E8</f>
        <v>507074.37</v>
      </c>
      <c r="F4" s="14">
        <f>F10+F5+F8</f>
        <v>508939.71</v>
      </c>
      <c r="G4" s="15">
        <f>F4/E4</f>
        <v>1.0036786319923841</v>
      </c>
      <c r="H4" s="16">
        <f>H10+H5+H8</f>
        <v>508939.71</v>
      </c>
      <c r="I4" s="1027">
        <f>I10+I5+I8</f>
        <v>51000</v>
      </c>
      <c r="J4" s="1304">
        <f t="shared" ref="J4:K4" si="0">J10+J5+J8</f>
        <v>0</v>
      </c>
      <c r="K4" s="17">
        <f t="shared" si="0"/>
        <v>51000</v>
      </c>
      <c r="L4" s="18">
        <f>K4/E4</f>
        <v>0.10057696270470148</v>
      </c>
      <c r="M4" s="19"/>
    </row>
    <row r="5" spans="1:13" hidden="1" x14ac:dyDescent="0.2">
      <c r="A5" s="901"/>
      <c r="B5" s="902" t="s">
        <v>7</v>
      </c>
      <c r="C5" s="903"/>
      <c r="D5" s="904" t="s">
        <v>8</v>
      </c>
      <c r="E5" s="905">
        <f>SUM(E6:E7)</f>
        <v>0</v>
      </c>
      <c r="F5" s="20">
        <f>SUM(F6:F7)</f>
        <v>0</v>
      </c>
      <c r="G5" s="21">
        <v>0</v>
      </c>
      <c r="H5" s="20">
        <f>SUM(H6:H7)</f>
        <v>0</v>
      </c>
      <c r="I5" s="1028">
        <f>SUM(I6:I7)</f>
        <v>0</v>
      </c>
      <c r="J5" s="1305"/>
      <c r="K5" s="1310"/>
      <c r="L5" s="18" t="e">
        <f t="shared" ref="L5:L7" si="1">I5/E5</f>
        <v>#DIV/0!</v>
      </c>
      <c r="M5" s="19"/>
    </row>
    <row r="6" spans="1:13" hidden="1" x14ac:dyDescent="0.2">
      <c r="A6" s="22"/>
      <c r="B6" s="23"/>
      <c r="C6" s="24" t="s">
        <v>9</v>
      </c>
      <c r="D6" s="25" t="s">
        <v>10</v>
      </c>
      <c r="E6" s="26">
        <v>0</v>
      </c>
      <c r="F6" s="27">
        <v>0</v>
      </c>
      <c r="G6" s="28">
        <v>0</v>
      </c>
      <c r="H6" s="29">
        <v>0</v>
      </c>
      <c r="I6" s="1029">
        <v>0</v>
      </c>
      <c r="J6" s="353"/>
      <c r="K6" s="258"/>
      <c r="L6" s="18" t="e">
        <f t="shared" si="1"/>
        <v>#DIV/0!</v>
      </c>
      <c r="M6" s="19"/>
    </row>
    <row r="7" spans="1:13" hidden="1" x14ac:dyDescent="0.2">
      <c r="A7" s="22"/>
      <c r="B7" s="23"/>
      <c r="C7" s="30" t="s">
        <v>11</v>
      </c>
      <c r="D7" s="31" t="s">
        <v>12</v>
      </c>
      <c r="E7" s="32">
        <v>0</v>
      </c>
      <c r="F7" s="33"/>
      <c r="G7" s="34">
        <v>0</v>
      </c>
      <c r="H7" s="35">
        <v>0</v>
      </c>
      <c r="I7" s="1030">
        <v>0</v>
      </c>
      <c r="J7" s="353"/>
      <c r="K7" s="258"/>
      <c r="L7" s="18" t="e">
        <f t="shared" si="1"/>
        <v>#DIV/0!</v>
      </c>
      <c r="M7" s="37"/>
    </row>
    <row r="8" spans="1:13" x14ac:dyDescent="0.2">
      <c r="A8" s="22"/>
      <c r="B8" s="991" t="s">
        <v>7</v>
      </c>
      <c r="C8" s="991"/>
      <c r="D8" s="328" t="s">
        <v>8</v>
      </c>
      <c r="E8" s="992">
        <f>E9</f>
        <v>0</v>
      </c>
      <c r="F8" s="193">
        <f>F9</f>
        <v>274.81</v>
      </c>
      <c r="G8" s="192">
        <v>0</v>
      </c>
      <c r="H8" s="193">
        <f>H9</f>
        <v>274.81</v>
      </c>
      <c r="I8" s="1031">
        <f>I9</f>
        <v>0</v>
      </c>
      <c r="J8" s="1230">
        <f t="shared" ref="J8:K8" si="2">J9</f>
        <v>0</v>
      </c>
      <c r="K8" s="194">
        <f t="shared" si="2"/>
        <v>0</v>
      </c>
      <c r="L8" s="78">
        <v>0</v>
      </c>
      <c r="M8" s="993"/>
    </row>
    <row r="9" spans="1:13" x14ac:dyDescent="0.2">
      <c r="A9" s="22"/>
      <c r="B9" s="994"/>
      <c r="C9" s="38" t="s">
        <v>9</v>
      </c>
      <c r="D9" s="62" t="s">
        <v>10</v>
      </c>
      <c r="E9" s="989">
        <v>0</v>
      </c>
      <c r="F9" s="35">
        <v>274.81</v>
      </c>
      <c r="G9" s="988">
        <v>0</v>
      </c>
      <c r="H9" s="35">
        <v>274.81</v>
      </c>
      <c r="I9" s="1030">
        <v>0</v>
      </c>
      <c r="J9" s="353"/>
      <c r="K9" s="258">
        <f>I9+J9</f>
        <v>0</v>
      </c>
      <c r="L9" s="280">
        <v>0</v>
      </c>
      <c r="M9" s="37"/>
    </row>
    <row r="10" spans="1:13" x14ac:dyDescent="0.2">
      <c r="A10" s="1416"/>
      <c r="B10" s="990">
        <v>1095</v>
      </c>
      <c r="C10" s="45"/>
      <c r="D10" s="76" t="s">
        <v>14</v>
      </c>
      <c r="E10" s="47">
        <f>SUM(E11:E15)</f>
        <v>507074.37</v>
      </c>
      <c r="F10" s="47">
        <f>SUM(F11:F15)</f>
        <v>508664.9</v>
      </c>
      <c r="G10" s="48">
        <f>F10/E10</f>
        <v>1.0031366799311905</v>
      </c>
      <c r="H10" s="49">
        <f>SUM(H11:H15)</f>
        <v>508664.9</v>
      </c>
      <c r="I10" s="1032">
        <f>SUM(I11:I15)</f>
        <v>51000</v>
      </c>
      <c r="J10" s="1205">
        <f t="shared" ref="J10:K10" si="3">SUM(J11:J15)</f>
        <v>0</v>
      </c>
      <c r="K10" s="50">
        <f t="shared" si="3"/>
        <v>51000</v>
      </c>
      <c r="L10" s="78">
        <f t="shared" ref="L10:L73" si="4">K10/E10</f>
        <v>0.10057696270470148</v>
      </c>
      <c r="M10" s="19"/>
    </row>
    <row r="11" spans="1:13" ht="45" x14ac:dyDescent="0.2">
      <c r="A11" s="1416"/>
      <c r="B11" s="1418"/>
      <c r="C11" s="54">
        <v>750</v>
      </c>
      <c r="D11" s="25" t="s">
        <v>15</v>
      </c>
      <c r="E11" s="55">
        <v>20500</v>
      </c>
      <c r="F11" s="56">
        <v>21989.81</v>
      </c>
      <c r="G11" s="57">
        <f>F11/E11</f>
        <v>1.0726736585365855</v>
      </c>
      <c r="H11" s="58">
        <v>21989.81</v>
      </c>
      <c r="I11" s="1033">
        <v>51000</v>
      </c>
      <c r="J11" s="58"/>
      <c r="K11" s="59">
        <f>I11+J11</f>
        <v>51000</v>
      </c>
      <c r="L11" s="280">
        <f t="shared" si="4"/>
        <v>2.4878048780487805</v>
      </c>
      <c r="M11" s="60" t="s">
        <v>16</v>
      </c>
    </row>
    <row r="12" spans="1:13" x14ac:dyDescent="0.2">
      <c r="A12" s="1416"/>
      <c r="B12" s="1419"/>
      <c r="C12" s="61" t="s">
        <v>11</v>
      </c>
      <c r="D12" s="62" t="s">
        <v>12</v>
      </c>
      <c r="E12" s="55">
        <v>0</v>
      </c>
      <c r="F12" s="56">
        <v>100.72</v>
      </c>
      <c r="G12" s="57">
        <v>0</v>
      </c>
      <c r="H12" s="58">
        <v>100.72</v>
      </c>
      <c r="I12" s="1033">
        <v>0</v>
      </c>
      <c r="J12" s="58"/>
      <c r="K12" s="59">
        <f t="shared" ref="K12:K15" si="5">I12+J12</f>
        <v>0</v>
      </c>
      <c r="L12" s="280">
        <v>0</v>
      </c>
      <c r="M12" s="19"/>
    </row>
    <row r="13" spans="1:13" ht="33.75" x14ac:dyDescent="0.2">
      <c r="A13" s="1416"/>
      <c r="B13" s="1419"/>
      <c r="C13" s="63">
        <v>2010</v>
      </c>
      <c r="D13" s="25" t="s">
        <v>17</v>
      </c>
      <c r="E13" s="64">
        <v>456052.37</v>
      </c>
      <c r="F13" s="65">
        <v>456052.37</v>
      </c>
      <c r="G13" s="66">
        <f>F13/E13</f>
        <v>1</v>
      </c>
      <c r="H13" s="67">
        <v>456052.37</v>
      </c>
      <c r="I13" s="1034">
        <v>0</v>
      </c>
      <c r="J13" s="58"/>
      <c r="K13" s="59">
        <f t="shared" si="5"/>
        <v>0</v>
      </c>
      <c r="L13" s="280">
        <f t="shared" si="4"/>
        <v>0</v>
      </c>
      <c r="M13" s="19"/>
    </row>
    <row r="14" spans="1:13" ht="33.75" x14ac:dyDescent="0.2">
      <c r="A14" s="1416"/>
      <c r="B14" s="1419"/>
      <c r="C14" s="69">
        <v>2710</v>
      </c>
      <c r="D14" s="62" t="s">
        <v>18</v>
      </c>
      <c r="E14" s="70">
        <v>20000</v>
      </c>
      <c r="F14" s="56">
        <v>20000</v>
      </c>
      <c r="G14" s="66">
        <f t="shared" ref="G14:G15" si="6">F14/E14</f>
        <v>1</v>
      </c>
      <c r="H14" s="58">
        <v>20000</v>
      </c>
      <c r="I14" s="1033">
        <v>0</v>
      </c>
      <c r="J14" s="58"/>
      <c r="K14" s="59">
        <f t="shared" si="5"/>
        <v>0</v>
      </c>
      <c r="L14" s="280">
        <f t="shared" si="4"/>
        <v>0</v>
      </c>
      <c r="M14" s="19"/>
    </row>
    <row r="15" spans="1:13" ht="33.75" x14ac:dyDescent="0.2">
      <c r="A15" s="1417"/>
      <c r="B15" s="1420"/>
      <c r="C15" s="907">
        <v>6300</v>
      </c>
      <c r="D15" s="39" t="s">
        <v>13</v>
      </c>
      <c r="E15" s="908">
        <v>10522</v>
      </c>
      <c r="F15" s="65">
        <v>10522</v>
      </c>
      <c r="G15" s="66">
        <f t="shared" si="6"/>
        <v>1</v>
      </c>
      <c r="H15" s="67">
        <v>10522</v>
      </c>
      <c r="I15" s="1034">
        <v>0</v>
      </c>
      <c r="J15" s="58"/>
      <c r="K15" s="59">
        <f t="shared" si="5"/>
        <v>0</v>
      </c>
      <c r="L15" s="280">
        <f t="shared" si="4"/>
        <v>0</v>
      </c>
      <c r="M15" s="19"/>
    </row>
    <row r="16" spans="1:13" x14ac:dyDescent="0.2">
      <c r="A16" s="913" t="s">
        <v>342</v>
      </c>
      <c r="B16" s="95"/>
      <c r="C16" s="911"/>
      <c r="D16" s="73" t="s">
        <v>343</v>
      </c>
      <c r="E16" s="325">
        <f>E17</f>
        <v>2334</v>
      </c>
      <c r="F16" s="325">
        <f>F17</f>
        <v>2334</v>
      </c>
      <c r="G16" s="168">
        <f t="shared" ref="G16:G21" si="7">F16/E16</f>
        <v>1</v>
      </c>
      <c r="H16" s="326">
        <f>H17</f>
        <v>2334</v>
      </c>
      <c r="I16" s="1035">
        <f>I17</f>
        <v>0</v>
      </c>
      <c r="J16" s="326">
        <f t="shared" ref="J16:K17" si="8">J17</f>
        <v>0</v>
      </c>
      <c r="K16" s="327">
        <f t="shared" si="8"/>
        <v>0</v>
      </c>
      <c r="L16" s="171">
        <f t="shared" si="4"/>
        <v>0</v>
      </c>
      <c r="M16" s="19"/>
    </row>
    <row r="17" spans="1:13" x14ac:dyDescent="0.2">
      <c r="A17" s="1388"/>
      <c r="B17" s="914" t="s">
        <v>344</v>
      </c>
      <c r="C17" s="362"/>
      <c r="D17" s="328" t="s">
        <v>345</v>
      </c>
      <c r="E17" s="320">
        <f>E18</f>
        <v>2334</v>
      </c>
      <c r="F17" s="320">
        <f>F18</f>
        <v>2334</v>
      </c>
      <c r="G17" s="176">
        <f t="shared" si="7"/>
        <v>1</v>
      </c>
      <c r="H17" s="329">
        <f>H18</f>
        <v>2334</v>
      </c>
      <c r="I17" s="1036">
        <f>I18</f>
        <v>0</v>
      </c>
      <c r="J17" s="329">
        <f t="shared" si="8"/>
        <v>0</v>
      </c>
      <c r="K17" s="330">
        <f t="shared" si="8"/>
        <v>0</v>
      </c>
      <c r="L17" s="78">
        <f t="shared" si="4"/>
        <v>0</v>
      </c>
      <c r="M17" s="19"/>
    </row>
    <row r="18" spans="1:13" x14ac:dyDescent="0.2">
      <c r="A18" s="1389"/>
      <c r="B18" s="912"/>
      <c r="C18" s="331" t="s">
        <v>44</v>
      </c>
      <c r="D18" s="62" t="s">
        <v>353</v>
      </c>
      <c r="E18" s="70">
        <v>2334</v>
      </c>
      <c r="F18" s="56">
        <v>2334</v>
      </c>
      <c r="G18" s="57">
        <f t="shared" si="7"/>
        <v>1</v>
      </c>
      <c r="H18" s="58">
        <v>2334</v>
      </c>
      <c r="I18" s="1033">
        <v>0</v>
      </c>
      <c r="J18" s="58"/>
      <c r="K18" s="59">
        <f t="shared" ref="K18:K21" si="9">I18+J18</f>
        <v>0</v>
      </c>
      <c r="L18" s="280">
        <f t="shared" si="4"/>
        <v>0</v>
      </c>
      <c r="M18" s="19"/>
    </row>
    <row r="19" spans="1:13" x14ac:dyDescent="0.2">
      <c r="A19" s="909">
        <v>50</v>
      </c>
      <c r="B19" s="11"/>
      <c r="C19" s="12"/>
      <c r="D19" s="910" t="s">
        <v>19</v>
      </c>
      <c r="E19" s="74">
        <f>E20</f>
        <v>20000</v>
      </c>
      <c r="F19" s="16">
        <f t="shared" ref="F19:K20" si="10">F20</f>
        <v>21970</v>
      </c>
      <c r="G19" s="15">
        <f t="shared" si="7"/>
        <v>1.0985</v>
      </c>
      <c r="H19" s="16">
        <f t="shared" si="10"/>
        <v>22000</v>
      </c>
      <c r="I19" s="1037">
        <f t="shared" si="10"/>
        <v>20000</v>
      </c>
      <c r="J19" s="1236">
        <f t="shared" si="10"/>
        <v>0</v>
      </c>
      <c r="K19" s="928">
        <f t="shared" si="10"/>
        <v>20000</v>
      </c>
      <c r="L19" s="171">
        <f t="shared" si="4"/>
        <v>1</v>
      </c>
      <c r="M19" s="19"/>
    </row>
    <row r="20" spans="1:13" x14ac:dyDescent="0.2">
      <c r="A20" s="42"/>
      <c r="B20" s="43">
        <v>5095</v>
      </c>
      <c r="C20" s="75"/>
      <c r="D20" s="76" t="s">
        <v>14</v>
      </c>
      <c r="E20" s="77">
        <f>E21</f>
        <v>20000</v>
      </c>
      <c r="F20" s="49">
        <f t="shared" si="10"/>
        <v>21970</v>
      </c>
      <c r="G20" s="48">
        <f t="shared" si="7"/>
        <v>1.0985</v>
      </c>
      <c r="H20" s="49">
        <f t="shared" si="10"/>
        <v>22000</v>
      </c>
      <c r="I20" s="1032">
        <f t="shared" si="10"/>
        <v>20000</v>
      </c>
      <c r="J20" s="1205">
        <f t="shared" si="10"/>
        <v>0</v>
      </c>
      <c r="K20" s="50">
        <f t="shared" si="10"/>
        <v>20000</v>
      </c>
      <c r="L20" s="78">
        <f t="shared" si="4"/>
        <v>1</v>
      </c>
      <c r="M20" s="19"/>
    </row>
    <row r="21" spans="1:13" x14ac:dyDescent="0.2">
      <c r="A21" s="51"/>
      <c r="B21" s="52"/>
      <c r="C21" s="80">
        <v>690</v>
      </c>
      <c r="D21" s="81" t="s">
        <v>20</v>
      </c>
      <c r="E21" s="82">
        <v>20000</v>
      </c>
      <c r="F21" s="56">
        <v>21970</v>
      </c>
      <c r="G21" s="57">
        <f t="shared" si="7"/>
        <v>1.0985</v>
      </c>
      <c r="H21" s="58">
        <v>22000</v>
      </c>
      <c r="I21" s="1033">
        <v>20000</v>
      </c>
      <c r="J21" s="58"/>
      <c r="K21" s="59">
        <f t="shared" si="9"/>
        <v>20000</v>
      </c>
      <c r="L21" s="280">
        <f t="shared" si="4"/>
        <v>1</v>
      </c>
      <c r="M21" s="19"/>
    </row>
    <row r="22" spans="1:13" x14ac:dyDescent="0.2">
      <c r="A22" s="83">
        <v>600</v>
      </c>
      <c r="B22" s="72"/>
      <c r="C22" s="84"/>
      <c r="D22" s="85" t="s">
        <v>21</v>
      </c>
      <c r="E22" s="86">
        <f>E23</f>
        <v>7000</v>
      </c>
      <c r="F22" s="87">
        <f t="shared" ref="F22:J22" si="11">F23</f>
        <v>3217.6600000000003</v>
      </c>
      <c r="G22" s="88">
        <f t="shared" si="11"/>
        <v>0.45966571428571434</v>
      </c>
      <c r="H22" s="87">
        <f t="shared" si="11"/>
        <v>3217.6600000000003</v>
      </c>
      <c r="I22" s="1038">
        <f t="shared" si="11"/>
        <v>7000</v>
      </c>
      <c r="J22" s="1204">
        <f t="shared" si="11"/>
        <v>0</v>
      </c>
      <c r="K22" s="185">
        <f>I22+J22</f>
        <v>7000</v>
      </c>
      <c r="L22" s="171">
        <f t="shared" si="4"/>
        <v>1</v>
      </c>
      <c r="M22" s="19"/>
    </row>
    <row r="23" spans="1:13" x14ac:dyDescent="0.2">
      <c r="A23" s="1421"/>
      <c r="B23" s="246">
        <v>60016</v>
      </c>
      <c r="C23" s="248"/>
      <c r="D23" s="249" t="s">
        <v>22</v>
      </c>
      <c r="E23" s="1167">
        <f>SUM(E24:E26)</f>
        <v>7000</v>
      </c>
      <c r="F23" s="1167">
        <f>SUM(F24:F26)</f>
        <v>3217.6600000000003</v>
      </c>
      <c r="G23" s="251">
        <f>F23/E23</f>
        <v>0.45966571428571434</v>
      </c>
      <c r="H23" s="306">
        <f>SUM(H24:H26)</f>
        <v>3217.6600000000003</v>
      </c>
      <c r="I23" s="1043">
        <f>I24+I25+I26</f>
        <v>7000</v>
      </c>
      <c r="J23" s="1226">
        <f>J24+J25+J26</f>
        <v>0</v>
      </c>
      <c r="K23" s="238">
        <f>J23+I23</f>
        <v>7000</v>
      </c>
      <c r="L23" s="78">
        <f t="shared" si="4"/>
        <v>1</v>
      </c>
      <c r="M23" s="19"/>
    </row>
    <row r="24" spans="1:13" ht="22.5" x14ac:dyDescent="0.2">
      <c r="A24" s="1422"/>
      <c r="B24" s="1399"/>
      <c r="C24" s="135">
        <v>490</v>
      </c>
      <c r="D24" s="62" t="s">
        <v>23</v>
      </c>
      <c r="E24" s="93">
        <v>7000</v>
      </c>
      <c r="F24" s="56">
        <v>3158.3</v>
      </c>
      <c r="G24" s="57">
        <f>F24/E24</f>
        <v>0.4511857142857143</v>
      </c>
      <c r="H24" s="58">
        <v>3158.3</v>
      </c>
      <c r="I24" s="1033">
        <v>7000</v>
      </c>
      <c r="J24" s="58"/>
      <c r="K24" s="59">
        <f>I24+J24</f>
        <v>7000</v>
      </c>
      <c r="L24" s="280">
        <f t="shared" si="4"/>
        <v>1</v>
      </c>
      <c r="M24" s="19"/>
    </row>
    <row r="25" spans="1:13" x14ac:dyDescent="0.2">
      <c r="A25" s="1422"/>
      <c r="B25" s="1400"/>
      <c r="C25" s="264" t="s">
        <v>24</v>
      </c>
      <c r="D25" s="132" t="s">
        <v>25</v>
      </c>
      <c r="E25" s="93">
        <v>0</v>
      </c>
      <c r="F25" s="56">
        <v>9.36</v>
      </c>
      <c r="G25" s="57">
        <v>0</v>
      </c>
      <c r="H25" s="58">
        <v>9.36</v>
      </c>
      <c r="I25" s="1033">
        <v>0</v>
      </c>
      <c r="J25" s="58"/>
      <c r="K25" s="59">
        <f t="shared" ref="K25:K26" si="12">I25+J25</f>
        <v>0</v>
      </c>
      <c r="L25" s="280">
        <v>0</v>
      </c>
      <c r="M25" s="19"/>
    </row>
    <row r="26" spans="1:13" x14ac:dyDescent="0.2">
      <c r="A26" s="1423"/>
      <c r="B26" s="1401"/>
      <c r="C26" s="264" t="s">
        <v>26</v>
      </c>
      <c r="D26" s="119" t="s">
        <v>27</v>
      </c>
      <c r="E26" s="93">
        <v>0</v>
      </c>
      <c r="F26" s="56">
        <v>50</v>
      </c>
      <c r="G26" s="57">
        <v>0</v>
      </c>
      <c r="H26" s="58">
        <v>50</v>
      </c>
      <c r="I26" s="1033">
        <v>0</v>
      </c>
      <c r="J26" s="58"/>
      <c r="K26" s="59">
        <f t="shared" si="12"/>
        <v>0</v>
      </c>
      <c r="L26" s="280">
        <v>0</v>
      </c>
      <c r="M26" s="19"/>
    </row>
    <row r="27" spans="1:13" x14ac:dyDescent="0.2">
      <c r="A27" s="83">
        <v>700</v>
      </c>
      <c r="B27" s="477"/>
      <c r="C27" s="105"/>
      <c r="D27" s="478" t="s">
        <v>30</v>
      </c>
      <c r="E27" s="107">
        <f>E28</f>
        <v>2023249.1600000001</v>
      </c>
      <c r="F27" s="107">
        <f>F28</f>
        <v>945594.1399999999</v>
      </c>
      <c r="G27" s="108">
        <f t="shared" ref="G27:G102" si="13">F27/E27</f>
        <v>0.46736415795669961</v>
      </c>
      <c r="H27" s="109">
        <f>H28</f>
        <v>1961613.1199999999</v>
      </c>
      <c r="I27" s="1039">
        <f>I28</f>
        <v>1863000</v>
      </c>
      <c r="J27" s="1229">
        <f t="shared" ref="J27:K27" si="14">J28</f>
        <v>0</v>
      </c>
      <c r="K27" s="110">
        <f t="shared" si="14"/>
        <v>1863000</v>
      </c>
      <c r="L27" s="171">
        <f t="shared" si="4"/>
        <v>0.92079613170332408</v>
      </c>
      <c r="M27" s="19"/>
    </row>
    <row r="28" spans="1:13" x14ac:dyDescent="0.2">
      <c r="A28" s="42"/>
      <c r="B28" s="111">
        <v>70005</v>
      </c>
      <c r="C28" s="112"/>
      <c r="D28" s="76" t="s">
        <v>31</v>
      </c>
      <c r="E28" s="113">
        <f>SUM(E29:E37)</f>
        <v>2023249.1600000001</v>
      </c>
      <c r="F28" s="113">
        <f>SUM(F29:F37)</f>
        <v>945594.1399999999</v>
      </c>
      <c r="G28" s="114">
        <f t="shared" si="13"/>
        <v>0.46736415795669961</v>
      </c>
      <c r="H28" s="115">
        <f>SUM(H29:H37)</f>
        <v>1961613.1199999999</v>
      </c>
      <c r="I28" s="1040">
        <f>SUM(I29:I37)</f>
        <v>1863000</v>
      </c>
      <c r="J28" s="1228">
        <f t="shared" ref="J28:K28" si="15">SUM(J29:J37)</f>
        <v>0</v>
      </c>
      <c r="K28" s="116">
        <f t="shared" si="15"/>
        <v>1863000</v>
      </c>
      <c r="L28" s="78">
        <f t="shared" si="4"/>
        <v>0.92079613170332408</v>
      </c>
      <c r="M28" s="19"/>
    </row>
    <row r="29" spans="1:13" ht="33.75" x14ac:dyDescent="0.2">
      <c r="A29" s="1391"/>
      <c r="B29" s="1418"/>
      <c r="C29" s="54">
        <v>470</v>
      </c>
      <c r="D29" s="25" t="s">
        <v>32</v>
      </c>
      <c r="E29" s="55">
        <v>125400</v>
      </c>
      <c r="F29" s="56">
        <v>110393.7</v>
      </c>
      <c r="G29" s="57">
        <f t="shared" si="13"/>
        <v>0.88033253588516747</v>
      </c>
      <c r="H29" s="58">
        <v>114294.53</v>
      </c>
      <c r="I29" s="1033">
        <v>115000</v>
      </c>
      <c r="J29" s="58"/>
      <c r="K29" s="59">
        <f>I29+J29</f>
        <v>115000</v>
      </c>
      <c r="L29" s="280">
        <f t="shared" si="4"/>
        <v>0.91706539074960125</v>
      </c>
      <c r="M29" s="60" t="s">
        <v>33</v>
      </c>
    </row>
    <row r="30" spans="1:13" x14ac:dyDescent="0.2">
      <c r="A30" s="1391"/>
      <c r="B30" s="1419"/>
      <c r="C30" s="118">
        <v>690</v>
      </c>
      <c r="D30" s="119" t="s">
        <v>20</v>
      </c>
      <c r="E30" s="120">
        <v>0</v>
      </c>
      <c r="F30" s="56">
        <v>234.4</v>
      </c>
      <c r="G30" s="57">
        <v>0</v>
      </c>
      <c r="H30" s="58">
        <v>234.4</v>
      </c>
      <c r="I30" s="1033">
        <v>0</v>
      </c>
      <c r="J30" s="58"/>
      <c r="K30" s="59">
        <f t="shared" ref="K30:K37" si="16">I30+J30</f>
        <v>0</v>
      </c>
      <c r="L30" s="280">
        <v>0</v>
      </c>
      <c r="M30" s="19"/>
    </row>
    <row r="31" spans="1:13" ht="22.5" x14ac:dyDescent="0.2">
      <c r="A31" s="1391"/>
      <c r="B31" s="1419"/>
      <c r="C31" s="121" t="s">
        <v>34</v>
      </c>
      <c r="D31" s="122" t="s">
        <v>35</v>
      </c>
      <c r="E31" s="123">
        <v>44349.16</v>
      </c>
      <c r="F31" s="56">
        <v>44349.16</v>
      </c>
      <c r="G31" s="57">
        <f>F31/E31</f>
        <v>1</v>
      </c>
      <c r="H31" s="58">
        <v>44349.16</v>
      </c>
      <c r="I31" s="1033">
        <v>400000</v>
      </c>
      <c r="J31" s="58"/>
      <c r="K31" s="59">
        <f t="shared" si="16"/>
        <v>400000</v>
      </c>
      <c r="L31" s="280">
        <f t="shared" si="4"/>
        <v>9.0193365556416403</v>
      </c>
      <c r="M31" s="19"/>
    </row>
    <row r="32" spans="1:13" ht="45" x14ac:dyDescent="0.2">
      <c r="A32" s="1391"/>
      <c r="B32" s="1419"/>
      <c r="C32" s="124">
        <v>750</v>
      </c>
      <c r="D32" s="125" t="s">
        <v>15</v>
      </c>
      <c r="E32" s="126">
        <v>334500</v>
      </c>
      <c r="F32" s="56">
        <v>262738.15999999997</v>
      </c>
      <c r="G32" s="57">
        <f t="shared" ref="G32:G37" si="17">F32/E32</f>
        <v>0.78546535127055295</v>
      </c>
      <c r="H32" s="58">
        <v>347298.37</v>
      </c>
      <c r="I32" s="1033">
        <v>334500</v>
      </c>
      <c r="J32" s="58"/>
      <c r="K32" s="59">
        <f t="shared" si="16"/>
        <v>334500</v>
      </c>
      <c r="L32" s="280">
        <f t="shared" si="4"/>
        <v>1</v>
      </c>
      <c r="M32" s="60"/>
    </row>
    <row r="33" spans="1:13" ht="22.5" x14ac:dyDescent="0.2">
      <c r="A33" s="1391"/>
      <c r="B33" s="1419"/>
      <c r="C33" s="124">
        <v>760</v>
      </c>
      <c r="D33" s="125" t="s">
        <v>36</v>
      </c>
      <c r="E33" s="270">
        <v>6000</v>
      </c>
      <c r="F33" s="56">
        <v>3910.8</v>
      </c>
      <c r="G33" s="57">
        <f t="shared" si="17"/>
        <v>0.65180000000000005</v>
      </c>
      <c r="H33" s="58">
        <v>4562.13</v>
      </c>
      <c r="I33" s="1033">
        <v>4500</v>
      </c>
      <c r="J33" s="58"/>
      <c r="K33" s="59">
        <f t="shared" si="16"/>
        <v>4500</v>
      </c>
      <c r="L33" s="280">
        <f t="shared" si="4"/>
        <v>0.75</v>
      </c>
      <c r="M33" s="19"/>
    </row>
    <row r="34" spans="1:13" ht="22.5" x14ac:dyDescent="0.2">
      <c r="A34" s="1391"/>
      <c r="B34" s="1419"/>
      <c r="C34" s="135">
        <v>770</v>
      </c>
      <c r="D34" s="62" t="s">
        <v>37</v>
      </c>
      <c r="E34" s="915">
        <v>1500000</v>
      </c>
      <c r="F34" s="56">
        <v>515874.71</v>
      </c>
      <c r="G34" s="57">
        <f t="shared" si="17"/>
        <v>0.34391647333333336</v>
      </c>
      <c r="H34" s="58">
        <f>515874.71+787600+111810+26500</f>
        <v>1441784.71</v>
      </c>
      <c r="I34" s="1033">
        <v>1000000</v>
      </c>
      <c r="J34" s="58"/>
      <c r="K34" s="59">
        <f t="shared" si="16"/>
        <v>1000000</v>
      </c>
      <c r="L34" s="280">
        <f t="shared" si="4"/>
        <v>0.66666666666666663</v>
      </c>
      <c r="M34" s="19"/>
    </row>
    <row r="35" spans="1:13" x14ac:dyDescent="0.2">
      <c r="A35" s="1391"/>
      <c r="B35" s="1419"/>
      <c r="C35" s="131" t="s">
        <v>24</v>
      </c>
      <c r="D35" s="132" t="s">
        <v>25</v>
      </c>
      <c r="E35" s="133">
        <v>5000</v>
      </c>
      <c r="F35" s="100">
        <v>5089.82</v>
      </c>
      <c r="G35" s="57">
        <f t="shared" si="17"/>
        <v>1.0179639999999999</v>
      </c>
      <c r="H35" s="102">
        <v>5089.82</v>
      </c>
      <c r="I35" s="1041">
        <v>5000</v>
      </c>
      <c r="J35" s="58"/>
      <c r="K35" s="59">
        <f t="shared" si="16"/>
        <v>5000</v>
      </c>
      <c r="L35" s="280">
        <f t="shared" si="4"/>
        <v>1</v>
      </c>
      <c r="M35" s="41"/>
    </row>
    <row r="36" spans="1:13" x14ac:dyDescent="0.2">
      <c r="A36" s="1391"/>
      <c r="B36" s="1419"/>
      <c r="C36" s="80">
        <v>920</v>
      </c>
      <c r="D36" s="81" t="s">
        <v>12</v>
      </c>
      <c r="E36" s="134">
        <v>4000</v>
      </c>
      <c r="F36" s="56">
        <v>3003.39</v>
      </c>
      <c r="G36" s="57">
        <f t="shared" si="17"/>
        <v>0.7508475</v>
      </c>
      <c r="H36" s="58">
        <v>4000</v>
      </c>
      <c r="I36" s="1033">
        <v>4000</v>
      </c>
      <c r="J36" s="58"/>
      <c r="K36" s="59">
        <f t="shared" si="16"/>
        <v>4000</v>
      </c>
      <c r="L36" s="280">
        <f t="shared" si="4"/>
        <v>1</v>
      </c>
      <c r="M36" s="19"/>
    </row>
    <row r="37" spans="1:13" x14ac:dyDescent="0.2">
      <c r="A37" s="1392"/>
      <c r="B37" s="1424"/>
      <c r="C37" s="118">
        <v>970</v>
      </c>
      <c r="D37" s="119" t="s">
        <v>27</v>
      </c>
      <c r="E37" s="120">
        <v>4000</v>
      </c>
      <c r="F37" s="56">
        <v>0</v>
      </c>
      <c r="G37" s="57">
        <f t="shared" si="17"/>
        <v>0</v>
      </c>
      <c r="H37" s="58">
        <v>0</v>
      </c>
      <c r="I37" s="1033">
        <v>0</v>
      </c>
      <c r="J37" s="58"/>
      <c r="K37" s="59">
        <f t="shared" si="16"/>
        <v>0</v>
      </c>
      <c r="L37" s="280">
        <f t="shared" si="4"/>
        <v>0</v>
      </c>
      <c r="M37" s="19"/>
    </row>
    <row r="38" spans="1:13" x14ac:dyDescent="0.2">
      <c r="A38" s="83">
        <v>750</v>
      </c>
      <c r="B38" s="72"/>
      <c r="C38" s="12"/>
      <c r="D38" s="85" t="s">
        <v>39</v>
      </c>
      <c r="E38" s="14">
        <f>E39+E42</f>
        <v>129143</v>
      </c>
      <c r="F38" s="16">
        <f>F39+F42</f>
        <v>97417.06</v>
      </c>
      <c r="G38" s="15">
        <f t="shared" si="13"/>
        <v>0.75433480715176193</v>
      </c>
      <c r="H38" s="87">
        <f>H39+H42</f>
        <v>129341.20999999999</v>
      </c>
      <c r="I38" s="1042">
        <f>I39+I42</f>
        <v>129043</v>
      </c>
      <c r="J38" s="1207">
        <f t="shared" ref="J38:K38" si="18">J39+J42</f>
        <v>10287</v>
      </c>
      <c r="K38" s="89">
        <f t="shared" si="18"/>
        <v>139330</v>
      </c>
      <c r="L38" s="171">
        <f t="shared" si="4"/>
        <v>1.0788815499097899</v>
      </c>
      <c r="M38" s="19"/>
    </row>
    <row r="39" spans="1:13" x14ac:dyDescent="0.2">
      <c r="A39" s="1425"/>
      <c r="B39" s="246">
        <v>75011</v>
      </c>
      <c r="C39" s="248"/>
      <c r="D39" s="249" t="s">
        <v>40</v>
      </c>
      <c r="E39" s="317">
        <f>E40</f>
        <v>126943</v>
      </c>
      <c r="F39" s="306">
        <f>F40+F41</f>
        <v>95262.9</v>
      </c>
      <c r="G39" s="251">
        <f t="shared" si="13"/>
        <v>0.75043838573217891</v>
      </c>
      <c r="H39" s="306">
        <f>H40+H41</f>
        <v>126980.2</v>
      </c>
      <c r="I39" s="1043">
        <f>I40+I41</f>
        <v>126943</v>
      </c>
      <c r="J39" s="1226">
        <f t="shared" ref="J39:K39" si="19">J40+J41</f>
        <v>10287</v>
      </c>
      <c r="K39" s="307">
        <f t="shared" si="19"/>
        <v>137230</v>
      </c>
      <c r="L39" s="78">
        <f t="shared" si="4"/>
        <v>1.0810363706545458</v>
      </c>
      <c r="M39" s="19"/>
    </row>
    <row r="40" spans="1:13" ht="33.75" x14ac:dyDescent="0.2">
      <c r="A40" s="1416"/>
      <c r="B40" s="1426"/>
      <c r="C40" s="160">
        <v>2010</v>
      </c>
      <c r="D40" s="122" t="s">
        <v>17</v>
      </c>
      <c r="E40" s="204">
        <v>126943</v>
      </c>
      <c r="F40" s="100">
        <v>95235</v>
      </c>
      <c r="G40" s="101">
        <f t="shared" si="13"/>
        <v>0.75021860204973889</v>
      </c>
      <c r="H40" s="102">
        <v>126943</v>
      </c>
      <c r="I40" s="1041">
        <v>126943</v>
      </c>
      <c r="J40" s="58">
        <v>10287</v>
      </c>
      <c r="K40" s="59">
        <f>I40+J40</f>
        <v>137230</v>
      </c>
      <c r="L40" s="280">
        <f t="shared" si="4"/>
        <v>1.0810363706545458</v>
      </c>
      <c r="M40" s="141"/>
    </row>
    <row r="41" spans="1:13" ht="33.75" x14ac:dyDescent="0.2">
      <c r="A41" s="1416"/>
      <c r="B41" s="1427"/>
      <c r="C41" s="142">
        <v>2360</v>
      </c>
      <c r="D41" s="122" t="s">
        <v>41</v>
      </c>
      <c r="E41" s="143">
        <v>0</v>
      </c>
      <c r="F41" s="100">
        <v>27.9</v>
      </c>
      <c r="G41" s="101">
        <v>0</v>
      </c>
      <c r="H41" s="102">
        <v>37.200000000000003</v>
      </c>
      <c r="I41" s="1041">
        <v>0</v>
      </c>
      <c r="J41" s="58"/>
      <c r="K41" s="59">
        <f>I41+J41</f>
        <v>0</v>
      </c>
      <c r="L41" s="280">
        <v>0</v>
      </c>
      <c r="M41" s="41"/>
    </row>
    <row r="42" spans="1:13" x14ac:dyDescent="0.2">
      <c r="A42" s="1416"/>
      <c r="B42" s="246">
        <v>75023</v>
      </c>
      <c r="C42" s="248"/>
      <c r="D42" s="272" t="s">
        <v>42</v>
      </c>
      <c r="E42" s="155">
        <f>E43+E44+E45</f>
        <v>2200</v>
      </c>
      <c r="F42" s="155">
        <f>F43+F44+F45</f>
        <v>2154.16</v>
      </c>
      <c r="G42" s="157">
        <f t="shared" si="13"/>
        <v>0.97916363636363635</v>
      </c>
      <c r="H42" s="156">
        <f>H43+H44+H45</f>
        <v>2361.0100000000002</v>
      </c>
      <c r="I42" s="1045">
        <f>I43+I44+I45</f>
        <v>2100</v>
      </c>
      <c r="J42" s="1221">
        <f t="shared" ref="J42:K42" si="20">J43+J44+J45</f>
        <v>0</v>
      </c>
      <c r="K42" s="158">
        <f t="shared" si="20"/>
        <v>2100</v>
      </c>
      <c r="L42" s="78">
        <f t="shared" si="4"/>
        <v>0.95454545454545459</v>
      </c>
      <c r="M42" s="41"/>
    </row>
    <row r="43" spans="1:13" x14ac:dyDescent="0.2">
      <c r="A43" s="1416"/>
      <c r="B43" s="1428"/>
      <c r="C43" s="127">
        <v>570</v>
      </c>
      <c r="D43" s="128" t="s">
        <v>43</v>
      </c>
      <c r="E43" s="129">
        <v>1500</v>
      </c>
      <c r="F43" s="100">
        <v>1487.2</v>
      </c>
      <c r="G43" s="101">
        <f t="shared" si="13"/>
        <v>0.99146666666666672</v>
      </c>
      <c r="H43" s="102">
        <v>1487.2</v>
      </c>
      <c r="I43" s="1041">
        <v>1500</v>
      </c>
      <c r="J43" s="102"/>
      <c r="K43" s="103">
        <f>I43+J43</f>
        <v>1500</v>
      </c>
      <c r="L43" s="259">
        <f t="shared" si="4"/>
        <v>1</v>
      </c>
      <c r="M43" s="19"/>
    </row>
    <row r="44" spans="1:13" x14ac:dyDescent="0.2">
      <c r="A44" s="1416"/>
      <c r="B44" s="1428"/>
      <c r="C44" s="80">
        <v>690</v>
      </c>
      <c r="D44" s="81" t="s">
        <v>20</v>
      </c>
      <c r="E44" s="134">
        <v>100</v>
      </c>
      <c r="F44" s="56">
        <v>46.4</v>
      </c>
      <c r="G44" s="57">
        <f t="shared" si="13"/>
        <v>0.46399999999999997</v>
      </c>
      <c r="H44" s="58">
        <v>46.4</v>
      </c>
      <c r="I44" s="1033">
        <v>0</v>
      </c>
      <c r="J44" s="58"/>
      <c r="K44" s="59">
        <f t="shared" ref="K44:K106" si="21">I44+J44</f>
        <v>0</v>
      </c>
      <c r="L44" s="280">
        <f t="shared" si="4"/>
        <v>0</v>
      </c>
      <c r="M44" s="19"/>
    </row>
    <row r="45" spans="1:13" x14ac:dyDescent="0.2">
      <c r="A45" s="1417"/>
      <c r="B45" s="1427"/>
      <c r="C45" s="80">
        <v>970</v>
      </c>
      <c r="D45" s="81" t="s">
        <v>27</v>
      </c>
      <c r="E45" s="144">
        <v>600</v>
      </c>
      <c r="F45" s="56">
        <v>620.55999999999995</v>
      </c>
      <c r="G45" s="57">
        <f t="shared" si="13"/>
        <v>1.0342666666666667</v>
      </c>
      <c r="H45" s="58">
        <v>827.41</v>
      </c>
      <c r="I45" s="1033">
        <v>600</v>
      </c>
      <c r="J45" s="58"/>
      <c r="K45" s="59">
        <f t="shared" si="21"/>
        <v>600</v>
      </c>
      <c r="L45" s="280">
        <f t="shared" si="4"/>
        <v>1</v>
      </c>
      <c r="M45" s="19"/>
    </row>
    <row r="46" spans="1:13" ht="22.5" x14ac:dyDescent="0.2">
      <c r="A46" s="83">
        <v>751</v>
      </c>
      <c r="B46" s="104"/>
      <c r="C46" s="145"/>
      <c r="D46" s="146" t="s">
        <v>45</v>
      </c>
      <c r="E46" s="147">
        <f>E47+E53+E55+E49+E51</f>
        <v>116247</v>
      </c>
      <c r="F46" s="147">
        <f>F47+F53+F55+F49+F51</f>
        <v>114286.53</v>
      </c>
      <c r="G46" s="148">
        <f t="shared" si="13"/>
        <v>0.98313530671759275</v>
      </c>
      <c r="H46" s="149">
        <f>H47+H53+H55+H49+H51</f>
        <v>114872.45</v>
      </c>
      <c r="I46" s="1044">
        <f>I47+I49+I51+I53+I55</f>
        <v>2949</v>
      </c>
      <c r="J46" s="1218">
        <f t="shared" ref="J46:K46" si="22">J47+J49+J51+J53+J55</f>
        <v>532</v>
      </c>
      <c r="K46" s="150">
        <f t="shared" si="22"/>
        <v>3481</v>
      </c>
      <c r="L46" s="171">
        <f t="shared" si="4"/>
        <v>2.994485879205485E-2</v>
      </c>
      <c r="M46" s="19"/>
    </row>
    <row r="47" spans="1:13" ht="22.5" x14ac:dyDescent="0.2">
      <c r="A47" s="1390"/>
      <c r="B47" s="151">
        <v>75101</v>
      </c>
      <c r="C47" s="153"/>
      <c r="D47" s="154" t="s">
        <v>46</v>
      </c>
      <c r="E47" s="155">
        <f>E48</f>
        <v>2949</v>
      </c>
      <c r="F47" s="156">
        <f>F48</f>
        <v>2214</v>
      </c>
      <c r="G47" s="157">
        <f t="shared" si="13"/>
        <v>0.75076297049847407</v>
      </c>
      <c r="H47" s="156">
        <f>H48</f>
        <v>2949</v>
      </c>
      <c r="I47" s="1045">
        <f>I48</f>
        <v>2949</v>
      </c>
      <c r="J47" s="1221">
        <f t="shared" ref="J47:K47" si="23">J48</f>
        <v>532</v>
      </c>
      <c r="K47" s="158">
        <f t="shared" si="23"/>
        <v>3481</v>
      </c>
      <c r="L47" s="78">
        <f t="shared" si="4"/>
        <v>1.1804001356391998</v>
      </c>
      <c r="M47" s="19"/>
    </row>
    <row r="48" spans="1:13" ht="33.75" x14ac:dyDescent="0.2">
      <c r="A48" s="1391"/>
      <c r="B48" s="159"/>
      <c r="C48" s="160">
        <v>2010</v>
      </c>
      <c r="D48" s="122" t="s">
        <v>17</v>
      </c>
      <c r="E48" s="161">
        <v>2949</v>
      </c>
      <c r="F48" s="100">
        <v>2214</v>
      </c>
      <c r="G48" s="101">
        <f t="shared" si="13"/>
        <v>0.75076297049847407</v>
      </c>
      <c r="H48" s="102">
        <v>2949</v>
      </c>
      <c r="I48" s="1041">
        <v>2949</v>
      </c>
      <c r="J48" s="58">
        <v>532</v>
      </c>
      <c r="K48" s="59">
        <f t="shared" si="21"/>
        <v>3481</v>
      </c>
      <c r="L48" s="280">
        <f t="shared" si="4"/>
        <v>1.1804001356391998</v>
      </c>
      <c r="M48" s="41"/>
    </row>
    <row r="49" spans="1:13" x14ac:dyDescent="0.2">
      <c r="A49" s="1391"/>
      <c r="B49" s="151">
        <v>75107</v>
      </c>
      <c r="C49" s="153"/>
      <c r="D49" s="154" t="s">
        <v>346</v>
      </c>
      <c r="E49" s="155">
        <f>E50</f>
        <v>57682</v>
      </c>
      <c r="F49" s="156">
        <f>F50</f>
        <v>57571.9</v>
      </c>
      <c r="G49" s="157">
        <f t="shared" si="13"/>
        <v>0.998091258971603</v>
      </c>
      <c r="H49" s="156">
        <f>H50</f>
        <v>57571.9</v>
      </c>
      <c r="I49" s="1045">
        <f>I50</f>
        <v>0</v>
      </c>
      <c r="J49" s="1221">
        <f t="shared" ref="J49:K49" si="24">J50</f>
        <v>0</v>
      </c>
      <c r="K49" s="158">
        <f t="shared" si="24"/>
        <v>0</v>
      </c>
      <c r="L49" s="78">
        <f t="shared" si="4"/>
        <v>0</v>
      </c>
      <c r="M49" s="19"/>
    </row>
    <row r="50" spans="1:13" ht="33.75" x14ac:dyDescent="0.2">
      <c r="A50" s="1391"/>
      <c r="B50" s="159"/>
      <c r="C50" s="160">
        <v>2010</v>
      </c>
      <c r="D50" s="122" t="s">
        <v>17</v>
      </c>
      <c r="E50" s="161">
        <v>57682</v>
      </c>
      <c r="F50" s="100">
        <v>57571.9</v>
      </c>
      <c r="G50" s="101">
        <f>F50/E50</f>
        <v>0.998091258971603</v>
      </c>
      <c r="H50" s="102">
        <v>57571.9</v>
      </c>
      <c r="I50" s="1041">
        <v>0</v>
      </c>
      <c r="J50" s="58"/>
      <c r="K50" s="59">
        <f t="shared" si="21"/>
        <v>0</v>
      </c>
      <c r="L50" s="280">
        <f t="shared" si="4"/>
        <v>0</v>
      </c>
      <c r="M50" s="41"/>
    </row>
    <row r="51" spans="1:13" x14ac:dyDescent="0.2">
      <c r="A51" s="1391"/>
      <c r="B51" s="151">
        <v>75108</v>
      </c>
      <c r="C51" s="153"/>
      <c r="D51" s="154" t="s">
        <v>347</v>
      </c>
      <c r="E51" s="155">
        <f>E52</f>
        <v>18396</v>
      </c>
      <c r="F51" s="156">
        <f>F52</f>
        <v>18396</v>
      </c>
      <c r="G51" s="157">
        <f t="shared" si="13"/>
        <v>1</v>
      </c>
      <c r="H51" s="156">
        <f>H52</f>
        <v>18396</v>
      </c>
      <c r="I51" s="1045">
        <f>I52</f>
        <v>0</v>
      </c>
      <c r="J51" s="1221">
        <f t="shared" ref="J51:K51" si="25">J52</f>
        <v>0</v>
      </c>
      <c r="K51" s="158">
        <f t="shared" si="25"/>
        <v>0</v>
      </c>
      <c r="L51" s="78">
        <f t="shared" si="4"/>
        <v>0</v>
      </c>
      <c r="M51" s="19"/>
    </row>
    <row r="52" spans="1:13" ht="33.75" x14ac:dyDescent="0.2">
      <c r="A52" s="1391"/>
      <c r="B52" s="159"/>
      <c r="C52" s="160">
        <v>2010</v>
      </c>
      <c r="D52" s="122" t="s">
        <v>17</v>
      </c>
      <c r="E52" s="161">
        <v>18396</v>
      </c>
      <c r="F52" s="100">
        <v>18396</v>
      </c>
      <c r="G52" s="101">
        <f t="shared" si="13"/>
        <v>1</v>
      </c>
      <c r="H52" s="102">
        <v>18396</v>
      </c>
      <c r="I52" s="1041">
        <v>0</v>
      </c>
      <c r="J52" s="58"/>
      <c r="K52" s="59">
        <f t="shared" si="21"/>
        <v>0</v>
      </c>
      <c r="L52" s="280">
        <f t="shared" si="4"/>
        <v>0</v>
      </c>
      <c r="M52" s="41"/>
    </row>
    <row r="53" spans="1:13" ht="33.75" x14ac:dyDescent="0.2">
      <c r="A53" s="1391"/>
      <c r="B53" s="151">
        <v>75109</v>
      </c>
      <c r="C53" s="153"/>
      <c r="D53" s="154" t="s">
        <v>47</v>
      </c>
      <c r="E53" s="155">
        <f>E54</f>
        <v>5666</v>
      </c>
      <c r="F53" s="156">
        <f>F54</f>
        <v>4550.63</v>
      </c>
      <c r="G53" s="157">
        <f t="shared" si="13"/>
        <v>0.80314684080480059</v>
      </c>
      <c r="H53" s="156">
        <f>H54</f>
        <v>4550.63</v>
      </c>
      <c r="I53" s="1045">
        <f>I54</f>
        <v>0</v>
      </c>
      <c r="J53" s="1221">
        <f t="shared" ref="J53:K53" si="26">J54</f>
        <v>0</v>
      </c>
      <c r="K53" s="158">
        <f t="shared" si="26"/>
        <v>0</v>
      </c>
      <c r="L53" s="78">
        <f t="shared" si="4"/>
        <v>0</v>
      </c>
      <c r="M53" s="19"/>
    </row>
    <row r="54" spans="1:13" ht="33.75" x14ac:dyDescent="0.2">
      <c r="A54" s="1391"/>
      <c r="B54" s="159"/>
      <c r="C54" s="160">
        <v>2010</v>
      </c>
      <c r="D54" s="122" t="s">
        <v>17</v>
      </c>
      <c r="E54" s="161">
        <v>5666</v>
      </c>
      <c r="F54" s="100">
        <v>4550.63</v>
      </c>
      <c r="G54" s="101">
        <f t="shared" si="13"/>
        <v>0.80314684080480059</v>
      </c>
      <c r="H54" s="102">
        <v>4550.63</v>
      </c>
      <c r="I54" s="1041">
        <v>0</v>
      </c>
      <c r="J54" s="58"/>
      <c r="K54" s="59">
        <f t="shared" si="21"/>
        <v>0</v>
      </c>
      <c r="L54" s="280">
        <f t="shared" si="4"/>
        <v>0</v>
      </c>
      <c r="M54" s="41"/>
    </row>
    <row r="55" spans="1:13" x14ac:dyDescent="0.2">
      <c r="A55" s="1391"/>
      <c r="B55" s="151">
        <v>75110</v>
      </c>
      <c r="C55" s="153"/>
      <c r="D55" s="154" t="s">
        <v>348</v>
      </c>
      <c r="E55" s="155">
        <f>E56</f>
        <v>31554</v>
      </c>
      <c r="F55" s="156">
        <f>F56</f>
        <v>31554</v>
      </c>
      <c r="G55" s="157">
        <f t="shared" si="13"/>
        <v>1</v>
      </c>
      <c r="H55" s="156">
        <f>H56</f>
        <v>31404.92</v>
      </c>
      <c r="I55" s="1045">
        <v>0</v>
      </c>
      <c r="J55" s="1221">
        <v>0</v>
      </c>
      <c r="K55" s="158">
        <v>0</v>
      </c>
      <c r="L55" s="78">
        <f t="shared" si="4"/>
        <v>0</v>
      </c>
      <c r="M55" s="41"/>
    </row>
    <row r="56" spans="1:13" ht="33.75" x14ac:dyDescent="0.2">
      <c r="A56" s="1392"/>
      <c r="B56" s="159"/>
      <c r="C56" s="160">
        <v>2010</v>
      </c>
      <c r="D56" s="122" t="s">
        <v>17</v>
      </c>
      <c r="E56" s="93">
        <v>31554</v>
      </c>
      <c r="F56" s="56">
        <v>31554</v>
      </c>
      <c r="G56" s="57">
        <f>F56/E56</f>
        <v>1</v>
      </c>
      <c r="H56" s="162">
        <v>31404.92</v>
      </c>
      <c r="I56" s="1041">
        <v>0</v>
      </c>
      <c r="J56" s="58"/>
      <c r="K56" s="59">
        <f t="shared" si="21"/>
        <v>0</v>
      </c>
      <c r="L56" s="280">
        <f t="shared" si="4"/>
        <v>0</v>
      </c>
      <c r="M56" s="41"/>
    </row>
    <row r="57" spans="1:13" x14ac:dyDescent="0.2">
      <c r="A57" s="163">
        <v>754</v>
      </c>
      <c r="B57" s="164"/>
      <c r="C57" s="165"/>
      <c r="D57" s="166" t="s">
        <v>195</v>
      </c>
      <c r="E57" s="96">
        <f>E58</f>
        <v>21131</v>
      </c>
      <c r="F57" s="167">
        <f>F58</f>
        <v>21216.799999999999</v>
      </c>
      <c r="G57" s="168">
        <f>F57/E57</f>
        <v>1.0040603852160332</v>
      </c>
      <c r="H57" s="169">
        <f>H58</f>
        <v>21216.799999999999</v>
      </c>
      <c r="I57" s="1046">
        <f>I58</f>
        <v>1000</v>
      </c>
      <c r="J57" s="1306">
        <f t="shared" ref="J57:K57" si="27">J58</f>
        <v>0</v>
      </c>
      <c r="K57" s="170">
        <f t="shared" si="27"/>
        <v>1000</v>
      </c>
      <c r="L57" s="171">
        <f t="shared" si="4"/>
        <v>4.7323837016705311E-2</v>
      </c>
      <c r="M57" s="172"/>
    </row>
    <row r="58" spans="1:13" x14ac:dyDescent="0.2">
      <c r="A58" s="1393"/>
      <c r="B58" s="1396">
        <v>75412</v>
      </c>
      <c r="C58" s="1397"/>
      <c r="D58" s="173" t="s">
        <v>48</v>
      </c>
      <c r="E58" s="174">
        <f>E59+E60</f>
        <v>21131</v>
      </c>
      <c r="F58" s="175">
        <f>F59+F60</f>
        <v>21216.799999999999</v>
      </c>
      <c r="G58" s="176">
        <f>F58/E58</f>
        <v>1.0040603852160332</v>
      </c>
      <c r="H58" s="177">
        <f>H59+H60</f>
        <v>21216.799999999999</v>
      </c>
      <c r="I58" s="1036">
        <f>I59+I60</f>
        <v>1000</v>
      </c>
      <c r="J58" s="329">
        <f t="shared" ref="J58:K58" si="28">J59+J60</f>
        <v>0</v>
      </c>
      <c r="K58" s="330">
        <f t="shared" si="28"/>
        <v>1000</v>
      </c>
      <c r="L58" s="78">
        <f t="shared" si="4"/>
        <v>4.7323837016705311E-2</v>
      </c>
      <c r="M58" s="178"/>
    </row>
    <row r="59" spans="1:13" x14ac:dyDescent="0.2">
      <c r="A59" s="1394"/>
      <c r="B59" s="1398"/>
      <c r="C59" s="1168" t="s">
        <v>9</v>
      </c>
      <c r="D59" s="62" t="s">
        <v>10</v>
      </c>
      <c r="E59" s="93">
        <v>1000</v>
      </c>
      <c r="F59" s="56">
        <v>1085.8</v>
      </c>
      <c r="G59" s="57">
        <f>F59/E59</f>
        <v>1.0857999999999999</v>
      </c>
      <c r="H59" s="94">
        <v>1085.8</v>
      </c>
      <c r="I59" s="1033">
        <v>1000</v>
      </c>
      <c r="J59" s="58"/>
      <c r="K59" s="59">
        <f t="shared" si="21"/>
        <v>1000</v>
      </c>
      <c r="L59" s="280">
        <f t="shared" si="4"/>
        <v>1</v>
      </c>
      <c r="M59" s="41"/>
    </row>
    <row r="60" spans="1:13" ht="45" x14ac:dyDescent="0.2">
      <c r="A60" s="1395"/>
      <c r="B60" s="1398"/>
      <c r="C60" s="837">
        <v>2910</v>
      </c>
      <c r="D60" s="310" t="s">
        <v>83</v>
      </c>
      <c r="E60" s="93">
        <v>20131</v>
      </c>
      <c r="F60" s="56">
        <v>20131</v>
      </c>
      <c r="G60" s="57">
        <f>F60/E60</f>
        <v>1</v>
      </c>
      <c r="H60" s="162">
        <v>20131</v>
      </c>
      <c r="I60" s="1041">
        <v>0</v>
      </c>
      <c r="J60" s="58"/>
      <c r="K60" s="59">
        <f t="shared" si="21"/>
        <v>0</v>
      </c>
      <c r="L60" s="280">
        <f t="shared" si="4"/>
        <v>0</v>
      </c>
      <c r="M60" s="41"/>
    </row>
    <row r="61" spans="1:13" ht="33.75" x14ac:dyDescent="0.2">
      <c r="A61" s="83">
        <v>756</v>
      </c>
      <c r="B61" s="180"/>
      <c r="C61" s="181"/>
      <c r="D61" s="106" t="s">
        <v>49</v>
      </c>
      <c r="E61" s="182">
        <f>E62+E65+E74+E85+E91</f>
        <v>20689777</v>
      </c>
      <c r="F61" s="183">
        <f>F62+F65+F74+F85+F91</f>
        <v>14458031.41</v>
      </c>
      <c r="G61" s="184">
        <f t="shared" si="13"/>
        <v>0.69880073671166199</v>
      </c>
      <c r="H61" s="183">
        <f>H62+H65+H74+H85+H91</f>
        <v>19975045.439999998</v>
      </c>
      <c r="I61" s="1047">
        <f>I62+I65+I74+I85+I91</f>
        <v>20674469</v>
      </c>
      <c r="J61" s="1220">
        <f t="shared" ref="J61:K61" si="29">J62+J65+J74+J85+J91</f>
        <v>474546</v>
      </c>
      <c r="K61" s="185">
        <f t="shared" si="29"/>
        <v>21149015</v>
      </c>
      <c r="L61" s="1085">
        <f t="shared" si="4"/>
        <v>1.0221963726336925</v>
      </c>
      <c r="M61" s="19"/>
    </row>
    <row r="62" spans="1:13" x14ac:dyDescent="0.2">
      <c r="A62" s="1393"/>
      <c r="B62" s="111">
        <v>75601</v>
      </c>
      <c r="C62" s="45"/>
      <c r="D62" s="76" t="s">
        <v>50</v>
      </c>
      <c r="E62" s="187">
        <f>E63+E64</f>
        <v>49000</v>
      </c>
      <c r="F62" s="187">
        <f>F63+F64</f>
        <v>38786.269999999997</v>
      </c>
      <c r="G62" s="114">
        <f t="shared" si="13"/>
        <v>0.79155653061224485</v>
      </c>
      <c r="H62" s="115">
        <f>H63+H64</f>
        <v>70624.800000000003</v>
      </c>
      <c r="I62" s="1040">
        <f>I63+I64</f>
        <v>20000</v>
      </c>
      <c r="J62" s="1228">
        <f t="shared" ref="J62:K62" si="30">J63+J64</f>
        <v>10000</v>
      </c>
      <c r="K62" s="116">
        <f t="shared" si="30"/>
        <v>30000</v>
      </c>
      <c r="L62" s="78">
        <f t="shared" si="4"/>
        <v>0.61224489795918369</v>
      </c>
      <c r="M62" s="19"/>
    </row>
    <row r="63" spans="1:13" ht="22.5" x14ac:dyDescent="0.2">
      <c r="A63" s="1394"/>
      <c r="B63" s="1402"/>
      <c r="C63" s="118">
        <v>350</v>
      </c>
      <c r="D63" s="119" t="s">
        <v>51</v>
      </c>
      <c r="E63" s="120">
        <v>49000</v>
      </c>
      <c r="F63" s="56">
        <v>38753.39</v>
      </c>
      <c r="G63" s="57">
        <f t="shared" si="13"/>
        <v>0.7908855102040816</v>
      </c>
      <c r="H63" s="58">
        <v>70591.92</v>
      </c>
      <c r="I63" s="1033">
        <v>20000</v>
      </c>
      <c r="J63" s="58">
        <v>10000</v>
      </c>
      <c r="K63" s="59">
        <f t="shared" si="21"/>
        <v>30000</v>
      </c>
      <c r="L63" s="280">
        <f t="shared" si="4"/>
        <v>0.61224489795918369</v>
      </c>
      <c r="M63" s="19"/>
    </row>
    <row r="64" spans="1:13" x14ac:dyDescent="0.2">
      <c r="A64" s="1394"/>
      <c r="B64" s="1395"/>
      <c r="C64" s="135">
        <v>910</v>
      </c>
      <c r="D64" s="62" t="s">
        <v>25</v>
      </c>
      <c r="E64" s="70">
        <v>0</v>
      </c>
      <c r="F64" s="56">
        <v>32.880000000000003</v>
      </c>
      <c r="G64" s="57">
        <v>0</v>
      </c>
      <c r="H64" s="58">
        <v>32.880000000000003</v>
      </c>
      <c r="I64" s="1033">
        <v>0</v>
      </c>
      <c r="J64" s="58"/>
      <c r="K64" s="59">
        <f t="shared" si="21"/>
        <v>0</v>
      </c>
      <c r="L64" s="280">
        <v>0</v>
      </c>
      <c r="M64" s="19"/>
    </row>
    <row r="65" spans="1:13" ht="33.75" x14ac:dyDescent="0.2">
      <c r="A65" s="1394"/>
      <c r="B65" s="188">
        <v>75615</v>
      </c>
      <c r="C65" s="189"/>
      <c r="D65" s="190" t="s">
        <v>52</v>
      </c>
      <c r="E65" s="191">
        <f>SUM(E66:E73)</f>
        <v>6297482</v>
      </c>
      <c r="F65" s="191">
        <f>SUM(F66:F73)</f>
        <v>4716567.74</v>
      </c>
      <c r="G65" s="192">
        <f t="shared" si="13"/>
        <v>0.74896089262343268</v>
      </c>
      <c r="H65" s="193">
        <f>SUM(H66:H73)</f>
        <v>6344438.6499999994</v>
      </c>
      <c r="I65" s="1031">
        <f>SUM(I66:I73)</f>
        <v>6097245</v>
      </c>
      <c r="J65" s="1230">
        <f t="shared" ref="J65:K65" si="31">SUM(J66:J73)</f>
        <v>208285</v>
      </c>
      <c r="K65" s="194">
        <f t="shared" si="31"/>
        <v>6305530</v>
      </c>
      <c r="L65" s="78">
        <f t="shared" si="4"/>
        <v>1.0012779711001953</v>
      </c>
      <c r="M65" s="19"/>
    </row>
    <row r="66" spans="1:13" x14ac:dyDescent="0.2">
      <c r="A66" s="1394"/>
      <c r="B66" s="1426"/>
      <c r="C66" s="118">
        <v>310</v>
      </c>
      <c r="D66" s="119" t="s">
        <v>53</v>
      </c>
      <c r="E66" s="130">
        <v>5489870</v>
      </c>
      <c r="F66" s="56">
        <v>4199521.9800000004</v>
      </c>
      <c r="G66" s="57">
        <f t="shared" si="13"/>
        <v>0.76495836513432935</v>
      </c>
      <c r="H66" s="58">
        <v>5509175.0199999996</v>
      </c>
      <c r="I66" s="1033">
        <v>5156440</v>
      </c>
      <c r="J66" s="58">
        <v>160000</v>
      </c>
      <c r="K66" s="59">
        <f t="shared" si="21"/>
        <v>5316440</v>
      </c>
      <c r="L66" s="280">
        <f t="shared" si="4"/>
        <v>0.96840908801119152</v>
      </c>
      <c r="M66" s="195"/>
    </row>
    <row r="67" spans="1:13" x14ac:dyDescent="0.2">
      <c r="A67" s="1394"/>
      <c r="B67" s="1428"/>
      <c r="C67" s="124">
        <v>320</v>
      </c>
      <c r="D67" s="125" t="s">
        <v>54</v>
      </c>
      <c r="E67" s="196">
        <v>95043</v>
      </c>
      <c r="F67" s="56">
        <v>67960</v>
      </c>
      <c r="G67" s="57">
        <f t="shared" si="13"/>
        <v>0.71504476920972615</v>
      </c>
      <c r="H67" s="58">
        <v>85907.9</v>
      </c>
      <c r="I67" s="1033">
        <v>87684</v>
      </c>
      <c r="J67" s="58">
        <v>9056</v>
      </c>
      <c r="K67" s="59">
        <f t="shared" si="21"/>
        <v>96740</v>
      </c>
      <c r="L67" s="280">
        <f t="shared" si="4"/>
        <v>1.0178550761234388</v>
      </c>
      <c r="M67" s="197"/>
    </row>
    <row r="68" spans="1:13" x14ac:dyDescent="0.2">
      <c r="A68" s="1394"/>
      <c r="B68" s="1428"/>
      <c r="C68" s="198">
        <v>330</v>
      </c>
      <c r="D68" s="199" t="s">
        <v>55</v>
      </c>
      <c r="E68" s="200">
        <v>114665</v>
      </c>
      <c r="F68" s="100">
        <v>93426</v>
      </c>
      <c r="G68" s="57">
        <f t="shared" si="13"/>
        <v>0.81477347054463001</v>
      </c>
      <c r="H68" s="102">
        <v>124286</v>
      </c>
      <c r="I68" s="1041">
        <v>162121</v>
      </c>
      <c r="J68" s="58">
        <v>39229</v>
      </c>
      <c r="K68" s="59">
        <f t="shared" si="21"/>
        <v>201350</v>
      </c>
      <c r="L68" s="280">
        <f t="shared" si="4"/>
        <v>1.7559848253608337</v>
      </c>
      <c r="M68" s="195"/>
    </row>
    <row r="69" spans="1:13" x14ac:dyDescent="0.2">
      <c r="A69" s="1394"/>
      <c r="B69" s="1428"/>
      <c r="C69" s="80">
        <v>340</v>
      </c>
      <c r="D69" s="81" t="s">
        <v>56</v>
      </c>
      <c r="E69" s="82">
        <v>32504</v>
      </c>
      <c r="F69" s="56">
        <v>29148.7</v>
      </c>
      <c r="G69" s="57">
        <f t="shared" si="13"/>
        <v>0.89677270489785876</v>
      </c>
      <c r="H69" s="58">
        <v>33864.93</v>
      </c>
      <c r="I69" s="1033">
        <v>63600</v>
      </c>
      <c r="J69" s="58"/>
      <c r="K69" s="59">
        <f t="shared" si="21"/>
        <v>63600</v>
      </c>
      <c r="L69" s="280">
        <f t="shared" si="4"/>
        <v>1.9566822544917548</v>
      </c>
      <c r="M69" s="195"/>
    </row>
    <row r="70" spans="1:13" x14ac:dyDescent="0.2">
      <c r="A70" s="1394"/>
      <c r="B70" s="1428"/>
      <c r="C70" s="80">
        <v>500</v>
      </c>
      <c r="D70" s="81" t="s">
        <v>57</v>
      </c>
      <c r="E70" s="201">
        <v>2000</v>
      </c>
      <c r="F70" s="56">
        <v>67960</v>
      </c>
      <c r="G70" s="57">
        <f t="shared" si="13"/>
        <v>33.979999999999997</v>
      </c>
      <c r="H70" s="58">
        <v>67985</v>
      </c>
      <c r="I70" s="1033">
        <v>70000</v>
      </c>
      <c r="J70" s="58"/>
      <c r="K70" s="59">
        <f t="shared" si="21"/>
        <v>70000</v>
      </c>
      <c r="L70" s="280">
        <f t="shared" si="4"/>
        <v>35</v>
      </c>
      <c r="M70" s="202"/>
    </row>
    <row r="71" spans="1:13" x14ac:dyDescent="0.2">
      <c r="A71" s="1394"/>
      <c r="B71" s="1428"/>
      <c r="C71" s="135">
        <v>690</v>
      </c>
      <c r="D71" s="62" t="s">
        <v>20</v>
      </c>
      <c r="E71" s="70">
        <v>400</v>
      </c>
      <c r="F71" s="56">
        <v>616.6</v>
      </c>
      <c r="G71" s="57">
        <f t="shared" si="13"/>
        <v>1.5415000000000001</v>
      </c>
      <c r="H71" s="58">
        <v>616.79999999999995</v>
      </c>
      <c r="I71" s="1033">
        <v>400</v>
      </c>
      <c r="J71" s="58"/>
      <c r="K71" s="59">
        <f t="shared" si="21"/>
        <v>400</v>
      </c>
      <c r="L71" s="280">
        <f t="shared" si="4"/>
        <v>1</v>
      </c>
      <c r="M71" s="19"/>
    </row>
    <row r="72" spans="1:13" x14ac:dyDescent="0.2">
      <c r="A72" s="1394"/>
      <c r="B72" s="1428"/>
      <c r="C72" s="135">
        <v>910</v>
      </c>
      <c r="D72" s="62" t="s">
        <v>25</v>
      </c>
      <c r="E72" s="70">
        <v>6000</v>
      </c>
      <c r="F72" s="56">
        <v>-22832.54</v>
      </c>
      <c r="G72" s="57">
        <f t="shared" si="13"/>
        <v>-3.8054233333333336</v>
      </c>
      <c r="H72" s="58">
        <v>-22000</v>
      </c>
      <c r="I72" s="1033">
        <v>0</v>
      </c>
      <c r="J72" s="58"/>
      <c r="K72" s="59">
        <f t="shared" si="21"/>
        <v>0</v>
      </c>
      <c r="L72" s="280">
        <f t="shared" si="4"/>
        <v>0</v>
      </c>
      <c r="M72" s="19"/>
    </row>
    <row r="73" spans="1:13" ht="22.5" x14ac:dyDescent="0.2">
      <c r="A73" s="1394"/>
      <c r="B73" s="1430"/>
      <c r="C73" s="160">
        <v>2680</v>
      </c>
      <c r="D73" s="122" t="s">
        <v>58</v>
      </c>
      <c r="E73" s="204">
        <v>557000</v>
      </c>
      <c r="F73" s="100">
        <v>280767</v>
      </c>
      <c r="G73" s="57">
        <f t="shared" si="13"/>
        <v>0.5040700179533214</v>
      </c>
      <c r="H73" s="102">
        <v>544603</v>
      </c>
      <c r="I73" s="1041">
        <v>557000</v>
      </c>
      <c r="J73" s="58"/>
      <c r="K73" s="59">
        <f t="shared" si="21"/>
        <v>557000</v>
      </c>
      <c r="L73" s="280">
        <f t="shared" si="4"/>
        <v>1</v>
      </c>
      <c r="M73" s="41"/>
    </row>
    <row r="74" spans="1:13" ht="33.75" x14ac:dyDescent="0.2">
      <c r="A74" s="1394"/>
      <c r="B74" s="151">
        <v>75616</v>
      </c>
      <c r="C74" s="205"/>
      <c r="D74" s="206" t="s">
        <v>59</v>
      </c>
      <c r="E74" s="207">
        <f>SUM(E75:E84)</f>
        <v>4760270</v>
      </c>
      <c r="F74" s="207">
        <f>SUM(F75:F84)</f>
        <v>3052129.53</v>
      </c>
      <c r="G74" s="208">
        <f t="shared" si="13"/>
        <v>0.64116731403890947</v>
      </c>
      <c r="H74" s="209">
        <f>SUM(H75:H84)</f>
        <v>4370540.4399999995</v>
      </c>
      <c r="I74" s="1048">
        <f>SUM(I75:I84)</f>
        <v>4278385</v>
      </c>
      <c r="J74" s="1235">
        <f t="shared" ref="J74:K74" si="32">SUM(J75:J84)</f>
        <v>256261</v>
      </c>
      <c r="K74" s="210">
        <f t="shared" si="32"/>
        <v>4534646</v>
      </c>
      <c r="L74" s="78">
        <f t="shared" ref="L74:L137" si="33">K74/E74</f>
        <v>0.95260268850296304</v>
      </c>
      <c r="M74" s="41"/>
    </row>
    <row r="75" spans="1:13" x14ac:dyDescent="0.2">
      <c r="A75" s="1394"/>
      <c r="B75" s="1426"/>
      <c r="C75" s="80">
        <v>310</v>
      </c>
      <c r="D75" s="211" t="s">
        <v>53</v>
      </c>
      <c r="E75" s="56">
        <v>3095790</v>
      </c>
      <c r="F75" s="195">
        <v>2001397.51</v>
      </c>
      <c r="G75" s="57">
        <f t="shared" si="13"/>
        <v>0.64649007523120106</v>
      </c>
      <c r="H75" s="58">
        <v>2986015.24</v>
      </c>
      <c r="I75" s="1033">
        <v>2887520</v>
      </c>
      <c r="J75" s="58">
        <v>138000</v>
      </c>
      <c r="K75" s="59">
        <f t="shared" si="21"/>
        <v>3025520</v>
      </c>
      <c r="L75" s="280">
        <f t="shared" si="33"/>
        <v>0.97730143194467323</v>
      </c>
      <c r="M75" s="195"/>
    </row>
    <row r="76" spans="1:13" x14ac:dyDescent="0.2">
      <c r="A76" s="1394"/>
      <c r="B76" s="1428"/>
      <c r="C76" s="118">
        <v>320</v>
      </c>
      <c r="D76" s="212" t="s">
        <v>54</v>
      </c>
      <c r="E76" s="56">
        <v>646163</v>
      </c>
      <c r="F76" s="195">
        <v>424226.32</v>
      </c>
      <c r="G76" s="57">
        <f t="shared" si="13"/>
        <v>0.65653143247137336</v>
      </c>
      <c r="H76" s="58">
        <v>545617.76</v>
      </c>
      <c r="I76" s="1033">
        <v>607109</v>
      </c>
      <c r="J76" s="58">
        <v>62805</v>
      </c>
      <c r="K76" s="59">
        <f t="shared" si="21"/>
        <v>669914</v>
      </c>
      <c r="L76" s="280">
        <f t="shared" si="33"/>
        <v>1.0367569792761269</v>
      </c>
      <c r="M76" s="195"/>
    </row>
    <row r="77" spans="1:13" x14ac:dyDescent="0.2">
      <c r="A77" s="1394"/>
      <c r="B77" s="1428"/>
      <c r="C77" s="198">
        <v>330</v>
      </c>
      <c r="D77" s="213" t="s">
        <v>55</v>
      </c>
      <c r="E77" s="100">
        <v>6661</v>
      </c>
      <c r="F77" s="197">
        <v>5690</v>
      </c>
      <c r="G77" s="57">
        <f t="shared" si="13"/>
        <v>0.85422609217835155</v>
      </c>
      <c r="H77" s="102">
        <v>7261</v>
      </c>
      <c r="I77" s="1041">
        <v>7396</v>
      </c>
      <c r="J77" s="58">
        <v>456</v>
      </c>
      <c r="K77" s="59">
        <f t="shared" si="21"/>
        <v>7852</v>
      </c>
      <c r="L77" s="280">
        <f t="shared" si="33"/>
        <v>1.1788019816844317</v>
      </c>
      <c r="M77" s="197"/>
    </row>
    <row r="78" spans="1:13" x14ac:dyDescent="0.2">
      <c r="A78" s="1394"/>
      <c r="B78" s="1428"/>
      <c r="C78" s="80">
        <v>340</v>
      </c>
      <c r="D78" s="211" t="s">
        <v>56</v>
      </c>
      <c r="E78" s="56">
        <v>335156</v>
      </c>
      <c r="F78" s="195">
        <v>251546.68</v>
      </c>
      <c r="G78" s="57">
        <f t="shared" si="13"/>
        <v>0.75053610855840258</v>
      </c>
      <c r="H78" s="58">
        <v>335395.57</v>
      </c>
      <c r="I78" s="1033">
        <v>315360</v>
      </c>
      <c r="J78" s="58">
        <v>15000</v>
      </c>
      <c r="K78" s="59">
        <f t="shared" si="21"/>
        <v>330360</v>
      </c>
      <c r="L78" s="280">
        <f t="shared" si="33"/>
        <v>0.98569024573631381</v>
      </c>
      <c r="M78" s="197"/>
    </row>
    <row r="79" spans="1:13" x14ac:dyDescent="0.2">
      <c r="A79" s="1394"/>
      <c r="B79" s="1428"/>
      <c r="C79" s="80">
        <v>360</v>
      </c>
      <c r="D79" s="211" t="s">
        <v>60</v>
      </c>
      <c r="E79" s="56">
        <v>165000</v>
      </c>
      <c r="F79" s="195">
        <v>9288.44</v>
      </c>
      <c r="G79" s="57">
        <f t="shared" si="13"/>
        <v>5.6293575757575758E-2</v>
      </c>
      <c r="H79" s="58">
        <v>18656.439999999999</v>
      </c>
      <c r="I79" s="1033">
        <v>20000</v>
      </c>
      <c r="J79" s="58"/>
      <c r="K79" s="59">
        <f t="shared" si="21"/>
        <v>20000</v>
      </c>
      <c r="L79" s="280">
        <f t="shared" si="33"/>
        <v>0.12121212121212122</v>
      </c>
      <c r="M79" s="197"/>
    </row>
    <row r="80" spans="1:13" x14ac:dyDescent="0.2">
      <c r="A80" s="1394"/>
      <c r="B80" s="1428"/>
      <c r="C80" s="80">
        <v>430</v>
      </c>
      <c r="D80" s="211" t="s">
        <v>61</v>
      </c>
      <c r="E80" s="56">
        <v>120000</v>
      </c>
      <c r="F80" s="195">
        <v>62305</v>
      </c>
      <c r="G80" s="57">
        <f t="shared" si="13"/>
        <v>0.51920833333333338</v>
      </c>
      <c r="H80" s="58">
        <v>86073</v>
      </c>
      <c r="I80" s="1033">
        <v>100000</v>
      </c>
      <c r="J80" s="58"/>
      <c r="K80" s="59">
        <f t="shared" si="21"/>
        <v>100000</v>
      </c>
      <c r="L80" s="280">
        <f t="shared" si="33"/>
        <v>0.83333333333333337</v>
      </c>
      <c r="M80" s="197"/>
    </row>
    <row r="81" spans="1:13" x14ac:dyDescent="0.2">
      <c r="A81" s="1394"/>
      <c r="B81" s="1428"/>
      <c r="C81" s="118">
        <v>500</v>
      </c>
      <c r="D81" s="212" t="s">
        <v>57</v>
      </c>
      <c r="E81" s="56">
        <v>340000</v>
      </c>
      <c r="F81" s="195">
        <v>269417.77</v>
      </c>
      <c r="G81" s="57">
        <f t="shared" si="13"/>
        <v>0.79240520588235297</v>
      </c>
      <c r="H81" s="58">
        <v>353845.17</v>
      </c>
      <c r="I81" s="1033">
        <v>300000</v>
      </c>
      <c r="J81" s="58">
        <v>40000</v>
      </c>
      <c r="K81" s="59">
        <f t="shared" si="21"/>
        <v>340000</v>
      </c>
      <c r="L81" s="280">
        <f t="shared" si="33"/>
        <v>1</v>
      </c>
      <c r="M81" s="197"/>
    </row>
    <row r="82" spans="1:13" x14ac:dyDescent="0.2">
      <c r="A82" s="1394"/>
      <c r="B82" s="1428"/>
      <c r="C82" s="135">
        <v>560</v>
      </c>
      <c r="D82" s="214" t="s">
        <v>62</v>
      </c>
      <c r="E82" s="65">
        <v>0</v>
      </c>
      <c r="F82" s="195">
        <v>0</v>
      </c>
      <c r="G82" s="57">
        <v>0</v>
      </c>
      <c r="H82" s="58">
        <v>0</v>
      </c>
      <c r="I82" s="1034">
        <v>0</v>
      </c>
      <c r="J82" s="58"/>
      <c r="K82" s="59">
        <f t="shared" si="21"/>
        <v>0</v>
      </c>
      <c r="L82" s="280">
        <v>0</v>
      </c>
      <c r="M82" s="197"/>
    </row>
    <row r="83" spans="1:13" x14ac:dyDescent="0.2">
      <c r="A83" s="1394"/>
      <c r="B83" s="1428"/>
      <c r="C83" s="135">
        <v>690</v>
      </c>
      <c r="D83" s="214" t="s">
        <v>20</v>
      </c>
      <c r="E83" s="56">
        <v>11500</v>
      </c>
      <c r="F83" s="195">
        <v>10022.26</v>
      </c>
      <c r="G83" s="57">
        <f t="shared" si="13"/>
        <v>0.87150086956521744</v>
      </c>
      <c r="H83" s="58">
        <v>13362.2</v>
      </c>
      <c r="I83" s="1033">
        <v>11000</v>
      </c>
      <c r="J83" s="58"/>
      <c r="K83" s="59">
        <f t="shared" si="21"/>
        <v>11000</v>
      </c>
      <c r="L83" s="280">
        <f t="shared" si="33"/>
        <v>0.95652173913043481</v>
      </c>
      <c r="M83" s="197"/>
    </row>
    <row r="84" spans="1:13" x14ac:dyDescent="0.2">
      <c r="A84" s="1394"/>
      <c r="B84" s="1430"/>
      <c r="C84" s="135">
        <v>910</v>
      </c>
      <c r="D84" s="214" t="s">
        <v>25</v>
      </c>
      <c r="E84" s="56">
        <v>40000</v>
      </c>
      <c r="F84" s="195">
        <v>18235.55</v>
      </c>
      <c r="G84" s="57">
        <f t="shared" si="13"/>
        <v>0.45588875000000001</v>
      </c>
      <c r="H84" s="58">
        <v>24314.06</v>
      </c>
      <c r="I84" s="1033">
        <v>30000</v>
      </c>
      <c r="J84" s="58"/>
      <c r="K84" s="59">
        <f t="shared" si="21"/>
        <v>30000</v>
      </c>
      <c r="L84" s="280">
        <f t="shared" si="33"/>
        <v>0.75</v>
      </c>
      <c r="M84" s="197"/>
    </row>
    <row r="85" spans="1:13" ht="22.5" x14ac:dyDescent="0.2">
      <c r="A85" s="1394"/>
      <c r="B85" s="151">
        <v>75618</v>
      </c>
      <c r="C85" s="205"/>
      <c r="D85" s="206" t="s">
        <v>63</v>
      </c>
      <c r="E85" s="215">
        <f>SUM(E86:E90)</f>
        <v>337000</v>
      </c>
      <c r="F85" s="209">
        <f>SUM(F86:F90)</f>
        <v>325504.82</v>
      </c>
      <c r="G85" s="208">
        <f t="shared" si="13"/>
        <v>0.96588967359050448</v>
      </c>
      <c r="H85" s="209">
        <f>SUM(H86:H90)</f>
        <v>337761.82</v>
      </c>
      <c r="I85" s="1048">
        <f>SUM(I86:I90)</f>
        <v>337000</v>
      </c>
      <c r="J85" s="1235">
        <f t="shared" ref="J85:K85" si="34">SUM(J86:J90)</f>
        <v>0</v>
      </c>
      <c r="K85" s="210">
        <f t="shared" si="34"/>
        <v>337000</v>
      </c>
      <c r="L85" s="78">
        <f t="shared" si="33"/>
        <v>1</v>
      </c>
      <c r="M85" s="41"/>
    </row>
    <row r="86" spans="1:13" x14ac:dyDescent="0.2">
      <c r="A86" s="1394"/>
      <c r="B86" s="1426"/>
      <c r="C86" s="124">
        <v>410</v>
      </c>
      <c r="D86" s="216" t="s">
        <v>64</v>
      </c>
      <c r="E86" s="56">
        <v>47000</v>
      </c>
      <c r="F86" s="195">
        <v>36773</v>
      </c>
      <c r="G86" s="57">
        <f t="shared" si="13"/>
        <v>0.78240425531914892</v>
      </c>
      <c r="H86" s="58">
        <v>49030</v>
      </c>
      <c r="I86" s="1033">
        <v>47000</v>
      </c>
      <c r="J86" s="58"/>
      <c r="K86" s="59">
        <f t="shared" si="21"/>
        <v>47000</v>
      </c>
      <c r="L86" s="280">
        <f t="shared" si="33"/>
        <v>1</v>
      </c>
      <c r="M86" s="19"/>
    </row>
    <row r="87" spans="1:13" x14ac:dyDescent="0.2">
      <c r="A87" s="1394"/>
      <c r="B87" s="1428"/>
      <c r="C87" s="198">
        <v>480</v>
      </c>
      <c r="D87" s="213" t="s">
        <v>65</v>
      </c>
      <c r="E87" s="100">
        <v>285000</v>
      </c>
      <c r="F87" s="197">
        <v>285720.32000000001</v>
      </c>
      <c r="G87" s="57">
        <f t="shared" si="13"/>
        <v>1.0025274385964913</v>
      </c>
      <c r="H87" s="102">
        <v>285720.32000000001</v>
      </c>
      <c r="I87" s="1041">
        <v>285000</v>
      </c>
      <c r="J87" s="58"/>
      <c r="K87" s="59">
        <f t="shared" si="21"/>
        <v>285000</v>
      </c>
      <c r="L87" s="280">
        <f t="shared" si="33"/>
        <v>1</v>
      </c>
      <c r="M87" s="19"/>
    </row>
    <row r="88" spans="1:13" ht="22.5" x14ac:dyDescent="0.2">
      <c r="A88" s="1394"/>
      <c r="B88" s="1428"/>
      <c r="C88" s="118">
        <v>490</v>
      </c>
      <c r="D88" s="212" t="s">
        <v>23</v>
      </c>
      <c r="E88" s="56">
        <v>5000</v>
      </c>
      <c r="F88" s="195">
        <v>2928</v>
      </c>
      <c r="G88" s="57">
        <f t="shared" si="13"/>
        <v>0.58560000000000001</v>
      </c>
      <c r="H88" s="58">
        <v>2928</v>
      </c>
      <c r="I88" s="1033">
        <v>5000</v>
      </c>
      <c r="J88" s="58"/>
      <c r="K88" s="59">
        <f t="shared" si="21"/>
        <v>5000</v>
      </c>
      <c r="L88" s="280">
        <f t="shared" si="33"/>
        <v>1</v>
      </c>
      <c r="M88" s="19"/>
    </row>
    <row r="89" spans="1:13" x14ac:dyDescent="0.2">
      <c r="A89" s="1394"/>
      <c r="B89" s="1428"/>
      <c r="C89" s="217">
        <v>690</v>
      </c>
      <c r="D89" s="218" t="s">
        <v>20</v>
      </c>
      <c r="E89" s="219">
        <v>0</v>
      </c>
      <c r="F89" s="219">
        <v>11.6</v>
      </c>
      <c r="G89" s="220">
        <v>0</v>
      </c>
      <c r="H89" s="221">
        <v>11.6</v>
      </c>
      <c r="I89" s="1049">
        <v>0</v>
      </c>
      <c r="J89" s="58"/>
      <c r="K89" s="59">
        <f t="shared" si="21"/>
        <v>0</v>
      </c>
      <c r="L89" s="280">
        <v>0</v>
      </c>
      <c r="M89" s="19"/>
    </row>
    <row r="90" spans="1:13" x14ac:dyDescent="0.2">
      <c r="A90" s="1394"/>
      <c r="B90" s="1430"/>
      <c r="C90" s="135">
        <v>910</v>
      </c>
      <c r="D90" s="214" t="s">
        <v>25</v>
      </c>
      <c r="E90" s="222">
        <v>0</v>
      </c>
      <c r="F90" s="222">
        <v>71.900000000000006</v>
      </c>
      <c r="G90" s="223">
        <v>0</v>
      </c>
      <c r="H90" s="224">
        <v>71.900000000000006</v>
      </c>
      <c r="I90" s="1050">
        <v>0</v>
      </c>
      <c r="J90" s="58"/>
      <c r="K90" s="59">
        <f t="shared" si="21"/>
        <v>0</v>
      </c>
      <c r="L90" s="280">
        <v>0</v>
      </c>
      <c r="M90" s="19"/>
    </row>
    <row r="91" spans="1:13" x14ac:dyDescent="0.2">
      <c r="A91" s="1394"/>
      <c r="B91" s="151">
        <v>75621</v>
      </c>
      <c r="C91" s="205"/>
      <c r="D91" s="206" t="s">
        <v>66</v>
      </c>
      <c r="E91" s="207">
        <f>SUM(E92:E93)</f>
        <v>9246025</v>
      </c>
      <c r="F91" s="209">
        <f>SUM(F92:F93)</f>
        <v>6325043.0499999998</v>
      </c>
      <c r="G91" s="208">
        <f t="shared" si="13"/>
        <v>0.68408240838630652</v>
      </c>
      <c r="H91" s="209">
        <f>SUM(H92:H93)</f>
        <v>8851679.7300000004</v>
      </c>
      <c r="I91" s="1048">
        <f>SUM(I92:I93)</f>
        <v>9941839</v>
      </c>
      <c r="J91" s="1235">
        <f t="shared" ref="J91:K91" si="35">SUM(J92:J93)</f>
        <v>0</v>
      </c>
      <c r="K91" s="210">
        <f t="shared" si="35"/>
        <v>9941839</v>
      </c>
      <c r="L91" s="78">
        <f t="shared" si="33"/>
        <v>1.0752554746499172</v>
      </c>
      <c r="M91" s="19"/>
    </row>
    <row r="92" spans="1:13" x14ac:dyDescent="0.2">
      <c r="A92" s="1394"/>
      <c r="B92" s="1426"/>
      <c r="C92" s="80">
        <v>10</v>
      </c>
      <c r="D92" s="81" t="s">
        <v>67</v>
      </c>
      <c r="E92" s="226">
        <v>7796025</v>
      </c>
      <c r="F92" s="56">
        <v>5533302</v>
      </c>
      <c r="G92" s="57">
        <f t="shared" si="13"/>
        <v>0.70975939661558296</v>
      </c>
      <c r="H92" s="58">
        <v>7796025</v>
      </c>
      <c r="I92" s="1033">
        <v>8491839</v>
      </c>
      <c r="J92" s="58"/>
      <c r="K92" s="59">
        <f t="shared" si="21"/>
        <v>8491839</v>
      </c>
      <c r="L92" s="280">
        <f t="shared" si="33"/>
        <v>1.0892524074768872</v>
      </c>
      <c r="M92" s="227"/>
    </row>
    <row r="93" spans="1:13" x14ac:dyDescent="0.2">
      <c r="A93" s="1429"/>
      <c r="B93" s="1427"/>
      <c r="C93" s="80">
        <v>20</v>
      </c>
      <c r="D93" s="81" t="s">
        <v>68</v>
      </c>
      <c r="E93" s="201">
        <v>1450000</v>
      </c>
      <c r="F93" s="56">
        <v>791741.05</v>
      </c>
      <c r="G93" s="57">
        <f t="shared" si="13"/>
        <v>0.54602831034482757</v>
      </c>
      <c r="H93" s="58">
        <v>1055654.73</v>
      </c>
      <c r="I93" s="1033">
        <v>1450000</v>
      </c>
      <c r="J93" s="58"/>
      <c r="K93" s="59">
        <f t="shared" si="21"/>
        <v>1450000</v>
      </c>
      <c r="L93" s="280">
        <f t="shared" si="33"/>
        <v>1</v>
      </c>
      <c r="M93" s="19"/>
    </row>
    <row r="94" spans="1:13" x14ac:dyDescent="0.2">
      <c r="A94" s="981">
        <v>758</v>
      </c>
      <c r="B94" s="104"/>
      <c r="C94" s="145"/>
      <c r="D94" s="146" t="s">
        <v>69</v>
      </c>
      <c r="E94" s="982">
        <f>E95+E97+E99+E105</f>
        <v>16652411.119999999</v>
      </c>
      <c r="F94" s="982">
        <f>F95+F97+F99+F105</f>
        <v>13815523.529999999</v>
      </c>
      <c r="G94" s="148">
        <f t="shared" si="13"/>
        <v>0.82964103098602815</v>
      </c>
      <c r="H94" s="149">
        <f>H95+H97+H99+H105</f>
        <v>16767852.109999999</v>
      </c>
      <c r="I94" s="1044">
        <f>I95+I97+I99+I105</f>
        <v>17207312</v>
      </c>
      <c r="J94" s="1218">
        <f t="shared" ref="J94:K94" si="36">J95+J97+J99+J105</f>
        <v>160000</v>
      </c>
      <c r="K94" s="150">
        <f t="shared" si="36"/>
        <v>17367312</v>
      </c>
      <c r="L94" s="171">
        <f t="shared" si="33"/>
        <v>1.0429307728981891</v>
      </c>
      <c r="M94" s="195"/>
    </row>
    <row r="95" spans="1:13" ht="22.5" x14ac:dyDescent="0.2">
      <c r="A95" s="1390"/>
      <c r="B95" s="151">
        <v>75801</v>
      </c>
      <c r="C95" s="205"/>
      <c r="D95" s="206" t="s">
        <v>70</v>
      </c>
      <c r="E95" s="980">
        <f>E96</f>
        <v>12826257</v>
      </c>
      <c r="F95" s="209">
        <f>F96</f>
        <v>10864679</v>
      </c>
      <c r="G95" s="208">
        <f t="shared" si="13"/>
        <v>0.84706543771889176</v>
      </c>
      <c r="H95" s="209">
        <f>H96</f>
        <v>12826257</v>
      </c>
      <c r="I95" s="1048">
        <f>I96</f>
        <v>13404413</v>
      </c>
      <c r="J95" s="1235">
        <f t="shared" ref="J95:K95" si="37">J96</f>
        <v>0</v>
      </c>
      <c r="K95" s="210">
        <f t="shared" si="37"/>
        <v>13404413</v>
      </c>
      <c r="L95" s="78">
        <f t="shared" si="33"/>
        <v>1.045075971891098</v>
      </c>
      <c r="M95" s="19"/>
    </row>
    <row r="96" spans="1:13" x14ac:dyDescent="0.2">
      <c r="A96" s="1391"/>
      <c r="B96" s="52"/>
      <c r="C96" s="229">
        <v>2920</v>
      </c>
      <c r="D96" s="81" t="s">
        <v>71</v>
      </c>
      <c r="E96" s="230">
        <v>12826257</v>
      </c>
      <c r="F96" s="56">
        <v>10864679</v>
      </c>
      <c r="G96" s="57">
        <f t="shared" si="13"/>
        <v>0.84706543771889176</v>
      </c>
      <c r="H96" s="58">
        <v>12826257</v>
      </c>
      <c r="I96" s="1033">
        <v>13404413</v>
      </c>
      <c r="J96" s="58"/>
      <c r="K96" s="59">
        <f t="shared" si="21"/>
        <v>13404413</v>
      </c>
      <c r="L96" s="280">
        <f t="shared" si="33"/>
        <v>1.045075971891098</v>
      </c>
      <c r="M96" s="195"/>
    </row>
    <row r="97" spans="1:13" x14ac:dyDescent="0.2">
      <c r="A97" s="1391"/>
      <c r="B97" s="90">
        <v>75807</v>
      </c>
      <c r="C97" s="75"/>
      <c r="D97" s="46" t="s">
        <v>72</v>
      </c>
      <c r="E97" s="231">
        <f>E98</f>
        <v>3386584</v>
      </c>
      <c r="F97" s="231">
        <f>F98</f>
        <v>2539935</v>
      </c>
      <c r="G97" s="48">
        <f t="shared" si="13"/>
        <v>0.74999911415160525</v>
      </c>
      <c r="H97" s="49">
        <f>H98</f>
        <v>3386584</v>
      </c>
      <c r="I97" s="1032">
        <f>I98</f>
        <v>2853224</v>
      </c>
      <c r="J97" s="1205">
        <f t="shared" ref="J97:K97" si="38">J98</f>
        <v>0</v>
      </c>
      <c r="K97" s="50">
        <f t="shared" si="38"/>
        <v>2853224</v>
      </c>
      <c r="L97" s="78">
        <f t="shared" si="33"/>
        <v>0.84250796672989658</v>
      </c>
      <c r="M97" s="195"/>
    </row>
    <row r="98" spans="1:13" x14ac:dyDescent="0.2">
      <c r="A98" s="1391"/>
      <c r="B98" s="159"/>
      <c r="C98" s="139">
        <v>2920</v>
      </c>
      <c r="D98" s="119" t="s">
        <v>71</v>
      </c>
      <c r="E98" s="130">
        <v>3386584</v>
      </c>
      <c r="F98" s="56">
        <v>2539935</v>
      </c>
      <c r="G98" s="57">
        <f t="shared" si="13"/>
        <v>0.74999911415160525</v>
      </c>
      <c r="H98" s="58">
        <v>3386584</v>
      </c>
      <c r="I98" s="1033">
        <v>2853224</v>
      </c>
      <c r="J98" s="58"/>
      <c r="K98" s="59">
        <f t="shared" si="21"/>
        <v>2853224</v>
      </c>
      <c r="L98" s="280">
        <f t="shared" si="33"/>
        <v>0.84250796672989658</v>
      </c>
      <c r="M98" s="195"/>
    </row>
    <row r="99" spans="1:13" x14ac:dyDescent="0.2">
      <c r="A99" s="1391"/>
      <c r="B99" s="228">
        <v>75814</v>
      </c>
      <c r="C99" s="233"/>
      <c r="D99" s="234" t="s">
        <v>73</v>
      </c>
      <c r="E99" s="235">
        <f>SUM(E100:E104)</f>
        <v>184801.12</v>
      </c>
      <c r="F99" s="235">
        <f>SUM(F100:F104)</f>
        <v>219830.53</v>
      </c>
      <c r="G99" s="236">
        <f t="shared" si="13"/>
        <v>1.1895519356159747</v>
      </c>
      <c r="H99" s="237">
        <f>SUM(H100:H104)</f>
        <v>300242.11</v>
      </c>
      <c r="I99" s="1051">
        <f>SUM(I100:I104)</f>
        <v>670000</v>
      </c>
      <c r="J99" s="1006">
        <f t="shared" ref="J99:K99" si="39">SUM(J100:J104)</f>
        <v>160000</v>
      </c>
      <c r="K99" s="238">
        <f t="shared" si="39"/>
        <v>830000</v>
      </c>
      <c r="L99" s="78">
        <f t="shared" si="33"/>
        <v>4.491314771252469</v>
      </c>
      <c r="M99" s="239"/>
    </row>
    <row r="100" spans="1:13" ht="22.5" x14ac:dyDescent="0.2">
      <c r="A100" s="1391"/>
      <c r="B100" s="1413"/>
      <c r="C100" s="38" t="s">
        <v>105</v>
      </c>
      <c r="D100" s="351" t="s">
        <v>359</v>
      </c>
      <c r="E100" s="254">
        <v>0</v>
      </c>
      <c r="F100" s="254">
        <v>6410.84</v>
      </c>
      <c r="G100" s="256"/>
      <c r="H100" s="278">
        <v>6410.84</v>
      </c>
      <c r="I100" s="1052">
        <v>0</v>
      </c>
      <c r="J100" s="353"/>
      <c r="K100" s="59">
        <f t="shared" si="21"/>
        <v>0</v>
      </c>
      <c r="L100" s="280">
        <v>0</v>
      </c>
      <c r="M100" s="239"/>
    </row>
    <row r="101" spans="1:13" x14ac:dyDescent="0.2">
      <c r="A101" s="1391"/>
      <c r="B101" s="1414"/>
      <c r="C101" s="241">
        <v>920</v>
      </c>
      <c r="D101" s="122" t="s">
        <v>12</v>
      </c>
      <c r="E101" s="204">
        <v>69984.73</v>
      </c>
      <c r="F101" s="100">
        <v>72287.95</v>
      </c>
      <c r="G101" s="101">
        <f t="shared" si="13"/>
        <v>1.0329103220088154</v>
      </c>
      <c r="H101" s="102">
        <v>89149.53</v>
      </c>
      <c r="I101" s="1041">
        <v>70000</v>
      </c>
      <c r="J101" s="58">
        <v>10000</v>
      </c>
      <c r="K101" s="59">
        <f t="shared" si="21"/>
        <v>80000</v>
      </c>
      <c r="L101" s="280">
        <f t="shared" si="33"/>
        <v>1.1431065033758079</v>
      </c>
      <c r="M101" s="227"/>
    </row>
    <row r="102" spans="1:13" x14ac:dyDescent="0.2">
      <c r="A102" s="1391"/>
      <c r="B102" s="1414"/>
      <c r="C102" s="124">
        <v>970</v>
      </c>
      <c r="D102" s="125" t="s">
        <v>27</v>
      </c>
      <c r="E102" s="334">
        <v>30000</v>
      </c>
      <c r="F102" s="56">
        <v>56315.35</v>
      </c>
      <c r="G102" s="57">
        <f t="shared" si="13"/>
        <v>1.8771783333333334</v>
      </c>
      <c r="H102" s="58">
        <v>119865.35</v>
      </c>
      <c r="I102" s="1033">
        <v>600000</v>
      </c>
      <c r="J102" s="58">
        <v>150000</v>
      </c>
      <c r="K102" s="59">
        <f t="shared" si="21"/>
        <v>750000</v>
      </c>
      <c r="L102" s="280">
        <f t="shared" si="33"/>
        <v>25</v>
      </c>
      <c r="M102" s="239"/>
    </row>
    <row r="103" spans="1:13" ht="22.5" x14ac:dyDescent="0.2">
      <c r="A103" s="1391"/>
      <c r="B103" s="1414"/>
      <c r="C103" s="243">
        <v>2030</v>
      </c>
      <c r="D103" s="125" t="s">
        <v>74</v>
      </c>
      <c r="E103" s="126">
        <v>82636.25</v>
      </c>
      <c r="F103" s="56">
        <v>82636.25</v>
      </c>
      <c r="G103" s="57">
        <f t="shared" ref="G103:G178" si="40">F103/E103</f>
        <v>1</v>
      </c>
      <c r="H103" s="58">
        <v>82636.25</v>
      </c>
      <c r="I103" s="1033">
        <v>0</v>
      </c>
      <c r="J103" s="58"/>
      <c r="K103" s="59">
        <f t="shared" si="21"/>
        <v>0</v>
      </c>
      <c r="L103" s="280">
        <f t="shared" si="33"/>
        <v>0</v>
      </c>
      <c r="M103" s="19"/>
    </row>
    <row r="104" spans="1:13" ht="33.75" x14ac:dyDescent="0.2">
      <c r="A104" s="1391"/>
      <c r="B104" s="1415"/>
      <c r="C104" s="160">
        <v>6330</v>
      </c>
      <c r="D104" s="122" t="s">
        <v>349</v>
      </c>
      <c r="E104" s="161">
        <v>2180.14</v>
      </c>
      <c r="F104" s="100">
        <v>2180.14</v>
      </c>
      <c r="G104" s="101">
        <f t="shared" si="40"/>
        <v>1</v>
      </c>
      <c r="H104" s="102">
        <v>2180.14</v>
      </c>
      <c r="I104" s="1041">
        <v>0</v>
      </c>
      <c r="J104" s="58"/>
      <c r="K104" s="59">
        <f t="shared" si="21"/>
        <v>0</v>
      </c>
      <c r="L104" s="280">
        <f t="shared" si="33"/>
        <v>0</v>
      </c>
      <c r="M104" s="41"/>
    </row>
    <row r="105" spans="1:13" x14ac:dyDescent="0.2">
      <c r="A105" s="1391"/>
      <c r="B105" s="111">
        <v>75831</v>
      </c>
      <c r="C105" s="45"/>
      <c r="D105" s="76" t="s">
        <v>75</v>
      </c>
      <c r="E105" s="244">
        <f>E106</f>
        <v>254769</v>
      </c>
      <c r="F105" s="244">
        <f>F106</f>
        <v>191079</v>
      </c>
      <c r="G105" s="114">
        <f t="shared" si="40"/>
        <v>0.75000883152973874</v>
      </c>
      <c r="H105" s="115">
        <f>H106</f>
        <v>254769</v>
      </c>
      <c r="I105" s="1040">
        <f>I106</f>
        <v>279675</v>
      </c>
      <c r="J105" s="1228">
        <f t="shared" ref="J105:K105" si="41">J106</f>
        <v>0</v>
      </c>
      <c r="K105" s="116">
        <f t="shared" si="41"/>
        <v>279675</v>
      </c>
      <c r="L105" s="78">
        <f t="shared" si="33"/>
        <v>1.097759146520966</v>
      </c>
      <c r="M105" s="41"/>
    </row>
    <row r="106" spans="1:13" x14ac:dyDescent="0.2">
      <c r="A106" s="1392"/>
      <c r="B106" s="52"/>
      <c r="C106" s="139">
        <v>2920</v>
      </c>
      <c r="D106" s="119" t="s">
        <v>71</v>
      </c>
      <c r="E106" s="140">
        <v>254769</v>
      </c>
      <c r="F106" s="56">
        <v>191079</v>
      </c>
      <c r="G106" s="57">
        <f t="shared" si="40"/>
        <v>0.75000883152973874</v>
      </c>
      <c r="H106" s="58">
        <v>254769</v>
      </c>
      <c r="I106" s="1033">
        <v>279675</v>
      </c>
      <c r="J106" s="58"/>
      <c r="K106" s="59">
        <f t="shared" si="21"/>
        <v>279675</v>
      </c>
      <c r="L106" s="280">
        <f t="shared" si="33"/>
        <v>1.097759146520966</v>
      </c>
      <c r="M106" s="195"/>
    </row>
    <row r="107" spans="1:13" x14ac:dyDescent="0.2">
      <c r="A107" s="83">
        <v>801</v>
      </c>
      <c r="B107" s="72"/>
      <c r="C107" s="12"/>
      <c r="D107" s="13" t="s">
        <v>76</v>
      </c>
      <c r="E107" s="14">
        <f>E108+E117+E127+E135+E114+E139+E133</f>
        <v>1659413.91</v>
      </c>
      <c r="F107" s="14">
        <f>F108+F117+F127+F135+F114+F139+F133</f>
        <v>1189476.28</v>
      </c>
      <c r="G107" s="15">
        <f t="shared" si="40"/>
        <v>0.71680505558736707</v>
      </c>
      <c r="H107" s="16">
        <f>H108+H117+H127+H135+H114+H139+H133</f>
        <v>1554306.73</v>
      </c>
      <c r="I107" s="1027">
        <f>I108+I117+I127+I135+I114+I139+I133</f>
        <v>1414527</v>
      </c>
      <c r="J107" s="1304">
        <f t="shared" ref="J107:K107" si="42">J108+J117+J127+J135+J114+J139+J133</f>
        <v>10220</v>
      </c>
      <c r="K107" s="17">
        <f t="shared" si="42"/>
        <v>1424747</v>
      </c>
      <c r="L107" s="1163">
        <f t="shared" si="33"/>
        <v>0.85858446251062226</v>
      </c>
      <c r="M107" s="19"/>
    </row>
    <row r="108" spans="1:13" x14ac:dyDescent="0.2">
      <c r="A108" s="1421"/>
      <c r="B108" s="246">
        <v>80101</v>
      </c>
      <c r="C108" s="248"/>
      <c r="D108" s="249" t="s">
        <v>77</v>
      </c>
      <c r="E108" s="250">
        <f>SUM(E109:E113)</f>
        <v>115876.72</v>
      </c>
      <c r="F108" s="250">
        <f>SUM(F109:F113)</f>
        <v>113448.05</v>
      </c>
      <c r="G108" s="251">
        <f>F108/E108</f>
        <v>0.97904091520712699</v>
      </c>
      <c r="H108" s="250">
        <f>SUM(H109:H113)</f>
        <v>116012.09</v>
      </c>
      <c r="I108" s="1053">
        <f>SUM(I109:I113)</f>
        <v>19872</v>
      </c>
      <c r="J108" s="1307">
        <f t="shared" ref="J108:K108" si="43">SUM(J109:J113)</f>
        <v>0</v>
      </c>
      <c r="K108" s="252">
        <f t="shared" si="43"/>
        <v>19872</v>
      </c>
      <c r="L108" s="78">
        <f t="shared" si="33"/>
        <v>0.17149260006669156</v>
      </c>
      <c r="M108" s="19"/>
    </row>
    <row r="109" spans="1:13" x14ac:dyDescent="0.2">
      <c r="A109" s="1422"/>
      <c r="B109" s="253"/>
      <c r="C109" s="38" t="s">
        <v>85</v>
      </c>
      <c r="D109" s="214" t="s">
        <v>20</v>
      </c>
      <c r="E109" s="254">
        <v>0</v>
      </c>
      <c r="F109" s="255">
        <v>35</v>
      </c>
      <c r="G109" s="256">
        <v>0</v>
      </c>
      <c r="H109" s="257">
        <v>35</v>
      </c>
      <c r="I109" s="1054">
        <v>0</v>
      </c>
      <c r="J109" s="353"/>
      <c r="K109" s="59">
        <f t="shared" ref="K109:K171" si="44">I109+J109</f>
        <v>0</v>
      </c>
      <c r="L109" s="280">
        <v>0</v>
      </c>
      <c r="M109" s="239"/>
    </row>
    <row r="110" spans="1:13" ht="45" x14ac:dyDescent="0.2">
      <c r="A110" s="1422"/>
      <c r="B110" s="1400"/>
      <c r="C110" s="127">
        <v>750</v>
      </c>
      <c r="D110" s="125" t="s">
        <v>15</v>
      </c>
      <c r="E110" s="126">
        <v>18549</v>
      </c>
      <c r="F110" s="56">
        <v>15984.96</v>
      </c>
      <c r="G110" s="57">
        <f t="shared" si="40"/>
        <v>0.86176936762089595</v>
      </c>
      <c r="H110" s="263">
        <v>18549</v>
      </c>
      <c r="I110" s="1055">
        <v>19872</v>
      </c>
      <c r="J110" s="58"/>
      <c r="K110" s="59">
        <f t="shared" si="44"/>
        <v>19872</v>
      </c>
      <c r="L110" s="280">
        <f t="shared" si="33"/>
        <v>1.0713245997088792</v>
      </c>
      <c r="M110" s="41"/>
    </row>
    <row r="111" spans="1:13" x14ac:dyDescent="0.2">
      <c r="A111" s="1422"/>
      <c r="B111" s="1400"/>
      <c r="C111" s="916" t="s">
        <v>26</v>
      </c>
      <c r="D111" s="122" t="s">
        <v>27</v>
      </c>
      <c r="E111" s="265">
        <v>1854</v>
      </c>
      <c r="F111" s="100">
        <v>1954.37</v>
      </c>
      <c r="G111" s="57">
        <f t="shared" si="40"/>
        <v>1.0541370010787485</v>
      </c>
      <c r="H111" s="58">
        <v>1954.37</v>
      </c>
      <c r="I111" s="1033">
        <v>0</v>
      </c>
      <c r="J111" s="58"/>
      <c r="K111" s="59">
        <f t="shared" si="44"/>
        <v>0</v>
      </c>
      <c r="L111" s="280">
        <f t="shared" si="33"/>
        <v>0</v>
      </c>
      <c r="M111" s="41"/>
    </row>
    <row r="112" spans="1:13" ht="33.75" x14ac:dyDescent="0.2">
      <c r="A112" s="1422"/>
      <c r="B112" s="1400"/>
      <c r="C112" s="243">
        <v>2010</v>
      </c>
      <c r="D112" s="125" t="s">
        <v>17</v>
      </c>
      <c r="E112" s="265">
        <v>85663.72</v>
      </c>
      <c r="F112" s="100">
        <v>85663.72</v>
      </c>
      <c r="G112" s="57">
        <f>F112/E112</f>
        <v>1</v>
      </c>
      <c r="H112" s="58">
        <v>85663.72</v>
      </c>
      <c r="I112" s="1033">
        <v>0</v>
      </c>
      <c r="J112" s="58"/>
      <c r="K112" s="59">
        <f t="shared" si="44"/>
        <v>0</v>
      </c>
      <c r="L112" s="280">
        <f t="shared" si="33"/>
        <v>0</v>
      </c>
      <c r="M112" s="41"/>
    </row>
    <row r="113" spans="1:13" ht="22.5" x14ac:dyDescent="0.2">
      <c r="A113" s="1422"/>
      <c r="B113" s="1401"/>
      <c r="C113" s="69">
        <v>2030</v>
      </c>
      <c r="D113" s="125" t="s">
        <v>74</v>
      </c>
      <c r="E113" s="265">
        <v>9810</v>
      </c>
      <c r="F113" s="100">
        <v>9810</v>
      </c>
      <c r="G113" s="262">
        <f>F113/E113</f>
        <v>1</v>
      </c>
      <c r="H113" s="58">
        <v>9810</v>
      </c>
      <c r="I113" s="1033">
        <v>0</v>
      </c>
      <c r="J113" s="58"/>
      <c r="K113" s="59">
        <f t="shared" si="44"/>
        <v>0</v>
      </c>
      <c r="L113" s="280">
        <f t="shared" si="33"/>
        <v>0</v>
      </c>
      <c r="M113" s="41"/>
    </row>
    <row r="114" spans="1:13" x14ac:dyDescent="0.2">
      <c r="A114" s="1422"/>
      <c r="B114" s="1081">
        <v>80103</v>
      </c>
      <c r="C114" s="1082"/>
      <c r="D114" s="1083" t="s">
        <v>78</v>
      </c>
      <c r="E114" s="1077">
        <f>E115+E116</f>
        <v>249508</v>
      </c>
      <c r="F114" s="1077">
        <f>F115+F116</f>
        <v>189440.75</v>
      </c>
      <c r="G114" s="1084">
        <f>F114/E114</f>
        <v>0.75925721820542824</v>
      </c>
      <c r="H114" s="329">
        <f>H115+H116</f>
        <v>251813.75</v>
      </c>
      <c r="I114" s="1036">
        <f>I115+I116</f>
        <v>159210</v>
      </c>
      <c r="J114" s="329">
        <f t="shared" ref="J114:K114" si="45">J115+J116</f>
        <v>1305</v>
      </c>
      <c r="K114" s="330">
        <f t="shared" si="45"/>
        <v>160515</v>
      </c>
      <c r="L114" s="78">
        <f t="shared" si="33"/>
        <v>0.64332606569729223</v>
      </c>
      <c r="M114" s="41"/>
    </row>
    <row r="115" spans="1:13" ht="22.5" x14ac:dyDescent="0.2">
      <c r="A115" s="1422"/>
      <c r="B115" s="1398"/>
      <c r="C115" s="264">
        <v>2030</v>
      </c>
      <c r="D115" s="62" t="s">
        <v>74</v>
      </c>
      <c r="E115" s="136">
        <v>249508</v>
      </c>
      <c r="F115" s="58">
        <v>187135</v>
      </c>
      <c r="G115" s="268">
        <f>F115/E115</f>
        <v>0.75001603155009056</v>
      </c>
      <c r="H115" s="58">
        <v>249508</v>
      </c>
      <c r="I115" s="1033">
        <v>159210</v>
      </c>
      <c r="J115" s="58">
        <v>1305</v>
      </c>
      <c r="K115" s="59">
        <f t="shared" si="44"/>
        <v>160515</v>
      </c>
      <c r="L115" s="280">
        <f t="shared" si="33"/>
        <v>0.64332606569729223</v>
      </c>
      <c r="M115" s="41"/>
    </row>
    <row r="116" spans="1:13" ht="45" x14ac:dyDescent="0.2">
      <c r="A116" s="1422"/>
      <c r="B116" s="1398"/>
      <c r="C116" s="264">
        <v>2910</v>
      </c>
      <c r="D116" s="122" t="s">
        <v>83</v>
      </c>
      <c r="E116" s="70">
        <v>0</v>
      </c>
      <c r="F116" s="56">
        <v>2305.75</v>
      </c>
      <c r="G116" s="57">
        <v>0</v>
      </c>
      <c r="H116" s="162">
        <v>2305.75</v>
      </c>
      <c r="I116" s="1041">
        <v>0</v>
      </c>
      <c r="J116" s="58"/>
      <c r="K116" s="59">
        <f t="shared" si="44"/>
        <v>0</v>
      </c>
      <c r="L116" s="280">
        <v>0</v>
      </c>
      <c r="M116" s="19"/>
    </row>
    <row r="117" spans="1:13" x14ac:dyDescent="0.2">
      <c r="A117" s="1422"/>
      <c r="B117" s="228">
        <v>80104</v>
      </c>
      <c r="C117" s="233"/>
      <c r="D117" s="234" t="s">
        <v>79</v>
      </c>
      <c r="E117" s="269">
        <f>SUM(E118:E126)</f>
        <v>903872</v>
      </c>
      <c r="F117" s="269">
        <f>SUM(F118:F126)</f>
        <v>650793.07000000007</v>
      </c>
      <c r="G117" s="236">
        <f t="shared" si="40"/>
        <v>0.72000578621751765</v>
      </c>
      <c r="H117" s="237">
        <f>SUM(H118:H126)</f>
        <v>904156.88000000012</v>
      </c>
      <c r="I117" s="1051">
        <f>SUM(I118:I126)</f>
        <v>945845</v>
      </c>
      <c r="J117" s="1006">
        <f t="shared" ref="J117:K117" si="46">SUM(J118:J126)</f>
        <v>8915</v>
      </c>
      <c r="K117" s="238">
        <f t="shared" si="46"/>
        <v>954760</v>
      </c>
      <c r="L117" s="78">
        <f t="shared" si="33"/>
        <v>1.0563000070806485</v>
      </c>
      <c r="M117" s="19"/>
    </row>
    <row r="118" spans="1:13" x14ac:dyDescent="0.2">
      <c r="A118" s="1422"/>
      <c r="B118" s="1431"/>
      <c r="C118" s="38" t="s">
        <v>354</v>
      </c>
      <c r="D118" s="917" t="s">
        <v>356</v>
      </c>
      <c r="E118" s="352">
        <v>0</v>
      </c>
      <c r="F118" s="352">
        <v>0</v>
      </c>
      <c r="G118" s="256">
        <v>0</v>
      </c>
      <c r="H118" s="257">
        <v>0</v>
      </c>
      <c r="I118" s="1054">
        <v>113000</v>
      </c>
      <c r="J118" s="353"/>
      <c r="K118" s="59">
        <f t="shared" si="44"/>
        <v>113000</v>
      </c>
      <c r="L118" s="280">
        <v>0</v>
      </c>
      <c r="M118" s="19"/>
    </row>
    <row r="119" spans="1:13" ht="22.5" x14ac:dyDescent="0.2">
      <c r="A119" s="1422"/>
      <c r="B119" s="1432"/>
      <c r="C119" s="38" t="s">
        <v>355</v>
      </c>
      <c r="D119" s="917" t="s">
        <v>357</v>
      </c>
      <c r="E119" s="352">
        <v>0</v>
      </c>
      <c r="F119" s="352">
        <v>0</v>
      </c>
      <c r="G119" s="256">
        <v>0</v>
      </c>
      <c r="H119" s="257">
        <v>0</v>
      </c>
      <c r="I119" s="1054">
        <v>295000</v>
      </c>
      <c r="J119" s="353"/>
      <c r="K119" s="59">
        <f t="shared" si="44"/>
        <v>295000</v>
      </c>
      <c r="L119" s="280">
        <v>0</v>
      </c>
      <c r="M119" s="19"/>
    </row>
    <row r="120" spans="1:13" x14ac:dyDescent="0.2">
      <c r="A120" s="1422"/>
      <c r="B120" s="1432"/>
      <c r="C120" s="124">
        <v>690</v>
      </c>
      <c r="D120" s="125" t="s">
        <v>20</v>
      </c>
      <c r="E120" s="196">
        <v>117000</v>
      </c>
      <c r="F120" s="56">
        <v>64084</v>
      </c>
      <c r="G120" s="57">
        <f t="shared" si="40"/>
        <v>0.54772649572649568</v>
      </c>
      <c r="H120" s="58">
        <v>98938</v>
      </c>
      <c r="I120" s="1033">
        <v>0</v>
      </c>
      <c r="J120" s="58"/>
      <c r="K120" s="59">
        <f t="shared" si="44"/>
        <v>0</v>
      </c>
      <c r="L120" s="280">
        <f t="shared" si="33"/>
        <v>0</v>
      </c>
      <c r="M120" s="19"/>
    </row>
    <row r="121" spans="1:13" ht="45" x14ac:dyDescent="0.2">
      <c r="A121" s="1422"/>
      <c r="B121" s="1432"/>
      <c r="C121" s="124">
        <v>750</v>
      </c>
      <c r="D121" s="125" t="s">
        <v>15</v>
      </c>
      <c r="E121" s="270">
        <v>4275</v>
      </c>
      <c r="F121" s="56">
        <v>3206.61</v>
      </c>
      <c r="G121" s="57">
        <f t="shared" si="40"/>
        <v>0.7500842105263158</v>
      </c>
      <c r="H121" s="58">
        <v>4275.4799999999996</v>
      </c>
      <c r="I121" s="1033">
        <v>4275</v>
      </c>
      <c r="J121" s="58"/>
      <c r="K121" s="59">
        <f t="shared" si="44"/>
        <v>4275</v>
      </c>
      <c r="L121" s="280">
        <f t="shared" si="33"/>
        <v>1</v>
      </c>
      <c r="M121" s="19"/>
    </row>
    <row r="122" spans="1:13" x14ac:dyDescent="0.2">
      <c r="A122" s="1422"/>
      <c r="B122" s="1432"/>
      <c r="C122" s="124">
        <v>830</v>
      </c>
      <c r="D122" s="125" t="s">
        <v>10</v>
      </c>
      <c r="E122" s="196">
        <v>268000</v>
      </c>
      <c r="F122" s="56">
        <v>184124.5</v>
      </c>
      <c r="G122" s="57">
        <f t="shared" si="40"/>
        <v>0.6870317164179105</v>
      </c>
      <c r="H122" s="58">
        <v>268000</v>
      </c>
      <c r="I122" s="1033">
        <v>0</v>
      </c>
      <c r="J122" s="58"/>
      <c r="K122" s="59">
        <f t="shared" si="44"/>
        <v>0</v>
      </c>
      <c r="L122" s="280">
        <f t="shared" si="33"/>
        <v>0</v>
      </c>
      <c r="M122" s="19"/>
    </row>
    <row r="123" spans="1:13" x14ac:dyDescent="0.2">
      <c r="A123" s="1422"/>
      <c r="B123" s="1432"/>
      <c r="C123" s="264" t="s">
        <v>26</v>
      </c>
      <c r="D123" s="62" t="s">
        <v>27</v>
      </c>
      <c r="E123" s="93">
        <v>4400</v>
      </c>
      <c r="F123" s="56">
        <v>2636.13</v>
      </c>
      <c r="G123" s="57">
        <f t="shared" si="40"/>
        <v>0.59912045454545459</v>
      </c>
      <c r="H123" s="58">
        <v>3514.84</v>
      </c>
      <c r="I123" s="1033">
        <v>4400</v>
      </c>
      <c r="J123" s="58"/>
      <c r="K123" s="59">
        <f t="shared" si="44"/>
        <v>4400</v>
      </c>
      <c r="L123" s="280">
        <f t="shared" si="33"/>
        <v>1</v>
      </c>
      <c r="M123" s="19"/>
    </row>
    <row r="124" spans="1:13" ht="22.5" x14ac:dyDescent="0.2">
      <c r="A124" s="1422"/>
      <c r="B124" s="1432"/>
      <c r="C124" s="264">
        <v>2030</v>
      </c>
      <c r="D124" s="125" t="s">
        <v>74</v>
      </c>
      <c r="E124" s="70">
        <v>495197</v>
      </c>
      <c r="F124" s="56">
        <v>371402</v>
      </c>
      <c r="G124" s="57">
        <f t="shared" si="40"/>
        <v>0.75000858244294699</v>
      </c>
      <c r="H124" s="58">
        <v>495197</v>
      </c>
      <c r="I124" s="1033">
        <v>514170</v>
      </c>
      <c r="J124" s="58">
        <v>3915</v>
      </c>
      <c r="K124" s="59">
        <f t="shared" si="44"/>
        <v>518085</v>
      </c>
      <c r="L124" s="280">
        <f t="shared" si="33"/>
        <v>1.0462199892164128</v>
      </c>
      <c r="M124" s="19"/>
    </row>
    <row r="125" spans="1:13" ht="33.75" x14ac:dyDescent="0.2">
      <c r="A125" s="1422"/>
      <c r="B125" s="1432"/>
      <c r="C125" s="264">
        <v>2310</v>
      </c>
      <c r="D125" s="62" t="s">
        <v>82</v>
      </c>
      <c r="E125" s="70">
        <v>15000</v>
      </c>
      <c r="F125" s="56">
        <v>25326.55</v>
      </c>
      <c r="G125" s="57">
        <f t="shared" si="40"/>
        <v>1.6884366666666666</v>
      </c>
      <c r="H125" s="58">
        <v>34218.28</v>
      </c>
      <c r="I125" s="1033">
        <v>15000</v>
      </c>
      <c r="J125" s="1206">
        <v>5000</v>
      </c>
      <c r="K125" s="59">
        <f t="shared" si="44"/>
        <v>20000</v>
      </c>
      <c r="L125" s="280">
        <f t="shared" si="33"/>
        <v>1.3333333333333333</v>
      </c>
      <c r="M125" s="19"/>
    </row>
    <row r="126" spans="1:13" ht="45" x14ac:dyDescent="0.2">
      <c r="A126" s="1422"/>
      <c r="B126" s="1433"/>
      <c r="C126" s="264">
        <v>2910</v>
      </c>
      <c r="D126" s="122" t="s">
        <v>83</v>
      </c>
      <c r="E126" s="70">
        <v>0</v>
      </c>
      <c r="F126" s="56">
        <v>13.28</v>
      </c>
      <c r="G126" s="57">
        <v>0</v>
      </c>
      <c r="H126" s="162">
        <v>13.28</v>
      </c>
      <c r="I126" s="1041">
        <v>0</v>
      </c>
      <c r="J126" s="58"/>
      <c r="K126" s="59">
        <f t="shared" si="44"/>
        <v>0</v>
      </c>
      <c r="L126" s="280">
        <v>0</v>
      </c>
      <c r="M126" s="19"/>
    </row>
    <row r="127" spans="1:13" x14ac:dyDescent="0.2">
      <c r="A127" s="1422"/>
      <c r="B127" s="90">
        <v>80110</v>
      </c>
      <c r="C127" s="152"/>
      <c r="D127" s="272" t="s">
        <v>84</v>
      </c>
      <c r="E127" s="273">
        <f>SUM(E128:E132)</f>
        <v>50982.21</v>
      </c>
      <c r="F127" s="273">
        <f>SUM(F128:F132)</f>
        <v>50079.09</v>
      </c>
      <c r="G127" s="157">
        <f t="shared" si="40"/>
        <v>0.98228558550129541</v>
      </c>
      <c r="H127" s="156">
        <f>SUM(H128:H132)</f>
        <v>50962.82</v>
      </c>
      <c r="I127" s="1045">
        <f>SUM(I128:I132)</f>
        <v>3600</v>
      </c>
      <c r="J127" s="1221">
        <f t="shared" ref="J127:K127" si="47">SUM(J128:J132)</f>
        <v>0</v>
      </c>
      <c r="K127" s="158">
        <f t="shared" si="47"/>
        <v>3600</v>
      </c>
      <c r="L127" s="78">
        <f t="shared" si="33"/>
        <v>7.0612866723510026E-2</v>
      </c>
      <c r="M127" s="19"/>
    </row>
    <row r="128" spans="1:13" x14ac:dyDescent="0.2">
      <c r="A128" s="1422"/>
      <c r="B128" s="274"/>
      <c r="C128" s="276" t="s">
        <v>85</v>
      </c>
      <c r="D128" s="125" t="s">
        <v>20</v>
      </c>
      <c r="E128" s="277">
        <v>0</v>
      </c>
      <c r="F128" s="277">
        <v>26</v>
      </c>
      <c r="G128" s="256">
        <v>0</v>
      </c>
      <c r="H128" s="278">
        <v>26</v>
      </c>
      <c r="I128" s="1052">
        <v>0</v>
      </c>
      <c r="J128" s="353"/>
      <c r="K128" s="59">
        <f t="shared" si="44"/>
        <v>0</v>
      </c>
      <c r="L128" s="280">
        <v>0</v>
      </c>
      <c r="M128" s="19"/>
    </row>
    <row r="129" spans="1:13" ht="45" x14ac:dyDescent="0.2">
      <c r="A129" s="1422"/>
      <c r="B129" s="1428"/>
      <c r="C129" s="135">
        <v>750</v>
      </c>
      <c r="D129" s="62" t="s">
        <v>15</v>
      </c>
      <c r="E129" s="93">
        <v>3600</v>
      </c>
      <c r="F129" s="100">
        <v>2651.2</v>
      </c>
      <c r="G129" s="101">
        <f t="shared" si="40"/>
        <v>0.73644444444444435</v>
      </c>
      <c r="H129" s="102">
        <v>3534.93</v>
      </c>
      <c r="I129" s="1041">
        <v>3600</v>
      </c>
      <c r="J129" s="58"/>
      <c r="K129" s="59">
        <f t="shared" si="44"/>
        <v>3600</v>
      </c>
      <c r="L129" s="280">
        <f t="shared" si="33"/>
        <v>1</v>
      </c>
      <c r="M129" s="19"/>
    </row>
    <row r="130" spans="1:13" ht="45" x14ac:dyDescent="0.2">
      <c r="A130" s="1422"/>
      <c r="B130" s="1428"/>
      <c r="C130" s="264" t="s">
        <v>80</v>
      </c>
      <c r="D130" s="122" t="s">
        <v>81</v>
      </c>
      <c r="E130" s="93">
        <v>0</v>
      </c>
      <c r="F130" s="100">
        <v>19.68</v>
      </c>
      <c r="G130" s="101">
        <v>0</v>
      </c>
      <c r="H130" s="102">
        <v>19.68</v>
      </c>
      <c r="I130" s="1041"/>
      <c r="J130" s="58"/>
      <c r="K130" s="59">
        <f t="shared" si="44"/>
        <v>0</v>
      </c>
      <c r="L130" s="280">
        <v>0</v>
      </c>
      <c r="M130" s="19"/>
    </row>
    <row r="131" spans="1:13" ht="33.75" x14ac:dyDescent="0.2">
      <c r="A131" s="1422"/>
      <c r="B131" s="1428"/>
      <c r="C131" s="135">
        <v>2010</v>
      </c>
      <c r="D131" s="125" t="s">
        <v>17</v>
      </c>
      <c r="E131" s="93">
        <v>34549.089999999997</v>
      </c>
      <c r="F131" s="56">
        <v>34549.089999999997</v>
      </c>
      <c r="G131" s="101">
        <f t="shared" si="40"/>
        <v>1</v>
      </c>
      <c r="H131" s="58">
        <v>34549.089999999997</v>
      </c>
      <c r="I131" s="1033">
        <v>0</v>
      </c>
      <c r="J131" s="58"/>
      <c r="K131" s="59">
        <f t="shared" si="44"/>
        <v>0</v>
      </c>
      <c r="L131" s="280">
        <f t="shared" si="33"/>
        <v>0</v>
      </c>
      <c r="M131" s="19"/>
    </row>
    <row r="132" spans="1:13" ht="45" x14ac:dyDescent="0.2">
      <c r="A132" s="1422"/>
      <c r="B132" s="1430"/>
      <c r="C132" s="281">
        <v>2910</v>
      </c>
      <c r="D132" s="128" t="s">
        <v>83</v>
      </c>
      <c r="E132" s="995">
        <v>12833.12</v>
      </c>
      <c r="F132" s="65">
        <v>12833.12</v>
      </c>
      <c r="G132" s="262">
        <f t="shared" si="40"/>
        <v>1</v>
      </c>
      <c r="H132" s="137">
        <v>12833.12</v>
      </c>
      <c r="I132" s="1055">
        <v>0</v>
      </c>
      <c r="J132" s="58"/>
      <c r="K132" s="59">
        <f t="shared" si="44"/>
        <v>0</v>
      </c>
      <c r="L132" s="280">
        <f t="shared" si="33"/>
        <v>0</v>
      </c>
      <c r="M132" s="19"/>
    </row>
    <row r="133" spans="1:13" x14ac:dyDescent="0.2">
      <c r="A133" s="1422"/>
      <c r="B133" s="360">
        <v>80113</v>
      </c>
      <c r="C133" s="996"/>
      <c r="D133" s="328" t="s">
        <v>224</v>
      </c>
      <c r="E133" s="174">
        <f>E134</f>
        <v>0</v>
      </c>
      <c r="F133" s="175">
        <f>F134</f>
        <v>42.95</v>
      </c>
      <c r="G133" s="176">
        <v>0</v>
      </c>
      <c r="H133" s="329">
        <f>H134</f>
        <v>42.95</v>
      </c>
      <c r="I133" s="1036">
        <f>I134</f>
        <v>0</v>
      </c>
      <c r="J133" s="329">
        <f t="shared" ref="J133:K133" si="48">J134</f>
        <v>0</v>
      </c>
      <c r="K133" s="330">
        <f t="shared" si="48"/>
        <v>0</v>
      </c>
      <c r="L133" s="78">
        <v>0</v>
      </c>
      <c r="M133" s="19"/>
    </row>
    <row r="134" spans="1:13" x14ac:dyDescent="0.2">
      <c r="A134" s="1422"/>
      <c r="B134" s="997"/>
      <c r="C134" s="241">
        <v>920</v>
      </c>
      <c r="D134" s="122" t="s">
        <v>12</v>
      </c>
      <c r="E134" s="99">
        <v>0</v>
      </c>
      <c r="F134" s="100">
        <v>42.95</v>
      </c>
      <c r="G134" s="101">
        <v>0</v>
      </c>
      <c r="H134" s="137">
        <v>42.95</v>
      </c>
      <c r="I134" s="1055">
        <v>0</v>
      </c>
      <c r="J134" s="58"/>
      <c r="K134" s="59">
        <f t="shared" si="44"/>
        <v>0</v>
      </c>
      <c r="L134" s="280">
        <v>0</v>
      </c>
      <c r="M134" s="19"/>
    </row>
    <row r="135" spans="1:13" x14ac:dyDescent="0.2">
      <c r="A135" s="1422"/>
      <c r="B135" s="90">
        <v>80148</v>
      </c>
      <c r="C135" s="361"/>
      <c r="D135" s="328" t="s">
        <v>86</v>
      </c>
      <c r="E135" s="320">
        <f>SUM(E136:E138)</f>
        <v>339000</v>
      </c>
      <c r="F135" s="320">
        <f>SUM(F136:F138)</f>
        <v>185497.39</v>
      </c>
      <c r="G135" s="321">
        <f t="shared" si="40"/>
        <v>0.54718994100294993</v>
      </c>
      <c r="H135" s="918">
        <f>SUM(H136:H138)</f>
        <v>231143.26</v>
      </c>
      <c r="I135" s="1032">
        <f>SUM(I136:I138)</f>
        <v>286000</v>
      </c>
      <c r="J135" s="1205">
        <f t="shared" ref="J135:K135" si="49">SUM(J136:J138)</f>
        <v>0</v>
      </c>
      <c r="K135" s="50">
        <f t="shared" si="49"/>
        <v>286000</v>
      </c>
      <c r="L135" s="78">
        <f t="shared" si="33"/>
        <v>0.84365781710914456</v>
      </c>
      <c r="M135" s="19"/>
    </row>
    <row r="136" spans="1:13" x14ac:dyDescent="0.2">
      <c r="A136" s="1422"/>
      <c r="B136" s="1434"/>
      <c r="C136" s="198">
        <v>830</v>
      </c>
      <c r="D136" s="122" t="s">
        <v>10</v>
      </c>
      <c r="E136" s="204">
        <v>303000</v>
      </c>
      <c r="F136" s="100">
        <v>170254.13</v>
      </c>
      <c r="G136" s="101">
        <f t="shared" si="40"/>
        <v>0.56189481848184819</v>
      </c>
      <c r="H136" s="58">
        <v>211400</v>
      </c>
      <c r="I136" s="1033">
        <v>268000</v>
      </c>
      <c r="J136" s="58"/>
      <c r="K136" s="59">
        <f t="shared" si="44"/>
        <v>268000</v>
      </c>
      <c r="L136" s="280">
        <f t="shared" si="33"/>
        <v>0.88448844884488453</v>
      </c>
      <c r="M136" s="19"/>
    </row>
    <row r="137" spans="1:13" x14ac:dyDescent="0.2">
      <c r="A137" s="1422"/>
      <c r="B137" s="1428"/>
      <c r="C137" s="241">
        <v>970</v>
      </c>
      <c r="D137" s="122" t="s">
        <v>27</v>
      </c>
      <c r="E137" s="123">
        <v>18000</v>
      </c>
      <c r="F137" s="100">
        <v>1743.26</v>
      </c>
      <c r="G137" s="57">
        <f t="shared" si="40"/>
        <v>9.6847777777777783E-2</v>
      </c>
      <c r="H137" s="102">
        <v>1743.26</v>
      </c>
      <c r="I137" s="1041">
        <v>0</v>
      </c>
      <c r="J137" s="58"/>
      <c r="K137" s="59">
        <f t="shared" si="44"/>
        <v>0</v>
      </c>
      <c r="L137" s="280">
        <f t="shared" si="33"/>
        <v>0</v>
      </c>
      <c r="M137" s="41"/>
    </row>
    <row r="138" spans="1:13" ht="33.75" x14ac:dyDescent="0.2">
      <c r="A138" s="1422"/>
      <c r="B138" s="1427"/>
      <c r="C138" s="281">
        <v>2700</v>
      </c>
      <c r="D138" s="31" t="s">
        <v>38</v>
      </c>
      <c r="E138" s="282">
        <v>18000</v>
      </c>
      <c r="F138" s="65">
        <v>13500</v>
      </c>
      <c r="G138" s="262">
        <f t="shared" si="40"/>
        <v>0.75</v>
      </c>
      <c r="H138" s="67">
        <v>18000</v>
      </c>
      <c r="I138" s="1034">
        <v>18000</v>
      </c>
      <c r="J138" s="58"/>
      <c r="K138" s="59">
        <f t="shared" si="44"/>
        <v>18000</v>
      </c>
      <c r="L138" s="280">
        <f t="shared" ref="L138:L202" si="50">K138/E138</f>
        <v>1</v>
      </c>
      <c r="M138" s="283"/>
    </row>
    <row r="139" spans="1:13" ht="56.25" x14ac:dyDescent="0.2">
      <c r="A139" s="1422"/>
      <c r="B139" s="90">
        <v>80150</v>
      </c>
      <c r="C139" s="361"/>
      <c r="D139" s="328" t="s">
        <v>350</v>
      </c>
      <c r="E139" s="320">
        <f>E140</f>
        <v>174.98</v>
      </c>
      <c r="F139" s="320">
        <f>F140</f>
        <v>174.98</v>
      </c>
      <c r="G139" s="321">
        <f t="shared" si="40"/>
        <v>1</v>
      </c>
      <c r="H139" s="918">
        <f>H140</f>
        <v>174.98</v>
      </c>
      <c r="I139" s="1032">
        <f>I140</f>
        <v>0</v>
      </c>
      <c r="J139" s="1205">
        <f t="shared" ref="J139:K139" si="51">J140</f>
        <v>0</v>
      </c>
      <c r="K139" s="50">
        <f t="shared" si="51"/>
        <v>0</v>
      </c>
      <c r="L139" s="78">
        <f t="shared" si="50"/>
        <v>0</v>
      </c>
      <c r="M139" s="19"/>
    </row>
    <row r="140" spans="1:13" ht="33.75" x14ac:dyDescent="0.2">
      <c r="A140" s="1423"/>
      <c r="B140" s="1378"/>
      <c r="C140" s="1379">
        <v>2010</v>
      </c>
      <c r="D140" s="125" t="s">
        <v>17</v>
      </c>
      <c r="E140" s="352">
        <v>174.98</v>
      </c>
      <c r="F140" s="352">
        <v>174.98</v>
      </c>
      <c r="G140" s="256">
        <f>F140/E140</f>
        <v>1</v>
      </c>
      <c r="H140" s="278">
        <v>174.98</v>
      </c>
      <c r="I140" s="1052">
        <v>0</v>
      </c>
      <c r="J140" s="353"/>
      <c r="K140" s="59">
        <f t="shared" si="44"/>
        <v>0</v>
      </c>
      <c r="L140" s="280">
        <f t="shared" si="50"/>
        <v>0</v>
      </c>
      <c r="M140" s="19"/>
    </row>
    <row r="141" spans="1:13" x14ac:dyDescent="0.2">
      <c r="A141" s="95">
        <v>851</v>
      </c>
      <c r="B141" s="1000"/>
      <c r="C141" s="1001"/>
      <c r="D141" s="73" t="s">
        <v>227</v>
      </c>
      <c r="E141" s="325">
        <f>E142</f>
        <v>0</v>
      </c>
      <c r="F141" s="325">
        <f t="shared" ref="F141:K141" si="52">F142</f>
        <v>1825.85</v>
      </c>
      <c r="G141" s="1002">
        <v>0</v>
      </c>
      <c r="H141" s="1005">
        <f t="shared" si="52"/>
        <v>1825.85</v>
      </c>
      <c r="I141" s="1057">
        <f t="shared" si="52"/>
        <v>0</v>
      </c>
      <c r="J141" s="1005">
        <f t="shared" si="52"/>
        <v>0</v>
      </c>
      <c r="K141" s="985">
        <f t="shared" si="52"/>
        <v>0</v>
      </c>
      <c r="L141" s="171">
        <v>0</v>
      </c>
      <c r="M141" s="19"/>
    </row>
    <row r="142" spans="1:13" x14ac:dyDescent="0.2">
      <c r="A142" s="1410"/>
      <c r="B142" s="580">
        <v>85154</v>
      </c>
      <c r="C142" s="998"/>
      <c r="D142" s="328" t="s">
        <v>229</v>
      </c>
      <c r="E142" s="320">
        <f>E143+E144</f>
        <v>0</v>
      </c>
      <c r="F142" s="320">
        <f t="shared" ref="F142:K142" si="53">F143+F144</f>
        <v>1825.85</v>
      </c>
      <c r="G142" s="321">
        <v>0</v>
      </c>
      <c r="H142" s="322">
        <f t="shared" si="53"/>
        <v>1825.85</v>
      </c>
      <c r="I142" s="1058">
        <f t="shared" si="53"/>
        <v>0</v>
      </c>
      <c r="J142" s="322">
        <f t="shared" si="53"/>
        <v>0</v>
      </c>
      <c r="K142" s="323">
        <f t="shared" si="53"/>
        <v>0</v>
      </c>
      <c r="L142" s="78">
        <v>0</v>
      </c>
      <c r="M142" s="19"/>
    </row>
    <row r="143" spans="1:13" ht="45" x14ac:dyDescent="0.2">
      <c r="A143" s="1410"/>
      <c r="B143" s="1411"/>
      <c r="C143" s="264" t="s">
        <v>80</v>
      </c>
      <c r="D143" s="122" t="s">
        <v>81</v>
      </c>
      <c r="E143" s="352">
        <v>0</v>
      </c>
      <c r="F143" s="352">
        <v>0.01</v>
      </c>
      <c r="G143" s="256">
        <v>0</v>
      </c>
      <c r="H143" s="353">
        <v>0.01</v>
      </c>
      <c r="I143" s="1054">
        <v>0</v>
      </c>
      <c r="J143" s="353"/>
      <c r="K143" s="59">
        <f t="shared" si="44"/>
        <v>0</v>
      </c>
      <c r="L143" s="280">
        <v>0</v>
      </c>
      <c r="M143" s="19"/>
    </row>
    <row r="144" spans="1:13" ht="45" x14ac:dyDescent="0.2">
      <c r="A144" s="1410"/>
      <c r="B144" s="1412"/>
      <c r="C144" s="281">
        <v>2910</v>
      </c>
      <c r="D144" s="128" t="s">
        <v>83</v>
      </c>
      <c r="E144" s="352">
        <v>0</v>
      </c>
      <c r="F144" s="352">
        <v>1825.84</v>
      </c>
      <c r="G144" s="256">
        <v>0</v>
      </c>
      <c r="H144" s="353">
        <v>1825.84</v>
      </c>
      <c r="I144" s="1054">
        <v>0</v>
      </c>
      <c r="J144" s="353"/>
      <c r="K144" s="59">
        <f t="shared" si="44"/>
        <v>0</v>
      </c>
      <c r="L144" s="280">
        <v>0</v>
      </c>
      <c r="M144" s="19"/>
    </row>
    <row r="145" spans="1:13" x14ac:dyDescent="0.2">
      <c r="A145" s="284">
        <v>852</v>
      </c>
      <c r="B145" s="180"/>
      <c r="C145" s="181"/>
      <c r="D145" s="106" t="s">
        <v>87</v>
      </c>
      <c r="E145" s="285">
        <f>E148+E153+E157+E163+E166+E172+E168+E146+E161</f>
        <v>7834165</v>
      </c>
      <c r="F145" s="285">
        <f>F148+F153+F157+F163+F166+F172+F168+F146+F161</f>
        <v>5574956.7300000004</v>
      </c>
      <c r="G145" s="184">
        <f>F145/E145</f>
        <v>0.71162105087140759</v>
      </c>
      <c r="H145" s="285">
        <f>H148+H153+H157+H163+H166+H172+H168+H146+H161</f>
        <v>7845728.2200000007</v>
      </c>
      <c r="I145" s="1059">
        <f>I148+I153+I157+I163+I166+I172+I168+I146+I161</f>
        <v>7149891</v>
      </c>
      <c r="J145" s="1209">
        <f t="shared" ref="J145:K145" si="54">J148+J153+J157+J163+J166+J172+J168+J146+J161</f>
        <v>231270</v>
      </c>
      <c r="K145" s="286">
        <f t="shared" si="54"/>
        <v>7381161</v>
      </c>
      <c r="L145" s="171">
        <f t="shared" si="50"/>
        <v>0.9421758413308885</v>
      </c>
      <c r="M145" s="19"/>
    </row>
    <row r="146" spans="1:13" x14ac:dyDescent="0.2">
      <c r="A146" s="1403"/>
      <c r="B146" s="287">
        <v>85206</v>
      </c>
      <c r="C146" s="288"/>
      <c r="D146" s="289" t="s">
        <v>88</v>
      </c>
      <c r="E146" s="290">
        <f>E147</f>
        <v>36000</v>
      </c>
      <c r="F146" s="291">
        <f>F147</f>
        <v>36000</v>
      </c>
      <c r="G146" s="292">
        <f>F146/E146</f>
        <v>1</v>
      </c>
      <c r="H146" s="291">
        <f>H147</f>
        <v>36000</v>
      </c>
      <c r="I146" s="1060">
        <f>I147</f>
        <v>0</v>
      </c>
      <c r="J146" s="1308">
        <f t="shared" ref="J146:K146" si="55">J147</f>
        <v>0</v>
      </c>
      <c r="K146" s="293">
        <f t="shared" si="55"/>
        <v>0</v>
      </c>
      <c r="L146" s="78">
        <f t="shared" si="50"/>
        <v>0</v>
      </c>
      <c r="M146" s="19"/>
    </row>
    <row r="147" spans="1:13" ht="22.5" x14ac:dyDescent="0.2">
      <c r="A147" s="1403"/>
      <c r="B147" s="294"/>
      <c r="C147" s="295">
        <v>2030</v>
      </c>
      <c r="D147" s="128" t="s">
        <v>74</v>
      </c>
      <c r="E147" s="296">
        <v>36000</v>
      </c>
      <c r="F147" s="297">
        <v>36000</v>
      </c>
      <c r="G147" s="298">
        <f>F147/E147</f>
        <v>1</v>
      </c>
      <c r="H147" s="297">
        <v>36000</v>
      </c>
      <c r="I147" s="1061">
        <v>0</v>
      </c>
      <c r="J147" s="1214"/>
      <c r="K147" s="59">
        <f t="shared" si="44"/>
        <v>0</v>
      </c>
      <c r="L147" s="280">
        <f t="shared" si="50"/>
        <v>0</v>
      </c>
      <c r="M147" s="41"/>
    </row>
    <row r="148" spans="1:13" ht="33.75" x14ac:dyDescent="0.2">
      <c r="A148" s="1403"/>
      <c r="B148" s="228">
        <v>85212</v>
      </c>
      <c r="C148" s="248"/>
      <c r="D148" s="249" t="s">
        <v>89</v>
      </c>
      <c r="E148" s="332">
        <f>SUM(E149:E152)</f>
        <v>6861178</v>
      </c>
      <c r="F148" s="332">
        <f>SUM(F149:F152)</f>
        <v>4829893.9800000004</v>
      </c>
      <c r="G148" s="251">
        <f t="shared" si="40"/>
        <v>0.70394529627419666</v>
      </c>
      <c r="H148" s="306">
        <f>SUM(H149:H152)</f>
        <v>6864489.7200000007</v>
      </c>
      <c r="I148" s="1043">
        <f>SUM(I149:I152)</f>
        <v>6365261</v>
      </c>
      <c r="J148" s="1226">
        <f t="shared" ref="J148:K148" si="56">SUM(J149:J152)</f>
        <v>459289</v>
      </c>
      <c r="K148" s="307">
        <f t="shared" si="56"/>
        <v>6824550</v>
      </c>
      <c r="L148" s="78">
        <f t="shared" si="50"/>
        <v>0.99466155811727952</v>
      </c>
      <c r="M148" s="37"/>
    </row>
    <row r="149" spans="1:13" ht="45" x14ac:dyDescent="0.2">
      <c r="A149" s="1403"/>
      <c r="B149" s="1426"/>
      <c r="C149" s="124">
        <v>900</v>
      </c>
      <c r="D149" s="125" t="s">
        <v>81</v>
      </c>
      <c r="E149" s="270">
        <v>7500</v>
      </c>
      <c r="F149" s="56">
        <v>358.69</v>
      </c>
      <c r="G149" s="57">
        <f t="shared" si="40"/>
        <v>4.7825333333333331E-2</v>
      </c>
      <c r="H149" s="58">
        <v>358.69</v>
      </c>
      <c r="I149" s="1033">
        <v>1500</v>
      </c>
      <c r="J149" s="58"/>
      <c r="K149" s="59">
        <f t="shared" si="44"/>
        <v>1500</v>
      </c>
      <c r="L149" s="280">
        <f t="shared" si="50"/>
        <v>0.2</v>
      </c>
      <c r="M149" s="41"/>
    </row>
    <row r="150" spans="1:13" ht="33.75" x14ac:dyDescent="0.2">
      <c r="A150" s="1403"/>
      <c r="B150" s="1428"/>
      <c r="C150" s="243">
        <v>2010</v>
      </c>
      <c r="D150" s="125" t="s">
        <v>17</v>
      </c>
      <c r="E150" s="299">
        <v>6779038</v>
      </c>
      <c r="F150" s="56">
        <v>4757952</v>
      </c>
      <c r="G150" s="57">
        <f t="shared" si="40"/>
        <v>0.70186241764686963</v>
      </c>
      <c r="H150" s="58">
        <v>6779038</v>
      </c>
      <c r="I150" s="1033">
        <v>6295121</v>
      </c>
      <c r="J150" s="58">
        <v>456929</v>
      </c>
      <c r="K150" s="59">
        <f t="shared" si="44"/>
        <v>6752050</v>
      </c>
      <c r="L150" s="280">
        <f t="shared" si="50"/>
        <v>0.99601890415719752</v>
      </c>
      <c r="M150" s="300"/>
    </row>
    <row r="151" spans="1:13" ht="33.75" x14ac:dyDescent="0.2">
      <c r="A151" s="1403"/>
      <c r="B151" s="1428"/>
      <c r="C151" s="243">
        <v>2360</v>
      </c>
      <c r="D151" s="125" t="s">
        <v>41</v>
      </c>
      <c r="E151" s="126">
        <v>59640</v>
      </c>
      <c r="F151" s="56">
        <v>62408.99</v>
      </c>
      <c r="G151" s="57">
        <f t="shared" si="40"/>
        <v>1.0464284037558684</v>
      </c>
      <c r="H151" s="58">
        <v>75918.73</v>
      </c>
      <c r="I151" s="1033">
        <v>59640</v>
      </c>
      <c r="J151" s="58">
        <v>2360</v>
      </c>
      <c r="K151" s="59">
        <f t="shared" si="44"/>
        <v>62000</v>
      </c>
      <c r="L151" s="280">
        <f t="shared" si="50"/>
        <v>1.039570757880617</v>
      </c>
      <c r="M151" s="19"/>
    </row>
    <row r="152" spans="1:13" ht="45" x14ac:dyDescent="0.2">
      <c r="A152" s="1403"/>
      <c r="B152" s="1430"/>
      <c r="C152" s="160">
        <v>2910</v>
      </c>
      <c r="D152" s="122" t="s">
        <v>83</v>
      </c>
      <c r="E152" s="123">
        <v>15000</v>
      </c>
      <c r="F152" s="100">
        <v>9174.2999999999993</v>
      </c>
      <c r="G152" s="57">
        <f t="shared" si="40"/>
        <v>0.61161999999999994</v>
      </c>
      <c r="H152" s="102">
        <v>9174.2999999999993</v>
      </c>
      <c r="I152" s="1041">
        <v>9000</v>
      </c>
      <c r="J152" s="58"/>
      <c r="K152" s="59">
        <f t="shared" si="44"/>
        <v>9000</v>
      </c>
      <c r="L152" s="280">
        <f t="shared" si="50"/>
        <v>0.6</v>
      </c>
      <c r="M152" s="19"/>
    </row>
    <row r="153" spans="1:13" ht="45" x14ac:dyDescent="0.2">
      <c r="A153" s="1403"/>
      <c r="B153" s="228">
        <v>85213</v>
      </c>
      <c r="C153" s="233"/>
      <c r="D153" s="234" t="s">
        <v>90</v>
      </c>
      <c r="E153" s="301">
        <f>SUM(E154:E156)</f>
        <v>66007</v>
      </c>
      <c r="F153" s="301">
        <f>SUM(F154:F156)</f>
        <v>49700</v>
      </c>
      <c r="G153" s="236">
        <f t="shared" si="40"/>
        <v>0.75295044464980987</v>
      </c>
      <c r="H153" s="237">
        <f>SUM(H154:H156)</f>
        <v>65957</v>
      </c>
      <c r="I153" s="1051">
        <f>SUM(I154:I156)</f>
        <v>58342</v>
      </c>
      <c r="J153" s="1006">
        <f t="shared" ref="J153:K153" si="57">SUM(J154:J156)</f>
        <v>-20860</v>
      </c>
      <c r="K153" s="238">
        <f t="shared" si="57"/>
        <v>37482</v>
      </c>
      <c r="L153" s="78">
        <f t="shared" si="50"/>
        <v>0.56784886451436967</v>
      </c>
      <c r="M153" s="19"/>
    </row>
    <row r="154" spans="1:13" ht="33.75" x14ac:dyDescent="0.2">
      <c r="A154" s="1403"/>
      <c r="B154" s="1426"/>
      <c r="C154" s="302">
        <v>2010</v>
      </c>
      <c r="D154" s="128" t="s">
        <v>17</v>
      </c>
      <c r="E154" s="129">
        <v>35840</v>
      </c>
      <c r="F154" s="100">
        <v>26250</v>
      </c>
      <c r="G154" s="101">
        <f t="shared" si="40"/>
        <v>0.732421875</v>
      </c>
      <c r="H154" s="102">
        <v>35840</v>
      </c>
      <c r="I154" s="1041">
        <v>32292</v>
      </c>
      <c r="J154" s="58">
        <v>-14382</v>
      </c>
      <c r="K154" s="59">
        <f t="shared" si="44"/>
        <v>17910</v>
      </c>
      <c r="L154" s="280">
        <f t="shared" si="50"/>
        <v>0.49972098214285715</v>
      </c>
      <c r="M154" s="19"/>
    </row>
    <row r="155" spans="1:13" ht="22.5" x14ac:dyDescent="0.2">
      <c r="A155" s="1403"/>
      <c r="B155" s="1428"/>
      <c r="C155" s="139">
        <v>2030</v>
      </c>
      <c r="D155" s="119" t="s">
        <v>74</v>
      </c>
      <c r="E155" s="120">
        <v>30117</v>
      </c>
      <c r="F155" s="56">
        <v>23450</v>
      </c>
      <c r="G155" s="101">
        <f t="shared" si="40"/>
        <v>0.77863000962911311</v>
      </c>
      <c r="H155" s="58">
        <v>30117</v>
      </c>
      <c r="I155" s="1033">
        <v>26000</v>
      </c>
      <c r="J155" s="58">
        <v>-6478</v>
      </c>
      <c r="K155" s="59">
        <f t="shared" si="44"/>
        <v>19522</v>
      </c>
      <c r="L155" s="280">
        <f t="shared" si="50"/>
        <v>0.64820533253644119</v>
      </c>
      <c r="M155" s="19"/>
    </row>
    <row r="156" spans="1:13" ht="45" x14ac:dyDescent="0.2">
      <c r="A156" s="1403"/>
      <c r="B156" s="1430"/>
      <c r="C156" s="303">
        <v>2910</v>
      </c>
      <c r="D156" s="132" t="s">
        <v>83</v>
      </c>
      <c r="E156" s="304">
        <v>50</v>
      </c>
      <c r="F156" s="100">
        <v>0</v>
      </c>
      <c r="G156" s="101">
        <f t="shared" si="40"/>
        <v>0</v>
      </c>
      <c r="H156" s="162">
        <v>0</v>
      </c>
      <c r="I156" s="1041">
        <v>50</v>
      </c>
      <c r="J156" s="58"/>
      <c r="K156" s="59">
        <f t="shared" si="44"/>
        <v>50</v>
      </c>
      <c r="L156" s="280">
        <f t="shared" si="50"/>
        <v>1</v>
      </c>
      <c r="M156" s="41"/>
    </row>
    <row r="157" spans="1:13" ht="22.5" x14ac:dyDescent="0.2">
      <c r="A157" s="1403"/>
      <c r="B157" s="228">
        <v>85214</v>
      </c>
      <c r="C157" s="248"/>
      <c r="D157" s="272" t="s">
        <v>91</v>
      </c>
      <c r="E157" s="305">
        <f>E158+E159+E160</f>
        <v>124522</v>
      </c>
      <c r="F157" s="305">
        <f>F158+F159+F160</f>
        <v>102140</v>
      </c>
      <c r="G157" s="157">
        <f t="shared" si="40"/>
        <v>0.82025666147347454</v>
      </c>
      <c r="H157" s="306">
        <f>SUM(H158:H160)</f>
        <v>124522</v>
      </c>
      <c r="I157" s="1043">
        <f>SUM(I158:I160)</f>
        <v>180000</v>
      </c>
      <c r="J157" s="1226">
        <f t="shared" ref="J157:K157" si="58">SUM(J158:J160)</f>
        <v>-85124</v>
      </c>
      <c r="K157" s="307">
        <f t="shared" si="58"/>
        <v>94876</v>
      </c>
      <c r="L157" s="78">
        <f t="shared" si="50"/>
        <v>0.76192158815309741</v>
      </c>
      <c r="M157" s="19"/>
    </row>
    <row r="158" spans="1:13" ht="22.5" x14ac:dyDescent="0.2">
      <c r="A158" s="1403"/>
      <c r="B158" s="1405"/>
      <c r="C158" s="160">
        <v>2030</v>
      </c>
      <c r="D158" s="122" t="s">
        <v>74</v>
      </c>
      <c r="E158" s="204">
        <v>89522</v>
      </c>
      <c r="F158" s="100">
        <v>67140</v>
      </c>
      <c r="G158" s="101">
        <f t="shared" si="40"/>
        <v>0.74998324434217289</v>
      </c>
      <c r="H158" s="102">
        <v>89522</v>
      </c>
      <c r="I158" s="1041">
        <v>180000</v>
      </c>
      <c r="J158" s="58">
        <v>-85124</v>
      </c>
      <c r="K158" s="59">
        <f t="shared" si="44"/>
        <v>94876</v>
      </c>
      <c r="L158" s="280">
        <f t="shared" si="50"/>
        <v>1.0598065280042894</v>
      </c>
      <c r="M158" s="1007"/>
    </row>
    <row r="159" spans="1:13" ht="33.75" x14ac:dyDescent="0.2">
      <c r="A159" s="1403"/>
      <c r="B159" s="1406"/>
      <c r="C159" s="1169">
        <v>2700</v>
      </c>
      <c r="D159" s="216" t="s">
        <v>38</v>
      </c>
      <c r="E159" s="70">
        <v>31000</v>
      </c>
      <c r="F159" s="56">
        <v>31000</v>
      </c>
      <c r="G159" s="57">
        <f t="shared" si="40"/>
        <v>1</v>
      </c>
      <c r="H159" s="94">
        <v>31000</v>
      </c>
      <c r="I159" s="1033">
        <v>0</v>
      </c>
      <c r="J159" s="58"/>
      <c r="K159" s="59">
        <f t="shared" si="44"/>
        <v>0</v>
      </c>
      <c r="L159" s="280">
        <f t="shared" si="50"/>
        <v>0</v>
      </c>
      <c r="M159" s="41"/>
    </row>
    <row r="160" spans="1:13" ht="33.75" x14ac:dyDescent="0.2">
      <c r="A160" s="1403"/>
      <c r="B160" s="1407"/>
      <c r="C160" s="309">
        <v>2710</v>
      </c>
      <c r="D160" s="62" t="s">
        <v>18</v>
      </c>
      <c r="E160" s="70">
        <v>4000</v>
      </c>
      <c r="F160" s="56">
        <v>4000</v>
      </c>
      <c r="G160" s="57">
        <f t="shared" si="40"/>
        <v>1</v>
      </c>
      <c r="H160" s="162">
        <v>4000</v>
      </c>
      <c r="I160" s="1041">
        <v>0</v>
      </c>
      <c r="J160" s="58"/>
      <c r="K160" s="59">
        <f t="shared" si="44"/>
        <v>0</v>
      </c>
      <c r="L160" s="280">
        <f t="shared" si="50"/>
        <v>0</v>
      </c>
      <c r="M160" s="41"/>
    </row>
    <row r="161" spans="1:13" x14ac:dyDescent="0.2">
      <c r="A161" s="1403"/>
      <c r="B161" s="228">
        <v>82515</v>
      </c>
      <c r="C161" s="233"/>
      <c r="D161" s="234" t="s">
        <v>92</v>
      </c>
      <c r="E161" s="269">
        <f>E162</f>
        <v>13500</v>
      </c>
      <c r="F161" s="269">
        <f>F162</f>
        <v>12600</v>
      </c>
      <c r="G161" s="236">
        <f t="shared" si="40"/>
        <v>0.93333333333333335</v>
      </c>
      <c r="H161" s="237">
        <f>H162</f>
        <v>13500</v>
      </c>
      <c r="I161" s="237">
        <f t="shared" ref="I161:K161" si="59">I162</f>
        <v>0</v>
      </c>
      <c r="J161" s="237">
        <f t="shared" si="59"/>
        <v>0</v>
      </c>
      <c r="K161" s="238">
        <f t="shared" si="59"/>
        <v>0</v>
      </c>
      <c r="L161" s="78">
        <f t="shared" si="50"/>
        <v>0</v>
      </c>
      <c r="M161" s="41"/>
    </row>
    <row r="162" spans="1:13" ht="33.75" x14ac:dyDescent="0.2">
      <c r="A162" s="1403"/>
      <c r="B162" s="311"/>
      <c r="C162" s="139">
        <v>2010</v>
      </c>
      <c r="D162" s="119" t="s">
        <v>17</v>
      </c>
      <c r="E162" s="313">
        <v>13500</v>
      </c>
      <c r="F162" s="314">
        <v>12600</v>
      </c>
      <c r="G162" s="315">
        <f>F162/E162</f>
        <v>0.93333333333333335</v>
      </c>
      <c r="H162" s="314">
        <v>13500</v>
      </c>
      <c r="I162" s="1054">
        <v>0</v>
      </c>
      <c r="J162" s="353"/>
      <c r="K162" s="59">
        <f t="shared" si="44"/>
        <v>0</v>
      </c>
      <c r="L162" s="280">
        <f t="shared" si="50"/>
        <v>0</v>
      </c>
      <c r="M162" s="316"/>
    </row>
    <row r="163" spans="1:13" x14ac:dyDescent="0.2">
      <c r="A163" s="1403"/>
      <c r="B163" s="228">
        <v>85216</v>
      </c>
      <c r="C163" s="233"/>
      <c r="D163" s="234" t="s">
        <v>93</v>
      </c>
      <c r="E163" s="269">
        <f>SUM(E164:E165)</f>
        <v>304362</v>
      </c>
      <c r="F163" s="237">
        <f>SUM(F164:F165)</f>
        <v>238564</v>
      </c>
      <c r="G163" s="236">
        <f t="shared" si="40"/>
        <v>0.78381663939650814</v>
      </c>
      <c r="H163" s="237">
        <f>SUM(H164:H165)</f>
        <v>303862</v>
      </c>
      <c r="I163" s="1051">
        <f>SUM(I164:I165)</f>
        <v>280500</v>
      </c>
      <c r="J163" s="1006">
        <f t="shared" ref="J163:K163" si="60">SUM(J164:J165)</f>
        <v>-104676</v>
      </c>
      <c r="K163" s="238">
        <f t="shared" si="60"/>
        <v>175824</v>
      </c>
      <c r="L163" s="78">
        <f t="shared" si="50"/>
        <v>0.57768052516411383</v>
      </c>
      <c r="M163" s="300"/>
    </row>
    <row r="164" spans="1:13" ht="22.5" x14ac:dyDescent="0.2">
      <c r="A164" s="1403"/>
      <c r="B164" s="1426"/>
      <c r="C164" s="302">
        <v>2030</v>
      </c>
      <c r="D164" s="128" t="s">
        <v>74</v>
      </c>
      <c r="E164" s="271">
        <v>303862</v>
      </c>
      <c r="F164" s="100">
        <v>238564</v>
      </c>
      <c r="G164" s="101">
        <f t="shared" si="40"/>
        <v>0.7851063969828409</v>
      </c>
      <c r="H164" s="102">
        <v>303862</v>
      </c>
      <c r="I164" s="1041">
        <v>280000</v>
      </c>
      <c r="J164" s="58">
        <v>-104676</v>
      </c>
      <c r="K164" s="59">
        <f t="shared" si="44"/>
        <v>175324</v>
      </c>
      <c r="L164" s="280">
        <f t="shared" si="50"/>
        <v>0.57698560530767251</v>
      </c>
      <c r="M164" s="1007"/>
    </row>
    <row r="165" spans="1:13" ht="45" x14ac:dyDescent="0.2">
      <c r="A165" s="1403"/>
      <c r="B165" s="1427"/>
      <c r="C165" s="229">
        <v>2910</v>
      </c>
      <c r="D165" s="25" t="s">
        <v>83</v>
      </c>
      <c r="E165" s="92">
        <v>500</v>
      </c>
      <c r="F165" s="56">
        <v>0</v>
      </c>
      <c r="G165" s="57">
        <f t="shared" si="40"/>
        <v>0</v>
      </c>
      <c r="H165" s="58">
        <v>0</v>
      </c>
      <c r="I165" s="1033">
        <v>500</v>
      </c>
      <c r="J165" s="58"/>
      <c r="K165" s="59">
        <f t="shared" si="44"/>
        <v>500</v>
      </c>
      <c r="L165" s="280">
        <f t="shared" si="50"/>
        <v>1</v>
      </c>
      <c r="M165" s="60"/>
    </row>
    <row r="166" spans="1:13" x14ac:dyDescent="0.2">
      <c r="A166" s="1403"/>
      <c r="B166" s="246">
        <v>85219</v>
      </c>
      <c r="C166" s="248"/>
      <c r="D166" s="249" t="s">
        <v>94</v>
      </c>
      <c r="E166" s="317">
        <f>E167</f>
        <v>130044</v>
      </c>
      <c r="F166" s="306">
        <f>F167</f>
        <v>100030</v>
      </c>
      <c r="G166" s="251">
        <f t="shared" si="40"/>
        <v>0.7692011934422196</v>
      </c>
      <c r="H166" s="306">
        <f>H167</f>
        <v>130044</v>
      </c>
      <c r="I166" s="1043">
        <f>I167</f>
        <v>130999</v>
      </c>
      <c r="J166" s="1226">
        <f t="shared" ref="J166:K166" si="61">J167</f>
        <v>25405</v>
      </c>
      <c r="K166" s="307">
        <f t="shared" si="61"/>
        <v>156404</v>
      </c>
      <c r="L166" s="78">
        <f t="shared" si="50"/>
        <v>1.2027006244040479</v>
      </c>
      <c r="M166" s="60"/>
    </row>
    <row r="167" spans="1:13" ht="22.5" x14ac:dyDescent="0.2">
      <c r="A167" s="1403"/>
      <c r="B167" s="52"/>
      <c r="C167" s="160">
        <v>2030</v>
      </c>
      <c r="D167" s="122" t="s">
        <v>74</v>
      </c>
      <c r="E167" s="204">
        <v>130044</v>
      </c>
      <c r="F167" s="100">
        <v>100030</v>
      </c>
      <c r="G167" s="101">
        <f t="shared" si="40"/>
        <v>0.7692011934422196</v>
      </c>
      <c r="H167" s="102">
        <v>130044</v>
      </c>
      <c r="I167" s="1041">
        <v>130999</v>
      </c>
      <c r="J167" s="58">
        <v>25405</v>
      </c>
      <c r="K167" s="59">
        <f t="shared" si="44"/>
        <v>156404</v>
      </c>
      <c r="L167" s="280">
        <f t="shared" si="50"/>
        <v>1.2027006244040479</v>
      </c>
      <c r="M167" s="1007"/>
    </row>
    <row r="168" spans="1:13" x14ac:dyDescent="0.2">
      <c r="A168" s="1403"/>
      <c r="B168" s="90">
        <v>85228</v>
      </c>
      <c r="C168" s="45"/>
      <c r="D168" s="76" t="s">
        <v>95</v>
      </c>
      <c r="E168" s="187">
        <f>SUM(E169:E171)</f>
        <v>117052</v>
      </c>
      <c r="F168" s="187">
        <f>SUM(F169:F171)</f>
        <v>76953.75</v>
      </c>
      <c r="G168" s="114">
        <f t="shared" si="40"/>
        <v>0.65743216690018114</v>
      </c>
      <c r="H168" s="115">
        <f>SUM(H169:H171)</f>
        <v>125853.5</v>
      </c>
      <c r="I168" s="1040">
        <f>SUM(I169:I171)</f>
        <v>134789</v>
      </c>
      <c r="J168" s="1228">
        <f t="shared" ref="J168:K168" si="62">SUM(J169:J171)</f>
        <v>-42764</v>
      </c>
      <c r="K168" s="116">
        <f t="shared" si="62"/>
        <v>92025</v>
      </c>
      <c r="L168" s="78">
        <f t="shared" si="50"/>
        <v>0.78618904418549018</v>
      </c>
      <c r="M168" s="41"/>
    </row>
    <row r="169" spans="1:13" x14ac:dyDescent="0.2">
      <c r="A169" s="1403"/>
      <c r="B169" s="1434"/>
      <c r="C169" s="80">
        <v>830</v>
      </c>
      <c r="D169" s="81" t="s">
        <v>10</v>
      </c>
      <c r="E169" s="82">
        <v>31000</v>
      </c>
      <c r="F169" s="56">
        <v>29886.7</v>
      </c>
      <c r="G169" s="57">
        <f t="shared" si="40"/>
        <v>0.96408709677419357</v>
      </c>
      <c r="H169" s="58">
        <v>39757</v>
      </c>
      <c r="I169" s="1033">
        <v>31000</v>
      </c>
      <c r="J169" s="58"/>
      <c r="K169" s="59">
        <f t="shared" si="44"/>
        <v>31000</v>
      </c>
      <c r="L169" s="280">
        <f t="shared" si="50"/>
        <v>1</v>
      </c>
      <c r="M169" s="19"/>
    </row>
    <row r="170" spans="1:13" ht="33.75" x14ac:dyDescent="0.2">
      <c r="A170" s="1403"/>
      <c r="B170" s="1428"/>
      <c r="C170" s="139">
        <v>2010</v>
      </c>
      <c r="D170" s="119" t="s">
        <v>17</v>
      </c>
      <c r="E170" s="120">
        <v>85927</v>
      </c>
      <c r="F170" s="56">
        <v>46952</v>
      </c>
      <c r="G170" s="57">
        <f t="shared" si="40"/>
        <v>0.54641730771468799</v>
      </c>
      <c r="H170" s="58">
        <v>85927</v>
      </c>
      <c r="I170" s="1033">
        <v>103664</v>
      </c>
      <c r="J170" s="58">
        <v>-42764</v>
      </c>
      <c r="K170" s="59">
        <f t="shared" si="44"/>
        <v>60900</v>
      </c>
      <c r="L170" s="280">
        <f t="shared" si="50"/>
        <v>0.70874114073574079</v>
      </c>
      <c r="M170" s="19"/>
    </row>
    <row r="171" spans="1:13" ht="33.75" x14ac:dyDescent="0.2">
      <c r="A171" s="1403"/>
      <c r="B171" s="1427"/>
      <c r="C171" s="302">
        <v>2360</v>
      </c>
      <c r="D171" s="318" t="s">
        <v>41</v>
      </c>
      <c r="E171" s="319">
        <v>125</v>
      </c>
      <c r="F171" s="261">
        <v>115.05</v>
      </c>
      <c r="G171" s="262">
        <f t="shared" si="40"/>
        <v>0.9204</v>
      </c>
      <c r="H171" s="263">
        <v>169.5</v>
      </c>
      <c r="I171" s="1055">
        <v>125</v>
      </c>
      <c r="J171" s="58"/>
      <c r="K171" s="59">
        <f t="shared" si="44"/>
        <v>125</v>
      </c>
      <c r="L171" s="280">
        <f t="shared" si="50"/>
        <v>1</v>
      </c>
      <c r="M171" s="19"/>
    </row>
    <row r="172" spans="1:13" x14ac:dyDescent="0.2">
      <c r="A172" s="1403"/>
      <c r="B172" s="90">
        <v>85295</v>
      </c>
      <c r="C172" s="75"/>
      <c r="D172" s="324" t="s">
        <v>14</v>
      </c>
      <c r="E172" s="320">
        <f>SUM(E173:E174)</f>
        <v>181500</v>
      </c>
      <c r="F172" s="320">
        <f>SUM(F173:F174)</f>
        <v>129075</v>
      </c>
      <c r="G172" s="321">
        <f>F172/E172</f>
        <v>0.71115702479338838</v>
      </c>
      <c r="H172" s="322">
        <f>SUM(H173:H174)</f>
        <v>181500</v>
      </c>
      <c r="I172" s="1058">
        <f>SUM(I173:I174)</f>
        <v>0</v>
      </c>
      <c r="J172" s="322">
        <f t="shared" ref="J172:K172" si="63">SUM(J173:J174)</f>
        <v>0</v>
      </c>
      <c r="K172" s="323">
        <f t="shared" si="63"/>
        <v>0</v>
      </c>
      <c r="L172" s="78">
        <f t="shared" si="50"/>
        <v>0</v>
      </c>
      <c r="M172" s="19"/>
    </row>
    <row r="173" spans="1:13" ht="33.75" x14ac:dyDescent="0.2">
      <c r="A173" s="1403"/>
      <c r="B173" s="1408"/>
      <c r="C173" s="1377">
        <v>2010</v>
      </c>
      <c r="D173" s="212" t="s">
        <v>17</v>
      </c>
      <c r="E173" s="136">
        <v>1600</v>
      </c>
      <c r="F173" s="56">
        <v>1600</v>
      </c>
      <c r="G173" s="57">
        <f>F173/E173</f>
        <v>1</v>
      </c>
      <c r="H173" s="58">
        <v>1600</v>
      </c>
      <c r="I173" s="1041">
        <v>0</v>
      </c>
      <c r="J173" s="58"/>
      <c r="K173" s="59">
        <f t="shared" ref="K173:K202" si="64">I173+J173</f>
        <v>0</v>
      </c>
      <c r="L173" s="280">
        <f t="shared" si="50"/>
        <v>0</v>
      </c>
      <c r="M173" s="19"/>
    </row>
    <row r="174" spans="1:13" ht="22.5" x14ac:dyDescent="0.2">
      <c r="A174" s="1404"/>
      <c r="B174" s="1406"/>
      <c r="C174" s="160">
        <v>2030</v>
      </c>
      <c r="D174" s="122" t="s">
        <v>74</v>
      </c>
      <c r="E174" s="204">
        <v>179900</v>
      </c>
      <c r="F174" s="100">
        <v>127475</v>
      </c>
      <c r="G174" s="101">
        <f t="shared" si="40"/>
        <v>0.70858810450250143</v>
      </c>
      <c r="H174" s="102">
        <v>179900</v>
      </c>
      <c r="I174" s="1041">
        <v>0</v>
      </c>
      <c r="J174" s="102"/>
      <c r="K174" s="103">
        <f t="shared" si="64"/>
        <v>0</v>
      </c>
      <c r="L174" s="259">
        <f t="shared" si="50"/>
        <v>0</v>
      </c>
      <c r="M174" s="19"/>
    </row>
    <row r="175" spans="1:13" x14ac:dyDescent="0.2">
      <c r="A175" s="83">
        <v>854</v>
      </c>
      <c r="B175" s="104"/>
      <c r="C175" s="105"/>
      <c r="D175" s="478" t="s">
        <v>96</v>
      </c>
      <c r="E175" s="526">
        <f>E176</f>
        <v>216688</v>
      </c>
      <c r="F175" s="109">
        <f>F176</f>
        <v>216688</v>
      </c>
      <c r="G175" s="108">
        <f t="shared" si="40"/>
        <v>1</v>
      </c>
      <c r="H175" s="109">
        <f>H176</f>
        <v>216688</v>
      </c>
      <c r="I175" s="1044">
        <f>I176</f>
        <v>0</v>
      </c>
      <c r="J175" s="1218">
        <f t="shared" ref="J175:K175" si="65">J176</f>
        <v>0</v>
      </c>
      <c r="K175" s="150">
        <f t="shared" si="65"/>
        <v>0</v>
      </c>
      <c r="L175" s="171">
        <f t="shared" si="50"/>
        <v>0</v>
      </c>
      <c r="M175" s="19"/>
    </row>
    <row r="176" spans="1:13" x14ac:dyDescent="0.2">
      <c r="A176" s="1416"/>
      <c r="B176" s="111">
        <v>85415</v>
      </c>
      <c r="C176" s="45"/>
      <c r="D176" s="76" t="s">
        <v>97</v>
      </c>
      <c r="E176" s="244">
        <f>E177+E178</f>
        <v>216688</v>
      </c>
      <c r="F176" s="244">
        <f>F177+F178</f>
        <v>216688</v>
      </c>
      <c r="G176" s="114">
        <f t="shared" si="40"/>
        <v>1</v>
      </c>
      <c r="H176" s="115">
        <f>H177+H178</f>
        <v>216688</v>
      </c>
      <c r="I176" s="1045">
        <f>I177+I178</f>
        <v>0</v>
      </c>
      <c r="J176" s="1221">
        <f t="shared" ref="J176:K176" si="66">J177+J178</f>
        <v>0</v>
      </c>
      <c r="K176" s="158">
        <f t="shared" si="66"/>
        <v>0</v>
      </c>
      <c r="L176" s="117">
        <f t="shared" si="50"/>
        <v>0</v>
      </c>
      <c r="M176" s="19"/>
    </row>
    <row r="177" spans="1:13" ht="22.5" x14ac:dyDescent="0.2">
      <c r="A177" s="1416"/>
      <c r="B177" s="1434"/>
      <c r="C177" s="63">
        <v>2030</v>
      </c>
      <c r="D177" s="25" t="s">
        <v>74</v>
      </c>
      <c r="E177" s="64">
        <v>198014</v>
      </c>
      <c r="F177" s="65">
        <v>198014</v>
      </c>
      <c r="G177" s="66">
        <f t="shared" si="40"/>
        <v>1</v>
      </c>
      <c r="H177" s="58">
        <v>198014</v>
      </c>
      <c r="I177" s="1033">
        <v>0</v>
      </c>
      <c r="J177" s="58"/>
      <c r="K177" s="59">
        <f t="shared" si="64"/>
        <v>0</v>
      </c>
      <c r="L177" s="280">
        <f t="shared" si="50"/>
        <v>0</v>
      </c>
      <c r="M177" s="19"/>
    </row>
    <row r="178" spans="1:13" ht="45" x14ac:dyDescent="0.2">
      <c r="A178" s="1417"/>
      <c r="B178" s="1427"/>
      <c r="C178" s="69">
        <v>2040</v>
      </c>
      <c r="D178" s="62" t="s">
        <v>98</v>
      </c>
      <c r="E178" s="70">
        <v>18674</v>
      </c>
      <c r="F178" s="56">
        <v>18674</v>
      </c>
      <c r="G178" s="57">
        <f t="shared" si="40"/>
        <v>1</v>
      </c>
      <c r="H178" s="58">
        <v>18674</v>
      </c>
      <c r="I178" s="1033">
        <v>0</v>
      </c>
      <c r="J178" s="58"/>
      <c r="K178" s="59">
        <f t="shared" si="64"/>
        <v>0</v>
      </c>
      <c r="L178" s="280">
        <f t="shared" si="50"/>
        <v>0</v>
      </c>
      <c r="M178" s="19"/>
    </row>
    <row r="179" spans="1:13" x14ac:dyDescent="0.2">
      <c r="A179" s="83">
        <v>900</v>
      </c>
      <c r="B179" s="104"/>
      <c r="C179" s="105"/>
      <c r="D179" s="478" t="s">
        <v>99</v>
      </c>
      <c r="E179" s="107">
        <f>E185+E180+E188</f>
        <v>1960000</v>
      </c>
      <c r="F179" s="107">
        <f>F185+F180+F188</f>
        <v>1638473.4500000002</v>
      </c>
      <c r="G179" s="108">
        <f>F179/E179</f>
        <v>0.83595584183673477</v>
      </c>
      <c r="H179" s="107">
        <f>H185+H180+H188</f>
        <v>2046086.21</v>
      </c>
      <c r="I179" s="1059">
        <f>I185+I180+I188</f>
        <v>2399000</v>
      </c>
      <c r="J179" s="1209">
        <f t="shared" ref="J179:K179" si="67">J185+J180+J188</f>
        <v>39024</v>
      </c>
      <c r="K179" s="286">
        <f t="shared" si="67"/>
        <v>2438024</v>
      </c>
      <c r="L179" s="171">
        <f t="shared" si="50"/>
        <v>1.2438897959183675</v>
      </c>
      <c r="M179" s="19"/>
    </row>
    <row r="180" spans="1:13" x14ac:dyDescent="0.2">
      <c r="A180" s="1393"/>
      <c r="B180" s="335">
        <v>90002</v>
      </c>
      <c r="C180" s="336"/>
      <c r="D180" s="337" t="s">
        <v>101</v>
      </c>
      <c r="E180" s="338">
        <f>SUM(E181:E184)</f>
        <v>1560000</v>
      </c>
      <c r="F180" s="338">
        <f>SUM(F181:F184)</f>
        <v>1223941.4400000002</v>
      </c>
      <c r="G180" s="339">
        <f>F180/E180</f>
        <v>0.78457784615384629</v>
      </c>
      <c r="H180" s="340">
        <f>SUM(H181:H184)</f>
        <v>1626289.6400000001</v>
      </c>
      <c r="I180" s="1062">
        <f>SUM(I181:I184)</f>
        <v>2159000</v>
      </c>
      <c r="J180" s="1309">
        <f t="shared" ref="J180:K180" si="68">SUM(J181:J184)</f>
        <v>0</v>
      </c>
      <c r="K180" s="341">
        <f t="shared" si="68"/>
        <v>2159000</v>
      </c>
      <c r="L180" s="78">
        <f t="shared" si="50"/>
        <v>1.3839743589743589</v>
      </c>
      <c r="M180" s="41"/>
    </row>
    <row r="181" spans="1:13" ht="22.5" x14ac:dyDescent="0.2">
      <c r="A181" s="1394"/>
      <c r="B181" s="1435"/>
      <c r="C181" s="791" t="s">
        <v>102</v>
      </c>
      <c r="D181" s="359" t="s">
        <v>23</v>
      </c>
      <c r="E181" s="792">
        <v>1557000</v>
      </c>
      <c r="F181" s="793">
        <v>1220159.72</v>
      </c>
      <c r="G181" s="794">
        <f>F181/E181</f>
        <v>0.78366070648683361</v>
      </c>
      <c r="H181" s="795">
        <v>1622281.52</v>
      </c>
      <c r="I181" s="1063">
        <v>2155000</v>
      </c>
      <c r="J181" s="58"/>
      <c r="K181" s="59">
        <f t="shared" si="64"/>
        <v>2155000</v>
      </c>
      <c r="L181" s="280">
        <f t="shared" si="50"/>
        <v>1.3840719332048812</v>
      </c>
      <c r="M181" s="41"/>
    </row>
    <row r="182" spans="1:13" x14ac:dyDescent="0.2">
      <c r="A182" s="1394"/>
      <c r="B182" s="1419"/>
      <c r="C182" s="342" t="s">
        <v>85</v>
      </c>
      <c r="D182" s="125" t="s">
        <v>20</v>
      </c>
      <c r="E182" s="242">
        <v>3000</v>
      </c>
      <c r="F182" s="343">
        <v>2403.6</v>
      </c>
      <c r="G182" s="796">
        <f t="shared" ref="G182" si="69">F182/E182</f>
        <v>0.80120000000000002</v>
      </c>
      <c r="H182" s="343">
        <v>3000</v>
      </c>
      <c r="I182" s="1041">
        <v>4000</v>
      </c>
      <c r="J182" s="58"/>
      <c r="K182" s="59">
        <f t="shared" si="64"/>
        <v>4000</v>
      </c>
      <c r="L182" s="280">
        <f t="shared" si="50"/>
        <v>1.3333333333333333</v>
      </c>
      <c r="M182" s="41"/>
    </row>
    <row r="183" spans="1:13" ht="45" x14ac:dyDescent="0.2">
      <c r="A183" s="1394"/>
      <c r="B183" s="1419"/>
      <c r="C183" s="344" t="s">
        <v>103</v>
      </c>
      <c r="D183" s="345" t="s">
        <v>15</v>
      </c>
      <c r="E183" s="133">
        <v>0</v>
      </c>
      <c r="F183" s="346">
        <v>465.12</v>
      </c>
      <c r="G183" s="220">
        <v>0</v>
      </c>
      <c r="H183" s="346">
        <v>95.12</v>
      </c>
      <c r="I183" s="1055">
        <v>0</v>
      </c>
      <c r="J183" s="58"/>
      <c r="K183" s="59">
        <f t="shared" si="64"/>
        <v>0</v>
      </c>
      <c r="L183" s="280">
        <v>0</v>
      </c>
      <c r="M183" s="283"/>
    </row>
    <row r="184" spans="1:13" x14ac:dyDescent="0.2">
      <c r="A184" s="1394"/>
      <c r="B184" s="1420"/>
      <c r="C184" s="342" t="s">
        <v>24</v>
      </c>
      <c r="D184" s="214" t="s">
        <v>25</v>
      </c>
      <c r="E184" s="334">
        <v>0</v>
      </c>
      <c r="F184" s="347">
        <v>913</v>
      </c>
      <c r="G184" s="348">
        <v>0</v>
      </c>
      <c r="H184" s="347">
        <v>913</v>
      </c>
      <c r="I184" s="1033">
        <v>0</v>
      </c>
      <c r="J184" s="58"/>
      <c r="K184" s="59">
        <f t="shared" si="64"/>
        <v>0</v>
      </c>
      <c r="L184" s="280">
        <v>0</v>
      </c>
      <c r="M184" s="19"/>
    </row>
    <row r="185" spans="1:13" ht="22.5" x14ac:dyDescent="0.2">
      <c r="A185" s="1394"/>
      <c r="B185" s="580">
        <v>90019</v>
      </c>
      <c r="C185" s="349"/>
      <c r="D185" s="1003" t="s">
        <v>104</v>
      </c>
      <c r="E185" s="320">
        <f>SUM(E186:E187)</f>
        <v>400000</v>
      </c>
      <c r="F185" s="320">
        <f>SUM(F186:F187)</f>
        <v>403202.54</v>
      </c>
      <c r="G185" s="321">
        <f>F185/E185</f>
        <v>1.0080063500000001</v>
      </c>
      <c r="H185" s="1006">
        <f>SUM(H186:H187)</f>
        <v>404893.65</v>
      </c>
      <c r="I185" s="1051">
        <f>I186+I187</f>
        <v>225000</v>
      </c>
      <c r="J185" s="1006">
        <f t="shared" ref="J185:K185" si="70">J186+J187</f>
        <v>0</v>
      </c>
      <c r="K185" s="238">
        <f t="shared" si="70"/>
        <v>225000</v>
      </c>
      <c r="L185" s="78">
        <f t="shared" si="50"/>
        <v>0.5625</v>
      </c>
      <c r="M185" s="37"/>
    </row>
    <row r="186" spans="1:13" x14ac:dyDescent="0.2">
      <c r="A186" s="1394"/>
      <c r="B186" s="1426"/>
      <c r="C186" s="135">
        <v>690</v>
      </c>
      <c r="D186" s="214" t="s">
        <v>20</v>
      </c>
      <c r="E186" s="70">
        <v>400000</v>
      </c>
      <c r="F186" s="56">
        <v>403202.54</v>
      </c>
      <c r="G186" s="57">
        <f>F186/E186</f>
        <v>1.0080063500000001</v>
      </c>
      <c r="H186" s="58">
        <v>404893.65</v>
      </c>
      <c r="I186" s="1041">
        <v>225000</v>
      </c>
      <c r="J186" s="58"/>
      <c r="K186" s="59">
        <f t="shared" si="64"/>
        <v>225000</v>
      </c>
      <c r="L186" s="280">
        <f t="shared" si="50"/>
        <v>0.5625</v>
      </c>
      <c r="M186" s="354"/>
    </row>
    <row r="187" spans="1:13" x14ac:dyDescent="0.2">
      <c r="A187" s="1394"/>
      <c r="B187" s="1430"/>
      <c r="C187" s="264" t="s">
        <v>24</v>
      </c>
      <c r="D187" s="62" t="s">
        <v>25</v>
      </c>
      <c r="E187" s="355">
        <v>0</v>
      </c>
      <c r="F187" s="261">
        <v>0</v>
      </c>
      <c r="G187" s="262">
        <v>0</v>
      </c>
      <c r="H187" s="102">
        <v>0</v>
      </c>
      <c r="I187" s="1041">
        <v>0</v>
      </c>
      <c r="J187" s="58"/>
      <c r="K187" s="59">
        <f t="shared" si="64"/>
        <v>0</v>
      </c>
      <c r="L187" s="280">
        <v>0</v>
      </c>
      <c r="M187" s="41"/>
    </row>
    <row r="188" spans="1:13" x14ac:dyDescent="0.2">
      <c r="A188" s="1394"/>
      <c r="B188" s="978">
        <v>90095</v>
      </c>
      <c r="C188" s="356"/>
      <c r="D188" s="357" t="s">
        <v>14</v>
      </c>
      <c r="E188" s="320">
        <f>E189+E190</f>
        <v>0</v>
      </c>
      <c r="F188" s="320">
        <f t="shared" ref="F188:K188" si="71">F189+F190</f>
        <v>11329.47</v>
      </c>
      <c r="G188" s="321">
        <v>0</v>
      </c>
      <c r="H188" s="320">
        <f t="shared" si="71"/>
        <v>14902.92</v>
      </c>
      <c r="I188" s="320">
        <f t="shared" si="71"/>
        <v>15000</v>
      </c>
      <c r="J188" s="322">
        <f t="shared" si="71"/>
        <v>39024</v>
      </c>
      <c r="K188" s="323">
        <f t="shared" si="71"/>
        <v>54024</v>
      </c>
      <c r="L188" s="78">
        <v>0</v>
      </c>
      <c r="M188" s="358"/>
    </row>
    <row r="189" spans="1:13" x14ac:dyDescent="0.2">
      <c r="A189" s="1394"/>
      <c r="B189" s="52"/>
      <c r="C189" s="264" t="s">
        <v>9</v>
      </c>
      <c r="D189" s="62" t="s">
        <v>10</v>
      </c>
      <c r="E189" s="70">
        <v>0</v>
      </c>
      <c r="F189" s="56">
        <v>11329.47</v>
      </c>
      <c r="G189" s="57">
        <v>0</v>
      </c>
      <c r="H189" s="58">
        <v>14902.92</v>
      </c>
      <c r="I189" s="1108">
        <v>15000</v>
      </c>
      <c r="J189" s="58"/>
      <c r="K189" s="59">
        <f t="shared" si="64"/>
        <v>15000</v>
      </c>
      <c r="L189" s="280">
        <v>0</v>
      </c>
      <c r="M189" s="19"/>
    </row>
    <row r="190" spans="1:13" ht="33.75" x14ac:dyDescent="0.2">
      <c r="A190" s="1395"/>
      <c r="B190" s="52"/>
      <c r="C190" s="264">
        <v>2710</v>
      </c>
      <c r="D190" s="62" t="s">
        <v>18</v>
      </c>
      <c r="E190" s="70">
        <v>0</v>
      </c>
      <c r="F190" s="56">
        <v>0</v>
      </c>
      <c r="G190" s="57">
        <v>0</v>
      </c>
      <c r="H190" s="137">
        <v>0</v>
      </c>
      <c r="I190" s="1055">
        <v>0</v>
      </c>
      <c r="J190" s="263">
        <v>39024</v>
      </c>
      <c r="K190" s="138">
        <f>I190+J190</f>
        <v>39024</v>
      </c>
      <c r="L190" s="280"/>
      <c r="M190" s="19"/>
    </row>
    <row r="191" spans="1:13" x14ac:dyDescent="0.2">
      <c r="A191" s="83">
        <v>921</v>
      </c>
      <c r="B191" s="72"/>
      <c r="C191" s="12"/>
      <c r="D191" s="13" t="s">
        <v>106</v>
      </c>
      <c r="E191" s="14">
        <f>E192+E194</f>
        <v>789985.88</v>
      </c>
      <c r="F191" s="16">
        <f>F192+F194</f>
        <v>785793.02</v>
      </c>
      <c r="G191" s="15">
        <f t="shared" ref="G191:G193" si="72">F191/E191</f>
        <v>0.99469248741509153</v>
      </c>
      <c r="H191" s="87">
        <f>H192+H194</f>
        <v>787953.76</v>
      </c>
      <c r="I191" s="1042">
        <f>I192+I194</f>
        <v>10000</v>
      </c>
      <c r="J191" s="1207">
        <f t="shared" ref="J191:K191" si="73">J192+J194</f>
        <v>0</v>
      </c>
      <c r="K191" s="89">
        <f t="shared" si="73"/>
        <v>10000</v>
      </c>
      <c r="L191" s="171">
        <f t="shared" si="50"/>
        <v>1.2658454097939066E-2</v>
      </c>
      <c r="M191" s="19"/>
    </row>
    <row r="192" spans="1:13" x14ac:dyDescent="0.2">
      <c r="A192" s="1421"/>
      <c r="B192" s="90">
        <v>92105</v>
      </c>
      <c r="C192" s="75"/>
      <c r="D192" s="46" t="s">
        <v>107</v>
      </c>
      <c r="E192" s="91">
        <f>E193</f>
        <v>11506.8</v>
      </c>
      <c r="F192" s="49">
        <f>F193</f>
        <v>10955.8</v>
      </c>
      <c r="G192" s="48">
        <f t="shared" si="72"/>
        <v>0.95211527097020887</v>
      </c>
      <c r="H192" s="49">
        <f>H193</f>
        <v>10955.8</v>
      </c>
      <c r="I192" s="1032">
        <f>I193</f>
        <v>0</v>
      </c>
      <c r="J192" s="1205">
        <f t="shared" ref="J192:K192" si="74">J193</f>
        <v>0</v>
      </c>
      <c r="K192" s="50">
        <f t="shared" si="74"/>
        <v>0</v>
      </c>
      <c r="L192" s="78">
        <f t="shared" si="50"/>
        <v>0</v>
      </c>
      <c r="M192" s="19"/>
    </row>
    <row r="193" spans="1:13" ht="33.75" x14ac:dyDescent="0.2">
      <c r="A193" s="1422"/>
      <c r="B193" s="159"/>
      <c r="C193" s="160">
        <v>2700</v>
      </c>
      <c r="D193" s="122" t="s">
        <v>38</v>
      </c>
      <c r="E193" s="161">
        <v>11506.8</v>
      </c>
      <c r="F193" s="100">
        <v>10955.8</v>
      </c>
      <c r="G193" s="101">
        <f t="shared" si="72"/>
        <v>0.95211527097020887</v>
      </c>
      <c r="H193" s="102">
        <v>10955.8</v>
      </c>
      <c r="I193" s="1041">
        <v>0</v>
      </c>
      <c r="J193" s="58"/>
      <c r="K193" s="59">
        <f t="shared" si="64"/>
        <v>0</v>
      </c>
      <c r="L193" s="280">
        <f t="shared" si="50"/>
        <v>0</v>
      </c>
      <c r="M193" s="41"/>
    </row>
    <row r="194" spans="1:13" x14ac:dyDescent="0.2">
      <c r="A194" s="1422"/>
      <c r="B194" s="1170">
        <v>92109</v>
      </c>
      <c r="C194" s="1171"/>
      <c r="D194" s="76" t="s">
        <v>108</v>
      </c>
      <c r="E194" s="1172">
        <f>SUM(E195:E197)</f>
        <v>778479.08</v>
      </c>
      <c r="F194" s="1172">
        <f>SUM(F195:F197)</f>
        <v>774837.22</v>
      </c>
      <c r="G194" s="578">
        <f>F194/E194</f>
        <v>0.9953218267599433</v>
      </c>
      <c r="H194" s="1173">
        <f>SUM(H195:H197)</f>
        <v>776997.96</v>
      </c>
      <c r="I194" s="1174">
        <f>SUM(I195:I197)</f>
        <v>10000</v>
      </c>
      <c r="J194" s="1173">
        <f t="shared" ref="J194:K194" si="75">SUM(J195:J197)</f>
        <v>0</v>
      </c>
      <c r="K194" s="1311">
        <f t="shared" si="75"/>
        <v>10000</v>
      </c>
      <c r="L194" s="117">
        <f t="shared" si="50"/>
        <v>1.2845560345693554E-2</v>
      </c>
      <c r="M194" s="178"/>
    </row>
    <row r="195" spans="1:13" x14ac:dyDescent="0.2">
      <c r="A195" s="1422"/>
      <c r="B195" s="1436"/>
      <c r="C195" s="363" t="s">
        <v>9</v>
      </c>
      <c r="D195" s="81" t="s">
        <v>10</v>
      </c>
      <c r="E195" s="364">
        <v>10000</v>
      </c>
      <c r="F195" s="365">
        <v>6331.6</v>
      </c>
      <c r="G195" s="366">
        <f>F195/E195</f>
        <v>0.63316000000000006</v>
      </c>
      <c r="H195" s="367">
        <v>8442.1</v>
      </c>
      <c r="I195" s="1064">
        <v>10000</v>
      </c>
      <c r="J195" s="367"/>
      <c r="K195" s="59">
        <f t="shared" si="64"/>
        <v>10000</v>
      </c>
      <c r="L195" s="280">
        <f t="shared" si="50"/>
        <v>1</v>
      </c>
      <c r="M195" s="316"/>
    </row>
    <row r="196" spans="1:13" x14ac:dyDescent="0.2">
      <c r="A196" s="1422"/>
      <c r="B196" s="1437"/>
      <c r="C196" s="331" t="s">
        <v>11</v>
      </c>
      <c r="D196" s="62" t="s">
        <v>12</v>
      </c>
      <c r="E196" s="93">
        <v>0</v>
      </c>
      <c r="F196" s="56">
        <v>26.54</v>
      </c>
      <c r="G196" s="57">
        <v>0</v>
      </c>
      <c r="H196" s="58">
        <v>76.78</v>
      </c>
      <c r="I196" s="1033">
        <v>0</v>
      </c>
      <c r="J196" s="58"/>
      <c r="K196" s="59">
        <f t="shared" si="64"/>
        <v>0</v>
      </c>
      <c r="L196" s="280">
        <v>0</v>
      </c>
      <c r="M196" s="41"/>
    </row>
    <row r="197" spans="1:13" ht="33.75" x14ac:dyDescent="0.2">
      <c r="A197" s="1423"/>
      <c r="B197" s="1438"/>
      <c r="C197" s="135">
        <v>6298</v>
      </c>
      <c r="D197" s="62" t="s">
        <v>29</v>
      </c>
      <c r="E197" s="93">
        <v>768479.08</v>
      </c>
      <c r="F197" s="56">
        <v>768479.08</v>
      </c>
      <c r="G197" s="57">
        <f>F197/E197</f>
        <v>1</v>
      </c>
      <c r="H197" s="94">
        <v>768479.08</v>
      </c>
      <c r="I197" s="1033">
        <v>0</v>
      </c>
      <c r="J197" s="58"/>
      <c r="K197" s="59">
        <f t="shared" si="64"/>
        <v>0</v>
      </c>
      <c r="L197" s="280">
        <f t="shared" si="50"/>
        <v>0</v>
      </c>
      <c r="M197" s="41"/>
    </row>
    <row r="198" spans="1:13" x14ac:dyDescent="0.2">
      <c r="A198" s="369">
        <v>926</v>
      </c>
      <c r="B198" s="983"/>
      <c r="C198" s="984"/>
      <c r="D198" s="106" t="s">
        <v>109</v>
      </c>
      <c r="E198" s="885">
        <f>E199</f>
        <v>16752</v>
      </c>
      <c r="F198" s="885">
        <f>F199</f>
        <v>13691.84</v>
      </c>
      <c r="G198" s="184">
        <f>F198/E198</f>
        <v>0.81732569245463227</v>
      </c>
      <c r="H198" s="885">
        <f>H199</f>
        <v>18630.859999999997</v>
      </c>
      <c r="I198" s="1057">
        <f>I199</f>
        <v>0</v>
      </c>
      <c r="J198" s="1005">
        <f t="shared" ref="J198:K198" si="76">J199</f>
        <v>0</v>
      </c>
      <c r="K198" s="985">
        <f t="shared" si="76"/>
        <v>0</v>
      </c>
      <c r="L198" s="171">
        <f t="shared" si="50"/>
        <v>0</v>
      </c>
      <c r="M198" s="370"/>
    </row>
    <row r="199" spans="1:13" x14ac:dyDescent="0.2">
      <c r="A199" s="1393"/>
      <c r="B199" s="371">
        <v>92695</v>
      </c>
      <c r="C199" s="372"/>
      <c r="D199" s="97" t="s">
        <v>14</v>
      </c>
      <c r="E199" s="373">
        <f>E202+E200+E201</f>
        <v>16752</v>
      </c>
      <c r="F199" s="373">
        <f>F202+F200+F201</f>
        <v>13691.84</v>
      </c>
      <c r="G199" s="374">
        <f>F199/E199</f>
        <v>0.81732569245463227</v>
      </c>
      <c r="H199" s="375">
        <f>H202+H200+H201</f>
        <v>18630.859999999997</v>
      </c>
      <c r="I199" s="1065">
        <f>I202+I200+I201</f>
        <v>0</v>
      </c>
      <c r="J199" s="375">
        <f t="shared" ref="J199:K199" si="77">J202+J200+J201</f>
        <v>0</v>
      </c>
      <c r="K199" s="376">
        <f t="shared" si="77"/>
        <v>0</v>
      </c>
      <c r="L199" s="78">
        <f t="shared" si="50"/>
        <v>0</v>
      </c>
      <c r="M199" s="19"/>
    </row>
    <row r="200" spans="1:13" x14ac:dyDescent="0.2">
      <c r="A200" s="1394"/>
      <c r="B200" s="377"/>
      <c r="C200" s="363" t="s">
        <v>85</v>
      </c>
      <c r="D200" s="62" t="s">
        <v>20</v>
      </c>
      <c r="E200" s="352">
        <v>15750</v>
      </c>
      <c r="F200" s="352">
        <v>12679.51</v>
      </c>
      <c r="G200" s="366">
        <f>F200/E200</f>
        <v>0.80504825396825397</v>
      </c>
      <c r="H200" s="367">
        <v>17618.53</v>
      </c>
      <c r="I200" s="1064">
        <v>0</v>
      </c>
      <c r="J200" s="367"/>
      <c r="K200" s="59">
        <f t="shared" si="64"/>
        <v>0</v>
      </c>
      <c r="L200" s="280">
        <f t="shared" si="50"/>
        <v>0</v>
      </c>
      <c r="M200" s="19"/>
    </row>
    <row r="201" spans="1:13" ht="45" x14ac:dyDescent="0.2">
      <c r="A201" s="1394"/>
      <c r="B201" s="1400"/>
      <c r="C201" s="241">
        <v>900</v>
      </c>
      <c r="D201" s="122" t="s">
        <v>81</v>
      </c>
      <c r="E201" s="161">
        <v>0</v>
      </c>
      <c r="F201" s="100">
        <v>10.32</v>
      </c>
      <c r="G201" s="101">
        <v>0</v>
      </c>
      <c r="H201" s="102">
        <v>10.32</v>
      </c>
      <c r="I201" s="1041">
        <v>0</v>
      </c>
      <c r="J201" s="58"/>
      <c r="K201" s="59">
        <f t="shared" si="64"/>
        <v>0</v>
      </c>
      <c r="L201" s="280">
        <v>0</v>
      </c>
      <c r="M201" s="41"/>
    </row>
    <row r="202" spans="1:13" ht="45" x14ac:dyDescent="0.2">
      <c r="A202" s="1395"/>
      <c r="B202" s="1401"/>
      <c r="C202" s="69">
        <v>2910</v>
      </c>
      <c r="D202" s="797" t="s">
        <v>83</v>
      </c>
      <c r="E202" s="70">
        <v>1002</v>
      </c>
      <c r="F202" s="56">
        <v>1002.01</v>
      </c>
      <c r="G202" s="57">
        <f>F202/E202</f>
        <v>1.0000099800399203</v>
      </c>
      <c r="H202" s="58">
        <v>1002.01</v>
      </c>
      <c r="I202" s="1033">
        <v>0</v>
      </c>
      <c r="J202" s="58"/>
      <c r="K202" s="59">
        <f t="shared" si="64"/>
        <v>0</v>
      </c>
      <c r="L202" s="280">
        <f t="shared" si="50"/>
        <v>0</v>
      </c>
      <c r="M202" s="19"/>
    </row>
    <row r="203" spans="1:13" ht="29.25" customHeight="1" x14ac:dyDescent="0.2">
      <c r="A203" s="1409" t="s">
        <v>110</v>
      </c>
      <c r="B203" s="1409"/>
      <c r="C203" s="1409"/>
      <c r="D203" s="1409"/>
      <c r="E203" s="379">
        <f>E198+E191+E179+E175+E145+E107+E94+E61+E46+E38+E27+E22+E19+E4+E57+E16+E141</f>
        <v>52645371.43999999</v>
      </c>
      <c r="F203" s="379">
        <f>F198+F191+F179+F175+F145+F107+F94+F61+F46+F38+F27+F22+F19+F4+F57+F16+F141</f>
        <v>39409436.010000005</v>
      </c>
      <c r="G203" s="1004">
        <f>F203/E203</f>
        <v>0.74858311247580422</v>
      </c>
      <c r="H203" s="380">
        <f>H198+H191+H179+H175+H145+H107+H94+H61+H46+H38+H27+H22+H19+H4+H57+H16+H141</f>
        <v>51977652.129999995</v>
      </c>
      <c r="I203" s="1066">
        <f>I198+I191+I179+I175+I145+I107+I94+I61+I46+I38+I27+I22+I19+I4+I57+I16+I141</f>
        <v>50929191</v>
      </c>
      <c r="J203" s="1066">
        <f>J198+J191+J179+J175+J145+J107+J94+J61+J46+J38+J27+J22+J19+J4+J57+J16+J141</f>
        <v>925879</v>
      </c>
      <c r="K203" s="381">
        <f t="shared" ref="K203" si="78">K198+K191+K179+K175+K145+K107+K94+K61+K46+K38+K27+K22+K19+K4+K57+K16+K141</f>
        <v>51855070</v>
      </c>
      <c r="L203" s="979">
        <f>K203/E203</f>
        <v>0.98498820659094988</v>
      </c>
      <c r="M203" s="379"/>
    </row>
    <row r="204" spans="1:13" ht="20.25" customHeight="1" x14ac:dyDescent="0.2">
      <c r="A204" s="382"/>
      <c r="B204" s="382"/>
      <c r="C204" s="382"/>
      <c r="D204" s="382" t="s">
        <v>111</v>
      </c>
      <c r="E204" s="383"/>
      <c r="F204" s="383"/>
      <c r="G204" s="383"/>
      <c r="H204" s="383"/>
      <c r="I204" s="383"/>
      <c r="J204" s="383"/>
      <c r="K204" s="383"/>
      <c r="L204" s="384"/>
      <c r="M204" s="37"/>
    </row>
    <row r="205" spans="1:13" ht="27" customHeight="1" x14ac:dyDescent="0.2">
      <c r="A205" s="385"/>
      <c r="B205" s="267"/>
      <c r="C205" s="267"/>
      <c r="D205" s="1313" t="s">
        <v>307</v>
      </c>
      <c r="E205" s="1314">
        <f>E203-E264</f>
        <v>50355856.219999991</v>
      </c>
      <c r="F205" s="1314">
        <f t="shared" ref="F205:K205" si="79">F203-F264</f>
        <v>38106135.280000009</v>
      </c>
      <c r="G205" s="1315">
        <f>F205/E205</f>
        <v>0.75673691483901884</v>
      </c>
      <c r="H205" s="1316">
        <f t="shared" si="79"/>
        <v>49747790.069999993</v>
      </c>
      <c r="I205" s="1317">
        <f t="shared" si="79"/>
        <v>49924691</v>
      </c>
      <c r="J205" s="1314">
        <f t="shared" si="79"/>
        <v>925879</v>
      </c>
      <c r="K205" s="1318">
        <f t="shared" si="79"/>
        <v>50850570</v>
      </c>
      <c r="L205" s="1319">
        <f>K205/E205</f>
        <v>1.0098243544472494</v>
      </c>
      <c r="M205" s="756"/>
    </row>
    <row r="206" spans="1:13" x14ac:dyDescent="0.2">
      <c r="A206" s="757"/>
      <c r="B206" s="378"/>
      <c r="C206" s="378"/>
      <c r="D206" s="766" t="s">
        <v>303</v>
      </c>
      <c r="E206" s="767"/>
      <c r="F206" s="767"/>
      <c r="G206" s="767"/>
      <c r="H206" s="767"/>
      <c r="I206" s="767"/>
      <c r="J206" s="767"/>
      <c r="K206" s="767"/>
      <c r="L206" s="1097"/>
      <c r="M206" s="759"/>
    </row>
    <row r="207" spans="1:13" hidden="1" x14ac:dyDescent="0.2">
      <c r="A207" s="51"/>
      <c r="B207" s="2"/>
      <c r="C207" s="2"/>
      <c r="D207" s="768"/>
      <c r="E207" s="769"/>
      <c r="F207" s="769"/>
      <c r="G207" s="785"/>
      <c r="H207" s="769"/>
      <c r="I207" s="1067"/>
      <c r="J207" s="1086"/>
      <c r="K207" s="1087"/>
      <c r="L207" s="1098"/>
    </row>
    <row r="208" spans="1:13" hidden="1" x14ac:dyDescent="0.2">
      <c r="A208" s="762"/>
      <c r="D208" s="770"/>
      <c r="E208" s="771"/>
      <c r="F208" s="771"/>
      <c r="G208" s="786" t="s">
        <v>112</v>
      </c>
      <c r="H208" s="771"/>
      <c r="I208" s="1068">
        <f>I203</f>
        <v>50929191</v>
      </c>
      <c r="J208" s="1078"/>
      <c r="K208" s="1088"/>
      <c r="L208" s="1099"/>
    </row>
    <row r="209" spans="1:12" hidden="1" x14ac:dyDescent="0.2">
      <c r="A209" s="762"/>
      <c r="D209" s="770"/>
      <c r="E209" s="771"/>
      <c r="F209" s="771"/>
      <c r="G209" s="786" t="s">
        <v>113</v>
      </c>
      <c r="H209" s="771"/>
      <c r="I209" s="1068">
        <v>1875669</v>
      </c>
      <c r="J209" s="1078"/>
      <c r="K209" s="1088"/>
      <c r="L209" s="1385">
        <f>I209+I210</f>
        <v>6033206</v>
      </c>
    </row>
    <row r="210" spans="1:12" hidden="1" x14ac:dyDescent="0.2">
      <c r="A210" s="762"/>
      <c r="D210" s="770"/>
      <c r="E210" s="771"/>
      <c r="F210" s="771"/>
      <c r="G210" s="786" t="s">
        <v>114</v>
      </c>
      <c r="H210" s="771"/>
      <c r="I210" s="1068">
        <v>4157537</v>
      </c>
      <c r="J210" s="1078"/>
      <c r="K210" s="1088"/>
      <c r="L210" s="1385"/>
    </row>
    <row r="211" spans="1:12" hidden="1" x14ac:dyDescent="0.2">
      <c r="A211" s="762"/>
      <c r="D211" s="770"/>
      <c r="E211" s="771"/>
      <c r="F211" s="771"/>
      <c r="G211" s="786" t="s">
        <v>110</v>
      </c>
      <c r="H211" s="771"/>
      <c r="I211" s="1068">
        <f>SUM(I208:I210)</f>
        <v>56962397</v>
      </c>
      <c r="J211" s="1078"/>
      <c r="K211" s="1088"/>
      <c r="L211" s="1099"/>
    </row>
    <row r="212" spans="1:12" hidden="1" x14ac:dyDescent="0.2">
      <c r="A212" s="762"/>
      <c r="D212" s="770"/>
      <c r="E212" s="771"/>
      <c r="F212" s="771"/>
      <c r="G212" s="786" t="s">
        <v>115</v>
      </c>
      <c r="H212" s="771"/>
      <c r="I212" s="1068">
        <v>931400</v>
      </c>
      <c r="J212" s="1078"/>
      <c r="K212" s="1088"/>
      <c r="L212" s="1099"/>
    </row>
    <row r="213" spans="1:12" hidden="1" x14ac:dyDescent="0.2">
      <c r="A213" s="762"/>
      <c r="D213" s="770"/>
      <c r="E213" s="771"/>
      <c r="F213" s="771"/>
      <c r="G213" s="786" t="s">
        <v>116</v>
      </c>
      <c r="H213" s="771"/>
      <c r="I213" s="1068">
        <f>I211-I212</f>
        <v>56030997</v>
      </c>
      <c r="J213" s="1078"/>
      <c r="K213" s="1088"/>
      <c r="L213" s="1099"/>
    </row>
    <row r="214" spans="1:12" hidden="1" x14ac:dyDescent="0.2">
      <c r="A214" s="762"/>
      <c r="D214" s="770"/>
      <c r="E214" s="771"/>
      <c r="F214" s="771"/>
      <c r="G214" s="786" t="s">
        <v>117</v>
      </c>
      <c r="H214" s="771"/>
      <c r="I214" s="1068">
        <f>'[1]Zał. 2 Wydatki '!J537</f>
        <v>51150727.109999999</v>
      </c>
      <c r="J214" s="1078"/>
      <c r="K214" s="1088"/>
      <c r="L214" s="1099"/>
    </row>
    <row r="215" spans="1:12" hidden="1" x14ac:dyDescent="0.2">
      <c r="A215" s="762"/>
      <c r="D215" s="770"/>
      <c r="E215" s="771"/>
      <c r="F215" s="772"/>
      <c r="G215" s="787" t="s">
        <v>118</v>
      </c>
      <c r="H215" s="773"/>
      <c r="I215" s="1069">
        <f>I213-I214</f>
        <v>4880269.8900000006</v>
      </c>
      <c r="J215" s="1079"/>
      <c r="K215" s="1089"/>
      <c r="L215" s="1099"/>
    </row>
    <row r="216" spans="1:12" hidden="1" x14ac:dyDescent="0.2">
      <c r="A216" s="790" t="s">
        <v>119</v>
      </c>
      <c r="D216" s="770"/>
      <c r="E216" s="771"/>
      <c r="F216" s="771"/>
      <c r="G216" s="786"/>
      <c r="H216" s="771"/>
      <c r="I216" s="1070"/>
      <c r="J216" s="1080"/>
      <c r="K216" s="1090"/>
      <c r="L216" s="1100"/>
    </row>
    <row r="217" spans="1:12" hidden="1" x14ac:dyDescent="0.2">
      <c r="A217" s="762"/>
      <c r="D217" s="770"/>
      <c r="E217" s="771"/>
      <c r="F217" s="771"/>
      <c r="G217" s="786"/>
      <c r="H217" s="771"/>
      <c r="I217" s="1070"/>
      <c r="J217" s="1080"/>
      <c r="K217" s="1090"/>
      <c r="L217" s="1100"/>
    </row>
    <row r="218" spans="1:12" hidden="1" x14ac:dyDescent="0.2">
      <c r="A218" s="762"/>
      <c r="D218" s="770"/>
      <c r="E218" s="771"/>
      <c r="F218" s="771"/>
      <c r="G218" s="786"/>
      <c r="H218" s="771"/>
      <c r="I218" s="1070"/>
      <c r="J218" s="1080"/>
      <c r="K218" s="1090"/>
      <c r="L218" s="1100"/>
    </row>
    <row r="219" spans="1:12" hidden="1" x14ac:dyDescent="0.2">
      <c r="A219" s="762"/>
      <c r="D219" s="770"/>
      <c r="E219" s="771"/>
      <c r="F219" s="771"/>
      <c r="G219" s="786"/>
      <c r="H219" s="771"/>
      <c r="I219" s="1070"/>
      <c r="J219" s="1080"/>
      <c r="K219" s="1090"/>
      <c r="L219" s="1100"/>
    </row>
    <row r="220" spans="1:12" hidden="1" x14ac:dyDescent="0.2">
      <c r="A220" s="762"/>
      <c r="D220" s="770"/>
      <c r="E220" s="771"/>
      <c r="F220" s="771"/>
      <c r="G220" s="786"/>
      <c r="H220" s="771"/>
      <c r="I220" s="1070"/>
      <c r="J220" s="1080"/>
      <c r="K220" s="1090"/>
      <c r="L220" s="1100"/>
    </row>
    <row r="221" spans="1:12" hidden="1" x14ac:dyDescent="0.2">
      <c r="A221" s="762"/>
      <c r="D221" s="770"/>
      <c r="E221" s="771"/>
      <c r="F221" s="771"/>
      <c r="G221" s="786"/>
      <c r="H221" s="771"/>
      <c r="I221" s="1070"/>
      <c r="J221" s="1080"/>
      <c r="K221" s="1090"/>
      <c r="L221" s="1100"/>
    </row>
    <row r="222" spans="1:12" hidden="1" x14ac:dyDescent="0.2">
      <c r="A222" s="762"/>
      <c r="D222" s="770"/>
      <c r="E222" s="771"/>
      <c r="F222" s="771"/>
      <c r="G222" s="786"/>
      <c r="H222" s="771"/>
      <c r="I222" s="1070"/>
      <c r="J222" s="1080"/>
      <c r="K222" s="1090"/>
      <c r="L222" s="1100"/>
    </row>
    <row r="223" spans="1:12" hidden="1" x14ac:dyDescent="0.2">
      <c r="A223" s="762"/>
      <c r="D223" s="770"/>
      <c r="E223" s="771"/>
      <c r="F223" s="771"/>
      <c r="G223" s="786"/>
      <c r="H223" s="771"/>
      <c r="I223" s="1070"/>
      <c r="J223" s="1080"/>
      <c r="K223" s="1090"/>
      <c r="L223" s="1100"/>
    </row>
    <row r="224" spans="1:12" hidden="1" x14ac:dyDescent="0.2">
      <c r="A224" s="762"/>
      <c r="D224" s="770"/>
      <c r="E224" s="771"/>
      <c r="F224" s="771"/>
      <c r="G224" s="786"/>
      <c r="H224" s="771"/>
      <c r="I224" s="1070"/>
      <c r="J224" s="1080"/>
      <c r="K224" s="1090"/>
      <c r="L224" s="1100"/>
    </row>
    <row r="225" spans="1:12" hidden="1" x14ac:dyDescent="0.2">
      <c r="A225" s="762"/>
      <c r="D225" s="770"/>
      <c r="E225" s="771"/>
      <c r="F225" s="771"/>
      <c r="G225" s="786"/>
      <c r="H225" s="771"/>
      <c r="I225" s="1070"/>
      <c r="J225" s="1080"/>
      <c r="K225" s="1090"/>
      <c r="L225" s="1100"/>
    </row>
    <row r="226" spans="1:12" hidden="1" x14ac:dyDescent="0.2">
      <c r="A226" s="762"/>
      <c r="D226" s="770"/>
      <c r="E226" s="771"/>
      <c r="F226" s="771"/>
      <c r="G226" s="786"/>
      <c r="H226" s="771"/>
      <c r="I226" s="1070"/>
      <c r="J226" s="1080"/>
      <c r="K226" s="1090"/>
      <c r="L226" s="1100"/>
    </row>
    <row r="227" spans="1:12" hidden="1" x14ac:dyDescent="0.2">
      <c r="A227" s="762"/>
      <c r="D227" s="770"/>
      <c r="E227" s="771"/>
      <c r="F227" s="771"/>
      <c r="G227" s="786"/>
      <c r="H227" s="771"/>
      <c r="I227" s="1070"/>
      <c r="J227" s="1080"/>
      <c r="K227" s="1090"/>
      <c r="L227" s="1100"/>
    </row>
    <row r="228" spans="1:12" hidden="1" x14ac:dyDescent="0.2">
      <c r="A228" s="762"/>
      <c r="D228" s="770"/>
      <c r="E228" s="771"/>
      <c r="F228" s="771"/>
      <c r="G228" s="786"/>
      <c r="H228" s="771"/>
      <c r="I228" s="1070"/>
      <c r="J228" s="1080"/>
      <c r="K228" s="1090"/>
      <c r="L228" s="1100"/>
    </row>
    <row r="229" spans="1:12" hidden="1" x14ac:dyDescent="0.2">
      <c r="A229" s="762"/>
      <c r="D229" s="770"/>
      <c r="E229" s="771"/>
      <c r="F229" s="771"/>
      <c r="G229" s="786"/>
      <c r="H229" s="771"/>
      <c r="I229" s="1070"/>
      <c r="J229" s="1080"/>
      <c r="K229" s="1090"/>
      <c r="L229" s="1100"/>
    </row>
    <row r="230" spans="1:12" hidden="1" x14ac:dyDescent="0.2">
      <c r="A230" s="762"/>
      <c r="D230" s="770"/>
      <c r="E230" s="771"/>
      <c r="F230" s="771"/>
      <c r="G230" s="786"/>
      <c r="H230" s="771"/>
      <c r="I230" s="1070"/>
      <c r="J230" s="1080"/>
      <c r="K230" s="1090"/>
      <c r="L230" s="1100"/>
    </row>
    <row r="231" spans="1:12" hidden="1" x14ac:dyDescent="0.2">
      <c r="A231" s="762"/>
      <c r="D231" s="770"/>
      <c r="E231" s="771"/>
      <c r="F231" s="771"/>
      <c r="G231" s="786"/>
      <c r="H231" s="771"/>
      <c r="I231" s="1070"/>
      <c r="J231" s="1080"/>
      <c r="K231" s="1090"/>
      <c r="L231" s="1100"/>
    </row>
    <row r="232" spans="1:12" hidden="1" x14ac:dyDescent="0.2">
      <c r="A232" s="762"/>
      <c r="D232" s="770"/>
      <c r="E232" s="771"/>
      <c r="F232" s="771"/>
      <c r="G232" s="786"/>
      <c r="H232" s="771"/>
      <c r="I232" s="1070"/>
      <c r="J232" s="1080"/>
      <c r="K232" s="1090"/>
      <c r="L232" s="1100"/>
    </row>
    <row r="233" spans="1:12" hidden="1" x14ac:dyDescent="0.2">
      <c r="A233" s="762"/>
      <c r="D233" s="770"/>
      <c r="E233" s="771"/>
      <c r="F233" s="771"/>
      <c r="G233" s="786"/>
      <c r="H233" s="771"/>
      <c r="I233" s="1070"/>
      <c r="J233" s="1080"/>
      <c r="K233" s="1090"/>
      <c r="L233" s="1100"/>
    </row>
    <row r="234" spans="1:12" hidden="1" x14ac:dyDescent="0.2">
      <c r="A234" s="762"/>
      <c r="D234" s="770"/>
      <c r="E234" s="771"/>
      <c r="F234" s="771"/>
      <c r="G234" s="786"/>
      <c r="H234" s="771"/>
      <c r="I234" s="1070"/>
      <c r="J234" s="1080"/>
      <c r="K234" s="1090"/>
      <c r="L234" s="1100"/>
    </row>
    <row r="235" spans="1:12" hidden="1" x14ac:dyDescent="0.2">
      <c r="A235" s="762"/>
      <c r="D235" s="770"/>
      <c r="E235" s="771"/>
      <c r="F235" s="771"/>
      <c r="G235" s="786"/>
      <c r="H235" s="771"/>
      <c r="I235" s="1070"/>
      <c r="J235" s="1080"/>
      <c r="K235" s="1090"/>
      <c r="L235" s="1100"/>
    </row>
    <row r="236" spans="1:12" hidden="1" x14ac:dyDescent="0.2">
      <c r="A236" s="762"/>
      <c r="D236" s="770"/>
      <c r="E236" s="771"/>
      <c r="F236" s="771"/>
      <c r="G236" s="786"/>
      <c r="H236" s="771"/>
      <c r="I236" s="1070"/>
      <c r="J236" s="1080"/>
      <c r="K236" s="1090"/>
      <c r="L236" s="1100"/>
    </row>
    <row r="237" spans="1:12" hidden="1" x14ac:dyDescent="0.2">
      <c r="A237" s="762"/>
      <c r="D237" s="770"/>
      <c r="E237" s="771"/>
      <c r="F237" s="771"/>
      <c r="G237" s="786"/>
      <c r="H237" s="771"/>
      <c r="I237" s="1070"/>
      <c r="J237" s="1080"/>
      <c r="K237" s="1090"/>
      <c r="L237" s="1100"/>
    </row>
    <row r="238" spans="1:12" hidden="1" x14ac:dyDescent="0.2">
      <c r="A238" s="762"/>
      <c r="D238" s="770"/>
      <c r="E238" s="771"/>
      <c r="F238" s="771"/>
      <c r="G238" s="786"/>
      <c r="H238" s="771"/>
      <c r="I238" s="1070"/>
      <c r="J238" s="1080"/>
      <c r="K238" s="1090"/>
      <c r="L238" s="1100"/>
    </row>
    <row r="239" spans="1:12" hidden="1" x14ac:dyDescent="0.2">
      <c r="A239" s="762"/>
      <c r="D239" s="770"/>
      <c r="E239" s="771"/>
      <c r="F239" s="771"/>
      <c r="G239" s="786"/>
      <c r="H239" s="771"/>
      <c r="I239" s="1070"/>
      <c r="J239" s="1080"/>
      <c r="K239" s="1090"/>
      <c r="L239" s="1100"/>
    </row>
    <row r="240" spans="1:12" hidden="1" x14ac:dyDescent="0.2">
      <c r="A240" s="762"/>
      <c r="D240" s="770"/>
      <c r="E240" s="771"/>
      <c r="F240" s="771"/>
      <c r="G240" s="786"/>
      <c r="H240" s="771"/>
      <c r="I240" s="1070"/>
      <c r="J240" s="1080"/>
      <c r="K240" s="1090"/>
      <c r="L240" s="1100"/>
    </row>
    <row r="241" spans="1:13" hidden="1" x14ac:dyDescent="0.2">
      <c r="A241" s="762"/>
      <c r="D241" s="770"/>
      <c r="E241" s="771"/>
      <c r="F241" s="771"/>
      <c r="G241" s="786"/>
      <c r="H241" s="771"/>
      <c r="I241" s="1070"/>
      <c r="J241" s="1080"/>
      <c r="K241" s="1090"/>
      <c r="L241" s="1100"/>
    </row>
    <row r="242" spans="1:13" hidden="1" x14ac:dyDescent="0.2">
      <c r="A242" s="762"/>
      <c r="D242" s="770"/>
      <c r="E242" s="771"/>
      <c r="F242" s="771"/>
      <c r="G242" s="786"/>
      <c r="H242" s="771"/>
      <c r="I242" s="1070"/>
      <c r="J242" s="1080"/>
      <c r="K242" s="1090"/>
      <c r="L242" s="1100"/>
    </row>
    <row r="243" spans="1:13" hidden="1" x14ac:dyDescent="0.2">
      <c r="A243" s="762"/>
      <c r="D243" s="770"/>
      <c r="E243" s="771"/>
      <c r="F243" s="771"/>
      <c r="G243" s="786"/>
      <c r="H243" s="771"/>
      <c r="I243" s="1070"/>
      <c r="J243" s="1080"/>
      <c r="K243" s="1090"/>
      <c r="L243" s="1100"/>
    </row>
    <row r="244" spans="1:13" hidden="1" x14ac:dyDescent="0.2">
      <c r="A244" s="762"/>
      <c r="D244" s="770"/>
      <c r="E244" s="771"/>
      <c r="F244" s="771"/>
      <c r="G244" s="786"/>
      <c r="H244" s="771"/>
      <c r="I244" s="1070"/>
      <c r="J244" s="1080"/>
      <c r="K244" s="1090"/>
      <c r="L244" s="1100"/>
    </row>
    <row r="245" spans="1:13" hidden="1" x14ac:dyDescent="0.2">
      <c r="A245" s="762"/>
      <c r="D245" s="770"/>
      <c r="E245" s="771"/>
      <c r="F245" s="771"/>
      <c r="G245" s="786"/>
      <c r="H245" s="771"/>
      <c r="I245" s="1070"/>
      <c r="J245" s="1080"/>
      <c r="K245" s="1090"/>
      <c r="L245" s="1100"/>
    </row>
    <row r="246" spans="1:13" hidden="1" x14ac:dyDescent="0.2">
      <c r="A246" s="762"/>
      <c r="D246" s="770"/>
      <c r="E246" s="771"/>
      <c r="F246" s="771"/>
      <c r="G246" s="786"/>
      <c r="H246" s="771"/>
      <c r="I246" s="1070"/>
      <c r="J246" s="1080"/>
      <c r="K246" s="1090"/>
      <c r="L246" s="1100"/>
    </row>
    <row r="247" spans="1:13" hidden="1" x14ac:dyDescent="0.2">
      <c r="A247" s="762"/>
      <c r="D247" s="770"/>
      <c r="E247" s="771"/>
      <c r="F247" s="771"/>
      <c r="G247" s="786"/>
      <c r="H247" s="771"/>
      <c r="I247" s="1070"/>
      <c r="J247" s="1080"/>
      <c r="K247" s="1090"/>
      <c r="L247" s="1100"/>
    </row>
    <row r="248" spans="1:13" hidden="1" x14ac:dyDescent="0.2">
      <c r="A248" s="762"/>
      <c r="D248" s="770"/>
      <c r="E248" s="771"/>
      <c r="F248" s="771"/>
      <c r="G248" s="786"/>
      <c r="H248" s="771"/>
      <c r="I248" s="1070"/>
      <c r="J248" s="1080"/>
      <c r="K248" s="1090"/>
      <c r="L248" s="1100"/>
    </row>
    <row r="249" spans="1:13" hidden="1" x14ac:dyDescent="0.2">
      <c r="A249" s="762"/>
      <c r="D249" s="770"/>
      <c r="E249" s="771"/>
      <c r="F249" s="771"/>
      <c r="G249" s="786"/>
      <c r="H249" s="771"/>
      <c r="I249" s="1070"/>
      <c r="J249" s="1080"/>
      <c r="K249" s="1090"/>
      <c r="L249" s="1100"/>
    </row>
    <row r="250" spans="1:13" hidden="1" x14ac:dyDescent="0.2">
      <c r="A250" s="762"/>
      <c r="D250" s="770"/>
      <c r="E250" s="771"/>
      <c r="F250" s="771"/>
      <c r="G250" s="786"/>
      <c r="H250" s="771"/>
      <c r="I250" s="1070"/>
      <c r="J250" s="1080"/>
      <c r="K250" s="1090"/>
      <c r="L250" s="1100"/>
    </row>
    <row r="251" spans="1:13" hidden="1" x14ac:dyDescent="0.2">
      <c r="A251" s="762"/>
      <c r="D251" s="770"/>
      <c r="E251" s="771"/>
      <c r="F251" s="771"/>
      <c r="G251" s="786"/>
      <c r="H251" s="771"/>
      <c r="I251" s="1070"/>
      <c r="J251" s="1080"/>
      <c r="K251" s="1090"/>
      <c r="L251" s="1100"/>
    </row>
    <row r="252" spans="1:13" hidden="1" x14ac:dyDescent="0.2">
      <c r="A252" s="762"/>
      <c r="D252" s="770"/>
      <c r="E252" s="771"/>
      <c r="F252" s="771"/>
      <c r="G252" s="786"/>
      <c r="H252" s="771"/>
      <c r="I252" s="1070"/>
      <c r="J252" s="1080"/>
      <c r="K252" s="1090"/>
      <c r="L252" s="1100"/>
    </row>
    <row r="253" spans="1:13" hidden="1" x14ac:dyDescent="0.2">
      <c r="A253" s="762"/>
      <c r="D253" s="770"/>
      <c r="E253" s="771"/>
      <c r="F253" s="771"/>
      <c r="G253" s="786"/>
      <c r="H253" s="771"/>
      <c r="I253" s="1070"/>
      <c r="J253" s="1080"/>
      <c r="K253" s="1090"/>
      <c r="L253" s="1100"/>
    </row>
    <row r="254" spans="1:13" hidden="1" x14ac:dyDescent="0.2">
      <c r="A254" s="762"/>
      <c r="D254" s="770"/>
      <c r="E254" s="771"/>
      <c r="F254" s="771"/>
      <c r="G254" s="786"/>
      <c r="H254" s="771"/>
      <c r="I254" s="1070"/>
      <c r="J254" s="1080"/>
      <c r="K254" s="1090"/>
      <c r="L254" s="1100"/>
    </row>
    <row r="255" spans="1:13" hidden="1" x14ac:dyDescent="0.2">
      <c r="A255" s="762"/>
      <c r="D255" s="770"/>
      <c r="E255" s="771"/>
      <c r="F255" s="771"/>
      <c r="G255" s="786"/>
      <c r="H255" s="771"/>
      <c r="I255" s="1070"/>
      <c r="J255" s="1080"/>
      <c r="K255" s="1090"/>
      <c r="L255" s="1100"/>
    </row>
    <row r="256" spans="1:13" x14ac:dyDescent="0.2">
      <c r="A256" s="762"/>
      <c r="C256" s="1374" t="s">
        <v>434</v>
      </c>
      <c r="D256" s="774" t="s">
        <v>120</v>
      </c>
      <c r="E256" s="775">
        <f>E92</f>
        <v>7796025</v>
      </c>
      <c r="F256" s="775">
        <f>F92</f>
        <v>5533302</v>
      </c>
      <c r="G256" s="788">
        <f>F256/E256</f>
        <v>0.70975939661558296</v>
      </c>
      <c r="H256" s="776">
        <f>H92</f>
        <v>7796025</v>
      </c>
      <c r="I256" s="1071">
        <f>I92</f>
        <v>8491839</v>
      </c>
      <c r="J256" s="775">
        <f t="shared" ref="J256:K256" si="80">J92</f>
        <v>0</v>
      </c>
      <c r="K256" s="1091">
        <f t="shared" si="80"/>
        <v>8491839</v>
      </c>
      <c r="L256" s="1101">
        <f>K256/E256</f>
        <v>1.0892524074768872</v>
      </c>
      <c r="M256" s="764"/>
    </row>
    <row r="257" spans="1:13" x14ac:dyDescent="0.2">
      <c r="A257" s="762"/>
      <c r="C257" s="1374" t="s">
        <v>435</v>
      </c>
      <c r="D257" s="774" t="s">
        <v>121</v>
      </c>
      <c r="E257" s="777">
        <f>E93</f>
        <v>1450000</v>
      </c>
      <c r="F257" s="777">
        <f>F93</f>
        <v>791741.05</v>
      </c>
      <c r="G257" s="788">
        <f t="shared" ref="G257:G263" si="81">F257/E257</f>
        <v>0.54602831034482757</v>
      </c>
      <c r="H257" s="778">
        <f>H93</f>
        <v>1055654.73</v>
      </c>
      <c r="I257" s="1072">
        <f>I93</f>
        <v>1450000</v>
      </c>
      <c r="J257" s="777">
        <f t="shared" ref="J257:K257" si="82">J93</f>
        <v>0</v>
      </c>
      <c r="K257" s="1092">
        <f t="shared" si="82"/>
        <v>1450000</v>
      </c>
      <c r="L257" s="1101">
        <f t="shared" ref="L257:L263" si="83">K257/E257</f>
        <v>1</v>
      </c>
      <c r="M257" s="764"/>
    </row>
    <row r="258" spans="1:13" x14ac:dyDescent="0.2">
      <c r="A258" s="762"/>
      <c r="C258" s="1374" t="s">
        <v>436</v>
      </c>
      <c r="D258" s="774" t="s">
        <v>122</v>
      </c>
      <c r="E258" s="779">
        <f>E200+E182+E181+E128+E120+E89+E88+E87+E86+E83+E81+E80+E79+E78+E77+E76+E75+E71+E70+E69+E68+E67+E66+E63+E44+E30+E29+E24+E21+E186+E119+E118+E109</f>
        <v>13086002</v>
      </c>
      <c r="F258" s="779">
        <f t="shared" ref="F258:K258" si="84">F200+F182+F181+F128+F120+F89+F88+F87+F86+F83+F81+F80+F79+F78+F77+F76+F75+F71+F70+F69+F68+F67+F66+F63+F44+F30+F29+F24+F21+F186+F119+F118+F109</f>
        <v>9695106.7400000021</v>
      </c>
      <c r="G258" s="788">
        <f t="shared" si="81"/>
        <v>0.7408761468934516</v>
      </c>
      <c r="H258" s="779">
        <f t="shared" si="84"/>
        <v>12862870.200000001</v>
      </c>
      <c r="I258" s="779">
        <f t="shared" si="84"/>
        <v>13079630</v>
      </c>
      <c r="J258" s="779">
        <f t="shared" si="84"/>
        <v>474546</v>
      </c>
      <c r="K258" s="779">
        <f t="shared" si="84"/>
        <v>13554176</v>
      </c>
      <c r="L258" s="1101">
        <f t="shared" si="83"/>
        <v>1.0357767024642057</v>
      </c>
      <c r="M258" s="765"/>
    </row>
    <row r="259" spans="1:13" x14ac:dyDescent="0.2">
      <c r="A259" s="762"/>
      <c r="C259" s="1374"/>
      <c r="D259" s="774" t="s">
        <v>123</v>
      </c>
      <c r="E259" s="779"/>
      <c r="F259" s="779"/>
      <c r="G259" s="788"/>
      <c r="H259" s="780"/>
      <c r="I259" s="1373"/>
      <c r="J259" s="779"/>
      <c r="K259" s="780"/>
      <c r="L259" s="1101"/>
      <c r="M259" s="765"/>
    </row>
    <row r="260" spans="1:13" x14ac:dyDescent="0.2">
      <c r="A260" s="762"/>
      <c r="C260" s="1374" t="s">
        <v>437</v>
      </c>
      <c r="D260" s="774" t="s">
        <v>304</v>
      </c>
      <c r="E260" s="779">
        <f>E75+E66</f>
        <v>8585660</v>
      </c>
      <c r="F260" s="779">
        <f>F75+F66</f>
        <v>6200919.4900000002</v>
      </c>
      <c r="G260" s="788">
        <f t="shared" si="81"/>
        <v>0.72224144561978931</v>
      </c>
      <c r="H260" s="780">
        <f>H75+H66</f>
        <v>8495190.2599999998</v>
      </c>
      <c r="I260" s="1073">
        <f>I75+I66</f>
        <v>8043960</v>
      </c>
      <c r="J260" s="779">
        <f t="shared" ref="J260:K260" si="85">J75+J66</f>
        <v>298000</v>
      </c>
      <c r="K260" s="1093">
        <f t="shared" si="85"/>
        <v>8341960</v>
      </c>
      <c r="L260" s="1101">
        <f t="shared" si="83"/>
        <v>0.97161546112937158</v>
      </c>
      <c r="M260" s="765"/>
    </row>
    <row r="261" spans="1:13" x14ac:dyDescent="0.2">
      <c r="A261" s="762"/>
      <c r="C261" s="1374" t="s">
        <v>438</v>
      </c>
      <c r="D261" s="774" t="s">
        <v>305</v>
      </c>
      <c r="E261" s="779">
        <f>E96+E98+E106</f>
        <v>16467610</v>
      </c>
      <c r="F261" s="779">
        <f>F96+F98+F106</f>
        <v>13595693</v>
      </c>
      <c r="G261" s="788">
        <f t="shared" si="81"/>
        <v>0.82560207583249789</v>
      </c>
      <c r="H261" s="780">
        <f>H96+H98+H106</f>
        <v>16467610</v>
      </c>
      <c r="I261" s="1073">
        <f>I96+I98+I106</f>
        <v>16537312</v>
      </c>
      <c r="J261" s="779">
        <f t="shared" ref="J261:K261" si="86">J96+J98+J106</f>
        <v>0</v>
      </c>
      <c r="K261" s="1093">
        <f t="shared" si="86"/>
        <v>16537312</v>
      </c>
      <c r="L261" s="1101">
        <f t="shared" si="83"/>
        <v>1.0042326725007453</v>
      </c>
      <c r="M261" s="765"/>
    </row>
    <row r="262" spans="1:13" x14ac:dyDescent="0.2">
      <c r="A262" s="762"/>
      <c r="C262" s="1374" t="s">
        <v>439</v>
      </c>
      <c r="D262" s="774" t="s">
        <v>310</v>
      </c>
      <c r="E262" s="779">
        <f>E193+E178+E177+E174+E173+E170+E167+E164+E162+E159+E158+E155+E154+E150+E147+E138+E125+E124+E115+E112+E103+E56+E54+E48+E40+E14+E13+E160+E140+E131+E113+E52+E50+E190</f>
        <v>9658326.2100000009</v>
      </c>
      <c r="F262" s="779">
        <f t="shared" ref="F262:H262" si="87">F193+F178+F177+F174+F173+F170+F167+F164+F162+F159+F158+F155+F154+F150+F147+F138+F125+F124+F115+F112+F103+F56+F54+F48+F40+F14+F13+F160+F140+F131+F113+F52+F50+F190</f>
        <v>7196428.29</v>
      </c>
      <c r="G262" s="788">
        <f t="shared" si="81"/>
        <v>0.74510097645583662</v>
      </c>
      <c r="H262" s="779">
        <f t="shared" si="87"/>
        <v>9675618.9400000013</v>
      </c>
      <c r="I262" s="779">
        <f t="shared" ref="I262:K262" si="88">I193+I178+I177+I174+I173+I170+I167+I164+I162+I159+I158+I155+I154+I150+I147+I138+I125+I124+I115+I112+I103+I56+I54+I48+I40+I14+I13+I160+I140+I131+I113+I52+I50+I190</f>
        <v>7884348</v>
      </c>
      <c r="J262" s="779">
        <f t="shared" si="88"/>
        <v>288973</v>
      </c>
      <c r="K262" s="779">
        <f t="shared" si="88"/>
        <v>8173321</v>
      </c>
      <c r="L262" s="1101">
        <f t="shared" si="83"/>
        <v>0.84624611162310281</v>
      </c>
      <c r="M262" s="765"/>
    </row>
    <row r="263" spans="1:13" x14ac:dyDescent="0.2">
      <c r="A263" s="763"/>
      <c r="B263" s="761"/>
      <c r="C263" s="1375" t="s">
        <v>440</v>
      </c>
      <c r="D263" s="1312" t="s">
        <v>430</v>
      </c>
      <c r="E263" s="781">
        <f>E202+E201+E196+E195+E189+E187+E184+E183+E171+E169+E165+E156+E152+E151+E143+E137+E136+E134+E132+E130+E129+E126+E123+E122+E121+E116+E111+E110+E102+E101+E100+E90+E84+E73+E72+E64+E60+E59+E45+E43+E41+E37+E36+E35+E32+E31+E26+E25+E12+E11+E9+E149</f>
        <v>1897893.01</v>
      </c>
      <c r="F263" s="781">
        <f>F202+F201+F196+F195+F189+F187+F184+F183+F171+F169+F165+F156+F152+F151+F143+F137+F136+F134+F132+F130+F129+F126+F123+F122+F121+F116+F111+F110+F102+F101+F100+F90+F84+F73+F72+F64+F60+F59+F45+F43+F41+F37+F36+F35+F32+F31+F26+F25+F12+F11+F9+F149+F144</f>
        <v>1293864.2000000002</v>
      </c>
      <c r="G263" s="789">
        <f t="shared" si="81"/>
        <v>0.68173716494166348</v>
      </c>
      <c r="H263" s="781">
        <f t="shared" ref="H263:K263" si="89">H202+H201+H196+H195+H189+H187+H184+H183+H171+H169+H165+H156+H152+H151+H143+H137+H136+H134+H132+H130+H129+H126+H123+H122+H121+H116+H111+H110+H102+H101+H100+H90+H84+H73+H72+H64+H60+H59+H45+H43+H41+H37+H36+H35+H32+H31+H26+H25+H12+H11+H9+H149+H144</f>
        <v>1890011.2000000002</v>
      </c>
      <c r="I263" s="781">
        <f t="shared" si="89"/>
        <v>2481562</v>
      </c>
      <c r="J263" s="781">
        <f t="shared" si="89"/>
        <v>162360</v>
      </c>
      <c r="K263" s="781">
        <f t="shared" si="89"/>
        <v>2643922</v>
      </c>
      <c r="L263" s="1102">
        <f t="shared" si="83"/>
        <v>1.3930827428465</v>
      </c>
      <c r="M263" s="765"/>
    </row>
    <row r="264" spans="1:13" ht="24.75" customHeight="1" x14ac:dyDescent="0.2">
      <c r="A264" s="385"/>
      <c r="B264" s="267"/>
      <c r="C264" s="267"/>
      <c r="D264" s="1313" t="s">
        <v>308</v>
      </c>
      <c r="E264" s="1314">
        <f>E197+E34+E33+E15+E18+E104</f>
        <v>2289515.2200000002</v>
      </c>
      <c r="F264" s="1314">
        <f>F197+F34+F33+F15+F18+F104</f>
        <v>1303300.73</v>
      </c>
      <c r="G264" s="1315">
        <f>F264/E264</f>
        <v>0.56924746278821414</v>
      </c>
      <c r="H264" s="1316">
        <f>H197+H34+H33+H15+H104+H18</f>
        <v>2229862.06</v>
      </c>
      <c r="I264" s="1317">
        <f>I197+I34+I33+I15+I104+I18</f>
        <v>1004500</v>
      </c>
      <c r="J264" s="1314">
        <f t="shared" ref="J264:K264" si="90">J197+J34+J33+J15+J104+J18</f>
        <v>0</v>
      </c>
      <c r="K264" s="1318">
        <f t="shared" si="90"/>
        <v>1004500</v>
      </c>
      <c r="L264" s="1320">
        <f t="shared" ref="L264:L268" si="91">K264/E264</f>
        <v>0.43873916680055958</v>
      </c>
      <c r="M264" s="756"/>
    </row>
    <row r="265" spans="1:13" x14ac:dyDescent="0.2">
      <c r="A265" s="757"/>
      <c r="B265" s="378"/>
      <c r="C265" s="378"/>
      <c r="D265" s="924" t="s">
        <v>306</v>
      </c>
      <c r="E265" s="760"/>
      <c r="F265" s="760"/>
      <c r="G265" s="758"/>
      <c r="H265" s="920"/>
      <c r="I265" s="1074"/>
      <c r="J265" s="760"/>
      <c r="K265" s="1094"/>
      <c r="L265" s="1101"/>
      <c r="M265" s="759"/>
    </row>
    <row r="266" spans="1:13" x14ac:dyDescent="0.2">
      <c r="A266" s="762"/>
      <c r="C266" s="1376" t="s">
        <v>434</v>
      </c>
      <c r="D266" s="925" t="s">
        <v>311</v>
      </c>
      <c r="E266" s="779">
        <f>E34+E18</f>
        <v>1502334</v>
      </c>
      <c r="F266" s="779">
        <f>F34+F18</f>
        <v>518208.71</v>
      </c>
      <c r="G266" s="788">
        <f>F266/E266</f>
        <v>0.34493575330119669</v>
      </c>
      <c r="H266" s="780">
        <f>H34+H18</f>
        <v>1444118.71</v>
      </c>
      <c r="I266" s="1073">
        <f>I34+I18</f>
        <v>1000000</v>
      </c>
      <c r="J266" s="779">
        <f t="shared" ref="J266:K266" si="92">J34+J18</f>
        <v>0</v>
      </c>
      <c r="K266" s="1093">
        <f t="shared" si="92"/>
        <v>1000000</v>
      </c>
      <c r="L266" s="1101">
        <f t="shared" si="91"/>
        <v>0.66563094491637675</v>
      </c>
      <c r="M266" s="919"/>
    </row>
    <row r="267" spans="1:13" ht="24" x14ac:dyDescent="0.2">
      <c r="A267" s="762"/>
      <c r="C267" s="1376" t="s">
        <v>435</v>
      </c>
      <c r="D267" s="926" t="s">
        <v>358</v>
      </c>
      <c r="E267" s="921">
        <v>6000</v>
      </c>
      <c r="F267" s="921">
        <f>F33</f>
        <v>3910.8</v>
      </c>
      <c r="G267" s="922">
        <f t="shared" ref="G267:G268" si="93">F267/E267</f>
        <v>0.65180000000000005</v>
      </c>
      <c r="H267" s="923">
        <f>H33</f>
        <v>4562.13</v>
      </c>
      <c r="I267" s="1075">
        <f>I33</f>
        <v>4500</v>
      </c>
      <c r="J267" s="921">
        <f t="shared" ref="J267:K267" si="94">J33</f>
        <v>0</v>
      </c>
      <c r="K267" s="1095">
        <f t="shared" si="94"/>
        <v>4500</v>
      </c>
      <c r="L267" s="1384">
        <f t="shared" si="91"/>
        <v>0.75</v>
      </c>
      <c r="M267" s="783"/>
    </row>
    <row r="268" spans="1:13" x14ac:dyDescent="0.2">
      <c r="A268" s="763"/>
      <c r="B268" s="761"/>
      <c r="C268" s="1375" t="s">
        <v>436</v>
      </c>
      <c r="D268" s="927" t="s">
        <v>309</v>
      </c>
      <c r="E268" s="781">
        <f>E197+E104+E15</f>
        <v>781181.22</v>
      </c>
      <c r="F268" s="781">
        <f>F197+F104+F15</f>
        <v>781181.22</v>
      </c>
      <c r="G268" s="789">
        <f t="shared" si="93"/>
        <v>1</v>
      </c>
      <c r="H268" s="782">
        <f>H197+H104+H15</f>
        <v>781181.22</v>
      </c>
      <c r="I268" s="1076">
        <f>I197+I104+I15</f>
        <v>0</v>
      </c>
      <c r="J268" s="781">
        <f t="shared" ref="J268:K268" si="95">J197+J104+J15</f>
        <v>0</v>
      </c>
      <c r="K268" s="1096">
        <f t="shared" si="95"/>
        <v>0</v>
      </c>
      <c r="L268" s="1102">
        <f t="shared" si="91"/>
        <v>0</v>
      </c>
      <c r="M268" s="784"/>
    </row>
    <row r="269" spans="1:13" x14ac:dyDescent="0.2">
      <c r="D269" s="770"/>
      <c r="E269" s="772"/>
      <c r="F269" s="771"/>
      <c r="G269" s="771"/>
      <c r="H269" s="771"/>
      <c r="I269" s="772"/>
      <c r="J269" s="772"/>
      <c r="K269" s="772"/>
    </row>
    <row r="270" spans="1:13" x14ac:dyDescent="0.2">
      <c r="F270" s="387"/>
      <c r="H270" s="387"/>
      <c r="I270" s="387"/>
      <c r="J270" s="387"/>
      <c r="K270" s="387"/>
    </row>
    <row r="271" spans="1:13" x14ac:dyDescent="0.2">
      <c r="E271" s="387"/>
      <c r="H271" s="387"/>
      <c r="I271" s="387"/>
      <c r="J271" s="387"/>
      <c r="K271" s="387"/>
    </row>
    <row r="272" spans="1:13" x14ac:dyDescent="0.2">
      <c r="H272" s="387"/>
    </row>
    <row r="273" spans="5:8" x14ac:dyDescent="0.2">
      <c r="E273" s="387"/>
      <c r="H273" s="387"/>
    </row>
    <row r="274" spans="5:8" x14ac:dyDescent="0.2">
      <c r="H274" s="387"/>
    </row>
    <row r="275" spans="5:8" x14ac:dyDescent="0.2">
      <c r="H275" s="387"/>
    </row>
  </sheetData>
  <mergeCells count="50">
    <mergeCell ref="A199:A202"/>
    <mergeCell ref="B201:B202"/>
    <mergeCell ref="A176:A178"/>
    <mergeCell ref="B181:B184"/>
    <mergeCell ref="B186:B187"/>
    <mergeCell ref="A192:A197"/>
    <mergeCell ref="B195:B197"/>
    <mergeCell ref="A180:A190"/>
    <mergeCell ref="B149:B152"/>
    <mergeCell ref="B154:B156"/>
    <mergeCell ref="B164:B165"/>
    <mergeCell ref="B169:B171"/>
    <mergeCell ref="B177:B178"/>
    <mergeCell ref="A108:A140"/>
    <mergeCell ref="B110:B113"/>
    <mergeCell ref="B118:B126"/>
    <mergeCell ref="B129:B132"/>
    <mergeCell ref="B136:B138"/>
    <mergeCell ref="B115:B116"/>
    <mergeCell ref="B100:B104"/>
    <mergeCell ref="A95:A106"/>
    <mergeCell ref="A10:A15"/>
    <mergeCell ref="B11:B15"/>
    <mergeCell ref="A23:A26"/>
    <mergeCell ref="A29:A37"/>
    <mergeCell ref="B29:B37"/>
    <mergeCell ref="A39:A45"/>
    <mergeCell ref="B40:B41"/>
    <mergeCell ref="B43:B45"/>
    <mergeCell ref="A62:A93"/>
    <mergeCell ref="B66:B73"/>
    <mergeCell ref="B75:B84"/>
    <mergeCell ref="B86:B90"/>
    <mergeCell ref="B92:B93"/>
    <mergeCell ref="L209:L210"/>
    <mergeCell ref="F1:L1"/>
    <mergeCell ref="A2:L2"/>
    <mergeCell ref="A17:A18"/>
    <mergeCell ref="A47:A56"/>
    <mergeCell ref="A58:A60"/>
    <mergeCell ref="B58:C58"/>
    <mergeCell ref="B59:B60"/>
    <mergeCell ref="B24:B26"/>
    <mergeCell ref="B63:B64"/>
    <mergeCell ref="A146:A174"/>
    <mergeCell ref="B158:B160"/>
    <mergeCell ref="B173:B174"/>
    <mergeCell ref="A203:D203"/>
    <mergeCell ref="A142:A144"/>
    <mergeCell ref="B143:B144"/>
  </mergeCells>
  <pageMargins left="0.39370078740157483" right="0" top="0.98425196850393704" bottom="0.39370078740157483" header="0.51181102362204722" footer="0.11811023622047245"/>
  <pageSetup paperSize="9" orientation="landscape" r:id="rId1"/>
  <headerFooter alignWithMargins="0"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11"/>
  <sheetViews>
    <sheetView zoomScaleNormal="100" zoomScaleSheetLayoutView="100" workbookViewId="0">
      <pane ySplit="3" topLeftCell="A590" activePane="bottomLeft" state="frozen"/>
      <selection pane="bottomLeft" activeCell="M595" sqref="M595"/>
    </sheetView>
  </sheetViews>
  <sheetFormatPr defaultRowHeight="12.75" x14ac:dyDescent="0.2"/>
  <cols>
    <col min="1" max="1" width="4.85546875" customWidth="1"/>
    <col min="2" max="2" width="6.85546875" customWidth="1"/>
    <col min="3" max="3" width="2.140625" customWidth="1"/>
    <col min="4" max="4" width="5" customWidth="1"/>
    <col min="5" max="5" width="37.42578125" style="1" customWidth="1"/>
    <col min="6" max="6" width="14" customWidth="1"/>
    <col min="7" max="7" width="13.85546875" customWidth="1"/>
    <col min="8" max="8" width="8.28515625" customWidth="1"/>
    <col min="9" max="9" width="14.7109375" customWidth="1"/>
    <col min="10" max="10" width="14.140625" hidden="1" customWidth="1"/>
    <col min="11" max="11" width="15.140625" hidden="1" customWidth="1"/>
    <col min="12" max="12" width="14.140625" customWidth="1"/>
    <col min="13" max="13" width="11.28515625" style="631" customWidth="1"/>
    <col min="14" max="14" width="12.7109375" style="389" hidden="1" customWidth="1"/>
    <col min="15" max="15" width="11" hidden="1" customWidth="1"/>
    <col min="16" max="16" width="11.7109375" hidden="1" customWidth="1"/>
    <col min="17" max="17" width="10.85546875" hidden="1" customWidth="1"/>
    <col min="18" max="19" width="11.7109375" hidden="1" customWidth="1"/>
    <col min="20" max="20" width="11.85546875" hidden="1" customWidth="1"/>
    <col min="21" max="21" width="11.42578125" hidden="1" customWidth="1"/>
    <col min="22" max="22" width="11.85546875" hidden="1" customWidth="1"/>
    <col min="23" max="23" width="10.85546875" hidden="1" customWidth="1"/>
    <col min="24" max="24" width="12" hidden="1" customWidth="1"/>
    <col min="25" max="25" width="10.85546875" hidden="1" customWidth="1"/>
    <col min="26" max="51" width="9.140625" customWidth="1"/>
  </cols>
  <sheetData>
    <row r="1" spans="1:25" ht="33" customHeight="1" x14ac:dyDescent="0.2">
      <c r="G1" s="1386" t="s">
        <v>329</v>
      </c>
      <c r="H1" s="1386"/>
      <c r="I1" s="1386"/>
      <c r="J1" s="1386"/>
      <c r="K1" s="1386"/>
      <c r="L1" s="1386"/>
      <c r="M1" s="1386"/>
    </row>
    <row r="2" spans="1:25" ht="48" customHeight="1" x14ac:dyDescent="0.2">
      <c r="A2" s="1450" t="s">
        <v>328</v>
      </c>
      <c r="B2" s="1450"/>
      <c r="C2" s="1450"/>
      <c r="D2" s="1450"/>
      <c r="E2" s="1450"/>
      <c r="F2" s="1450"/>
      <c r="G2" s="1450"/>
      <c r="H2" s="1450"/>
      <c r="I2" s="1450"/>
      <c r="J2" s="1450"/>
      <c r="K2" s="1450"/>
      <c r="L2" s="1450"/>
      <c r="M2" s="1450"/>
    </row>
    <row r="3" spans="1:25" ht="48.75" x14ac:dyDescent="0.2">
      <c r="A3" s="1011" t="s">
        <v>0</v>
      </c>
      <c r="B3" s="1011" t="s">
        <v>1</v>
      </c>
      <c r="C3" s="1446" t="s">
        <v>2</v>
      </c>
      <c r="D3" s="1447"/>
      <c r="E3" s="3" t="s">
        <v>3</v>
      </c>
      <c r="F3" s="4" t="s">
        <v>339</v>
      </c>
      <c r="G3" s="5" t="s">
        <v>335</v>
      </c>
      <c r="H3" s="390" t="s">
        <v>4</v>
      </c>
      <c r="I3" s="7" t="s">
        <v>340</v>
      </c>
      <c r="J3" s="1026" t="s">
        <v>337</v>
      </c>
      <c r="K3" s="1203" t="s">
        <v>427</v>
      </c>
      <c r="L3" s="8" t="s">
        <v>428</v>
      </c>
      <c r="M3" s="963" t="s">
        <v>341</v>
      </c>
      <c r="N3" s="391" t="s">
        <v>5</v>
      </c>
      <c r="O3" s="392" t="s">
        <v>124</v>
      </c>
      <c r="P3" s="393" t="s">
        <v>125</v>
      </c>
      <c r="Q3" s="394" t="s">
        <v>126</v>
      </c>
      <c r="R3" s="393" t="s">
        <v>127</v>
      </c>
      <c r="S3" s="393" t="s">
        <v>128</v>
      </c>
      <c r="T3" s="394" t="s">
        <v>129</v>
      </c>
      <c r="U3" s="394" t="s">
        <v>130</v>
      </c>
      <c r="V3" s="394" t="s">
        <v>131</v>
      </c>
      <c r="W3" s="394" t="s">
        <v>132</v>
      </c>
      <c r="X3" s="394" t="s">
        <v>133</v>
      </c>
      <c r="Y3" s="394" t="s">
        <v>134</v>
      </c>
    </row>
    <row r="4" spans="1:25" x14ac:dyDescent="0.2">
      <c r="A4" s="395">
        <v>10</v>
      </c>
      <c r="B4" s="11"/>
      <c r="C4" s="11"/>
      <c r="D4" s="12"/>
      <c r="E4" s="13" t="s">
        <v>6</v>
      </c>
      <c r="F4" s="14">
        <f>F5+F8+F10</f>
        <v>601196.91</v>
      </c>
      <c r="G4" s="16">
        <f>G5+G8+G10</f>
        <v>476693.05</v>
      </c>
      <c r="H4" s="15">
        <f t="shared" ref="H4:H85" si="0">G4/F4</f>
        <v>0.79290668676257825</v>
      </c>
      <c r="I4" s="16">
        <f>I5+I8+I10</f>
        <v>592474.37</v>
      </c>
      <c r="J4" s="1106">
        <f>J5+J8+J10</f>
        <v>150027.76999999999</v>
      </c>
      <c r="K4" s="1204">
        <f t="shared" ref="K4:L4" si="1">K5+K8+K10</f>
        <v>-40000</v>
      </c>
      <c r="L4" s="1250">
        <f t="shared" si="1"/>
        <v>110027.76999999999</v>
      </c>
      <c r="M4" s="171">
        <f>L4/F4</f>
        <v>0.18301453013123434</v>
      </c>
      <c r="N4" s="799"/>
      <c r="O4" s="396">
        <f t="shared" ref="O4:X4" si="2">O5+O8+O10</f>
        <v>37027.769999999997</v>
      </c>
      <c r="P4" s="396">
        <f t="shared" si="2"/>
        <v>0</v>
      </c>
      <c r="Q4" s="396">
        <f t="shared" si="2"/>
        <v>1000</v>
      </c>
      <c r="R4" s="396">
        <f t="shared" si="2"/>
        <v>0</v>
      </c>
      <c r="S4" s="396">
        <f t="shared" si="2"/>
        <v>0</v>
      </c>
      <c r="T4" s="396">
        <f t="shared" si="2"/>
        <v>32000</v>
      </c>
      <c r="U4" s="396">
        <f t="shared" si="2"/>
        <v>0</v>
      </c>
      <c r="V4" s="396">
        <f t="shared" si="2"/>
        <v>40000</v>
      </c>
      <c r="W4" s="396">
        <f t="shared" si="2"/>
        <v>0</v>
      </c>
      <c r="X4" s="396">
        <f t="shared" si="2"/>
        <v>0</v>
      </c>
      <c r="Y4" s="396">
        <f t="shared" ref="Y4:Y9" si="3">SUM(O4:X4)</f>
        <v>110027.76999999999</v>
      </c>
    </row>
    <row r="5" spans="1:25" x14ac:dyDescent="0.2">
      <c r="A5" s="23"/>
      <c r="B5" s="43">
        <v>1008</v>
      </c>
      <c r="C5" s="44"/>
      <c r="D5" s="75"/>
      <c r="E5" s="46" t="s">
        <v>135</v>
      </c>
      <c r="F5" s="77">
        <f>F6+F7</f>
        <v>22000</v>
      </c>
      <c r="G5" s="77">
        <f>G6+G7</f>
        <v>0</v>
      </c>
      <c r="H5" s="48">
        <f t="shared" si="0"/>
        <v>0</v>
      </c>
      <c r="I5" s="49">
        <f>I6+I7</f>
        <v>22000</v>
      </c>
      <c r="J5" s="1107">
        <f>J6+J7</f>
        <v>15000</v>
      </c>
      <c r="K5" s="1205">
        <f t="shared" ref="K5:L5" si="4">K6+K7</f>
        <v>0</v>
      </c>
      <c r="L5" s="50">
        <f t="shared" si="4"/>
        <v>15000</v>
      </c>
      <c r="M5" s="78">
        <f t="shared" ref="M5:M66" si="5">L5/F5</f>
        <v>0.68181818181818177</v>
      </c>
      <c r="N5" s="800" t="str">
        <f t="shared" ref="N5" si="6">N6</f>
        <v>WF</v>
      </c>
      <c r="O5" s="397">
        <f>O6+O7</f>
        <v>0</v>
      </c>
      <c r="P5" s="397">
        <f t="shared" ref="P5:V5" si="7">P6+P7</f>
        <v>0</v>
      </c>
      <c r="Q5" s="397">
        <f t="shared" si="7"/>
        <v>0</v>
      </c>
      <c r="R5" s="397">
        <f t="shared" si="7"/>
        <v>0</v>
      </c>
      <c r="S5" s="397">
        <f t="shared" si="7"/>
        <v>0</v>
      </c>
      <c r="T5" s="397">
        <f t="shared" si="7"/>
        <v>15000</v>
      </c>
      <c r="U5" s="397">
        <f t="shared" si="7"/>
        <v>0</v>
      </c>
      <c r="V5" s="397">
        <f t="shared" si="7"/>
        <v>0</v>
      </c>
      <c r="W5" s="397">
        <f>W6+W7</f>
        <v>0</v>
      </c>
      <c r="X5" s="397">
        <f t="shared" ref="X5" si="8">X6+X7</f>
        <v>0</v>
      </c>
      <c r="Y5" s="397">
        <f t="shared" si="3"/>
        <v>15000</v>
      </c>
    </row>
    <row r="6" spans="1:25" ht="45" x14ac:dyDescent="0.2">
      <c r="A6" s="52"/>
      <c r="B6" s="52"/>
      <c r="C6" s="53"/>
      <c r="D6" s="398">
        <v>2830</v>
      </c>
      <c r="E6" s="25" t="s">
        <v>136</v>
      </c>
      <c r="F6" s="55">
        <v>15000</v>
      </c>
      <c r="G6" s="65">
        <v>0</v>
      </c>
      <c r="H6" s="66">
        <f t="shared" si="0"/>
        <v>0</v>
      </c>
      <c r="I6" s="58">
        <v>15000</v>
      </c>
      <c r="J6" s="1108">
        <v>15000</v>
      </c>
      <c r="K6" s="58"/>
      <c r="L6" s="59">
        <f>K6+J6</f>
        <v>15000</v>
      </c>
      <c r="M6" s="280">
        <f t="shared" si="5"/>
        <v>1</v>
      </c>
      <c r="N6" s="399" t="s">
        <v>129</v>
      </c>
      <c r="O6" s="392"/>
      <c r="P6" s="392"/>
      <c r="Q6" s="878"/>
      <c r="R6" s="392"/>
      <c r="S6" s="392"/>
      <c r="T6" s="393">
        <f>J6</f>
        <v>15000</v>
      </c>
      <c r="U6" s="393"/>
      <c r="V6" s="393"/>
      <c r="W6" s="393"/>
      <c r="X6" s="393"/>
      <c r="Y6" s="393">
        <f t="shared" si="3"/>
        <v>15000</v>
      </c>
    </row>
    <row r="7" spans="1:25" x14ac:dyDescent="0.2">
      <c r="A7" s="52"/>
      <c r="B7" s="52"/>
      <c r="C7" s="53"/>
      <c r="D7" s="400">
        <v>4300</v>
      </c>
      <c r="E7" s="81" t="s">
        <v>143</v>
      </c>
      <c r="F7" s="136">
        <v>7000</v>
      </c>
      <c r="G7" s="56">
        <v>0</v>
      </c>
      <c r="H7" s="57">
        <v>0</v>
      </c>
      <c r="I7" s="137">
        <v>7000</v>
      </c>
      <c r="J7" s="1109">
        <v>0</v>
      </c>
      <c r="K7" s="263"/>
      <c r="L7" s="59">
        <f>K7+J7</f>
        <v>0</v>
      </c>
      <c r="M7" s="280">
        <f t="shared" si="5"/>
        <v>0</v>
      </c>
      <c r="N7" s="403"/>
      <c r="O7" s="414"/>
      <c r="P7" s="414"/>
      <c r="Q7" s="929"/>
      <c r="R7" s="414"/>
      <c r="S7" s="414"/>
      <c r="T7" s="929"/>
      <c r="U7" s="930"/>
      <c r="V7" s="930"/>
      <c r="W7" s="930"/>
      <c r="X7" s="930"/>
      <c r="Y7" s="393">
        <f t="shared" si="3"/>
        <v>0</v>
      </c>
    </row>
    <row r="8" spans="1:25" x14ac:dyDescent="0.2">
      <c r="A8" s="52"/>
      <c r="B8" s="43">
        <v>1030</v>
      </c>
      <c r="C8" s="44"/>
      <c r="D8" s="75"/>
      <c r="E8" s="46" t="s">
        <v>137</v>
      </c>
      <c r="F8" s="187">
        <f>F9</f>
        <v>17000</v>
      </c>
      <c r="G8" s="115">
        <f>G9</f>
        <v>9706</v>
      </c>
      <c r="H8" s="114">
        <f t="shared" si="0"/>
        <v>0.57094117647058829</v>
      </c>
      <c r="I8" s="49">
        <f>I9</f>
        <v>13630</v>
      </c>
      <c r="J8" s="1107">
        <f>J9</f>
        <v>17000</v>
      </c>
      <c r="K8" s="1205">
        <f t="shared" ref="K8:L8" si="9">K9</f>
        <v>0</v>
      </c>
      <c r="L8" s="50">
        <f t="shared" si="9"/>
        <v>17000</v>
      </c>
      <c r="M8" s="78">
        <f t="shared" si="5"/>
        <v>1</v>
      </c>
      <c r="N8" s="801"/>
      <c r="O8" s="397">
        <f t="shared" ref="O8:X8" si="10">O9</f>
        <v>0</v>
      </c>
      <c r="P8" s="397">
        <f t="shared" si="10"/>
        <v>0</v>
      </c>
      <c r="Q8" s="397">
        <f t="shared" si="10"/>
        <v>0</v>
      </c>
      <c r="R8" s="397">
        <f t="shared" si="10"/>
        <v>0</v>
      </c>
      <c r="S8" s="397">
        <f t="shared" si="10"/>
        <v>0</v>
      </c>
      <c r="T8" s="397">
        <f t="shared" si="10"/>
        <v>17000</v>
      </c>
      <c r="U8" s="397">
        <f t="shared" si="10"/>
        <v>0</v>
      </c>
      <c r="V8" s="397">
        <f t="shared" si="10"/>
        <v>0</v>
      </c>
      <c r="W8" s="397">
        <f t="shared" si="10"/>
        <v>0</v>
      </c>
      <c r="X8" s="397">
        <f t="shared" si="10"/>
        <v>0</v>
      </c>
      <c r="Y8" s="397">
        <f t="shared" si="3"/>
        <v>17000</v>
      </c>
    </row>
    <row r="9" spans="1:25" ht="22.5" x14ac:dyDescent="0.2">
      <c r="A9" s="52"/>
      <c r="B9" s="52"/>
      <c r="C9" s="53"/>
      <c r="D9" s="398">
        <v>2850</v>
      </c>
      <c r="E9" s="25" t="s">
        <v>138</v>
      </c>
      <c r="F9" s="55">
        <v>17000</v>
      </c>
      <c r="G9" s="56">
        <v>9706</v>
      </c>
      <c r="H9" s="57">
        <f t="shared" si="0"/>
        <v>0.57094117647058829</v>
      </c>
      <c r="I9" s="58">
        <v>13630</v>
      </c>
      <c r="J9" s="1108">
        <v>17000</v>
      </c>
      <c r="K9" s="58"/>
      <c r="L9" s="59">
        <f>J9+K9</f>
        <v>17000</v>
      </c>
      <c r="M9" s="280">
        <f t="shared" si="5"/>
        <v>1</v>
      </c>
      <c r="N9" s="399"/>
      <c r="O9" s="392"/>
      <c r="P9" s="392"/>
      <c r="Q9" s="393"/>
      <c r="R9" s="392"/>
      <c r="S9" s="392"/>
      <c r="T9" s="393">
        <f>J9</f>
        <v>17000</v>
      </c>
      <c r="U9" s="393"/>
      <c r="V9" s="393"/>
      <c r="W9" s="393"/>
      <c r="X9" s="393"/>
      <c r="Y9" s="955">
        <f t="shared" si="3"/>
        <v>17000</v>
      </c>
    </row>
    <row r="10" spans="1:25" x14ac:dyDescent="0.2">
      <c r="A10" s="52"/>
      <c r="B10" s="43">
        <v>1095</v>
      </c>
      <c r="C10" s="44"/>
      <c r="D10" s="75"/>
      <c r="E10" s="46" t="s">
        <v>14</v>
      </c>
      <c r="F10" s="47">
        <f>SUM(F11:F17)</f>
        <v>562196.91</v>
      </c>
      <c r="G10" s="47">
        <f t="shared" ref="G10:I10" si="11">SUM(G11:G17)</f>
        <v>466987.05</v>
      </c>
      <c r="H10" s="176">
        <f t="shared" si="0"/>
        <v>0.83064677463275272</v>
      </c>
      <c r="I10" s="47">
        <f t="shared" si="11"/>
        <v>556844.37</v>
      </c>
      <c r="J10" s="1107">
        <f>SUM(J11:J17)</f>
        <v>118027.76999999999</v>
      </c>
      <c r="K10" s="1205">
        <f t="shared" ref="K10:L10" si="12">SUM(K11:K17)</f>
        <v>-40000</v>
      </c>
      <c r="L10" s="50">
        <f t="shared" si="12"/>
        <v>78027.76999999999</v>
      </c>
      <c r="M10" s="78">
        <f t="shared" si="5"/>
        <v>0.13879081975032553</v>
      </c>
      <c r="N10" s="800"/>
      <c r="O10" s="397">
        <f t="shared" ref="O10:X10" si="13">SUM(O11:O17)</f>
        <v>37027.769999999997</v>
      </c>
      <c r="P10" s="397">
        <f t="shared" si="13"/>
        <v>0</v>
      </c>
      <c r="Q10" s="397">
        <f t="shared" si="13"/>
        <v>1000</v>
      </c>
      <c r="R10" s="397">
        <f t="shared" si="13"/>
        <v>0</v>
      </c>
      <c r="S10" s="397">
        <f t="shared" si="13"/>
        <v>0</v>
      </c>
      <c r="T10" s="397">
        <f t="shared" si="13"/>
        <v>0</v>
      </c>
      <c r="U10" s="397">
        <f t="shared" si="13"/>
        <v>0</v>
      </c>
      <c r="V10" s="397">
        <f t="shared" si="13"/>
        <v>40000</v>
      </c>
      <c r="W10" s="397">
        <f t="shared" si="13"/>
        <v>0</v>
      </c>
      <c r="X10" s="397">
        <f t="shared" si="13"/>
        <v>0</v>
      </c>
      <c r="Y10" s="397">
        <f t="shared" ref="Y10:Y43" si="14">SUM(O10:X10)</f>
        <v>78027.76999999999</v>
      </c>
    </row>
    <row r="11" spans="1:25" x14ac:dyDescent="0.2">
      <c r="A11" s="52"/>
      <c r="B11" s="52"/>
      <c r="C11" s="79"/>
      <c r="D11" s="400">
        <v>4010</v>
      </c>
      <c r="E11" s="81" t="s">
        <v>139</v>
      </c>
      <c r="F11" s="134">
        <v>2960.02</v>
      </c>
      <c r="G11" s="56">
        <v>2960.02</v>
      </c>
      <c r="H11" s="57">
        <f t="shared" si="0"/>
        <v>1</v>
      </c>
      <c r="I11" s="58">
        <v>2960.02</v>
      </c>
      <c r="J11" s="1108">
        <v>0</v>
      </c>
      <c r="K11" s="58"/>
      <c r="L11" s="59">
        <f>J11+K11</f>
        <v>0</v>
      </c>
      <c r="M11" s="280">
        <f t="shared" si="5"/>
        <v>0</v>
      </c>
      <c r="N11" s="399"/>
      <c r="O11" s="392"/>
      <c r="P11" s="392"/>
      <c r="Q11" s="393"/>
      <c r="R11" s="392"/>
      <c r="S11" s="392"/>
      <c r="T11" s="393"/>
      <c r="U11" s="393"/>
      <c r="V11" s="393"/>
      <c r="W11" s="393"/>
      <c r="X11" s="393"/>
      <c r="Y11" s="393">
        <f t="shared" si="14"/>
        <v>0</v>
      </c>
    </row>
    <row r="12" spans="1:25" x14ac:dyDescent="0.2">
      <c r="A12" s="52"/>
      <c r="B12" s="52"/>
      <c r="C12" s="79"/>
      <c r="D12" s="400">
        <v>4110</v>
      </c>
      <c r="E12" s="81" t="s">
        <v>140</v>
      </c>
      <c r="F12" s="144">
        <v>508.83</v>
      </c>
      <c r="G12" s="56">
        <v>508.83</v>
      </c>
      <c r="H12" s="57">
        <f t="shared" si="0"/>
        <v>1</v>
      </c>
      <c r="I12" s="58">
        <v>508.83</v>
      </c>
      <c r="J12" s="1108">
        <v>0</v>
      </c>
      <c r="K12" s="58"/>
      <c r="L12" s="59">
        <f t="shared" ref="L12:L17" si="15">J12+K12</f>
        <v>0</v>
      </c>
      <c r="M12" s="280">
        <f t="shared" si="5"/>
        <v>0</v>
      </c>
      <c r="N12" s="399"/>
      <c r="O12" s="392"/>
      <c r="P12" s="392"/>
      <c r="Q12" s="393"/>
      <c r="R12" s="392"/>
      <c r="S12" s="392"/>
      <c r="T12" s="393"/>
      <c r="U12" s="393"/>
      <c r="V12" s="393"/>
      <c r="W12" s="393"/>
      <c r="X12" s="393"/>
      <c r="Y12" s="393">
        <f t="shared" si="14"/>
        <v>0</v>
      </c>
    </row>
    <row r="13" spans="1:25" x14ac:dyDescent="0.2">
      <c r="A13" s="52"/>
      <c r="B13" s="52"/>
      <c r="C13" s="79"/>
      <c r="D13" s="400">
        <v>4120</v>
      </c>
      <c r="E13" s="81" t="s">
        <v>141</v>
      </c>
      <c r="F13" s="401">
        <v>72.52</v>
      </c>
      <c r="G13" s="56">
        <v>72.52</v>
      </c>
      <c r="H13" s="57">
        <f t="shared" si="0"/>
        <v>1</v>
      </c>
      <c r="I13" s="58">
        <v>72.52</v>
      </c>
      <c r="J13" s="1108">
        <v>0</v>
      </c>
      <c r="K13" s="58"/>
      <c r="L13" s="59">
        <f t="shared" si="15"/>
        <v>0</v>
      </c>
      <c r="M13" s="280">
        <f t="shared" si="5"/>
        <v>0</v>
      </c>
      <c r="N13" s="399"/>
      <c r="O13" s="392"/>
      <c r="P13" s="392"/>
      <c r="Q13" s="393"/>
      <c r="R13" s="392"/>
      <c r="S13" s="392"/>
      <c r="T13" s="393"/>
      <c r="U13" s="393"/>
      <c r="V13" s="393"/>
      <c r="W13" s="393"/>
      <c r="X13" s="393"/>
      <c r="Y13" s="393">
        <f t="shared" si="14"/>
        <v>0</v>
      </c>
    </row>
    <row r="14" spans="1:25" ht="19.5" x14ac:dyDescent="0.2">
      <c r="A14" s="52"/>
      <c r="B14" s="52"/>
      <c r="C14" s="79"/>
      <c r="D14" s="400">
        <v>4210</v>
      </c>
      <c r="E14" s="81" t="s">
        <v>142</v>
      </c>
      <c r="F14" s="134">
        <v>9766.77</v>
      </c>
      <c r="G14" s="56">
        <v>4144.2299999999996</v>
      </c>
      <c r="H14" s="57">
        <f t="shared" si="0"/>
        <v>0.42431940139882474</v>
      </c>
      <c r="I14" s="58">
        <v>4144.2299999999996</v>
      </c>
      <c r="J14" s="1108">
        <v>37027.769999999997</v>
      </c>
      <c r="K14" s="58"/>
      <c r="L14" s="59">
        <f t="shared" si="15"/>
        <v>37027.769999999997</v>
      </c>
      <c r="M14" s="280">
        <f t="shared" si="5"/>
        <v>3.7911991374835279</v>
      </c>
      <c r="N14" s="399" t="s">
        <v>405</v>
      </c>
      <c r="O14" s="392">
        <v>37027.769999999997</v>
      </c>
      <c r="P14" s="392"/>
      <c r="Q14" s="393"/>
      <c r="R14" s="392"/>
      <c r="S14" s="392"/>
      <c r="T14" s="393"/>
      <c r="U14" s="393"/>
      <c r="V14" s="393"/>
      <c r="W14" s="393"/>
      <c r="X14" s="393"/>
      <c r="Y14" s="393">
        <f t="shared" si="14"/>
        <v>37027.769999999997</v>
      </c>
    </row>
    <row r="15" spans="1:25" ht="19.5" x14ac:dyDescent="0.2">
      <c r="A15" s="52"/>
      <c r="B15" s="52"/>
      <c r="C15" s="79"/>
      <c r="D15" s="400">
        <v>4300</v>
      </c>
      <c r="E15" s="81" t="s">
        <v>143</v>
      </c>
      <c r="F15" s="134">
        <v>74256.600000000006</v>
      </c>
      <c r="G15" s="56">
        <v>12191.28</v>
      </c>
      <c r="H15" s="57">
        <f t="shared" si="0"/>
        <v>0.16417772965635377</v>
      </c>
      <c r="I15" s="58">
        <v>74526.600000000006</v>
      </c>
      <c r="J15" s="1108">
        <f>1000+80000</f>
        <v>81000</v>
      </c>
      <c r="K15" s="1206">
        <v>-40000</v>
      </c>
      <c r="L15" s="59">
        <f t="shared" si="15"/>
        <v>41000</v>
      </c>
      <c r="M15" s="280">
        <f t="shared" si="5"/>
        <v>0.55213947312427447</v>
      </c>
      <c r="N15" s="399" t="s">
        <v>423</v>
      </c>
      <c r="O15" s="392"/>
      <c r="P15" s="392"/>
      <c r="Q15" s="393">
        <v>1000</v>
      </c>
      <c r="R15" s="392"/>
      <c r="S15" s="392"/>
      <c r="T15" s="393"/>
      <c r="U15" s="393"/>
      <c r="V15" s="393">
        <v>40000</v>
      </c>
      <c r="W15" s="393"/>
      <c r="X15" s="393"/>
      <c r="Y15" s="393">
        <f t="shared" si="14"/>
        <v>41000</v>
      </c>
    </row>
    <row r="16" spans="1:25" x14ac:dyDescent="0.2">
      <c r="A16" s="52"/>
      <c r="B16" s="52"/>
      <c r="C16" s="79"/>
      <c r="D16" s="400">
        <v>4430</v>
      </c>
      <c r="E16" s="81" t="s">
        <v>145</v>
      </c>
      <c r="F16" s="201">
        <v>447110.17</v>
      </c>
      <c r="G16" s="56">
        <v>447110.17</v>
      </c>
      <c r="H16" s="57">
        <f t="shared" si="0"/>
        <v>1</v>
      </c>
      <c r="I16" s="58">
        <v>447110.17</v>
      </c>
      <c r="J16" s="1108">
        <v>0</v>
      </c>
      <c r="K16" s="58"/>
      <c r="L16" s="59">
        <f t="shared" si="15"/>
        <v>0</v>
      </c>
      <c r="M16" s="280">
        <f t="shared" si="5"/>
        <v>0</v>
      </c>
      <c r="N16" s="399"/>
      <c r="O16" s="392"/>
      <c r="P16" s="392"/>
      <c r="Q16" s="393"/>
      <c r="R16" s="392"/>
      <c r="S16" s="392"/>
      <c r="T16" s="393"/>
      <c r="U16" s="393"/>
      <c r="V16" s="393"/>
      <c r="W16" s="393"/>
      <c r="X16" s="393"/>
      <c r="Y16" s="393">
        <f t="shared" si="14"/>
        <v>0</v>
      </c>
    </row>
    <row r="17" spans="1:25" x14ac:dyDescent="0.2">
      <c r="A17" s="52"/>
      <c r="B17" s="52"/>
      <c r="C17" s="53"/>
      <c r="D17" s="398">
        <v>6050</v>
      </c>
      <c r="E17" s="81" t="s">
        <v>147</v>
      </c>
      <c r="F17" s="64">
        <v>27522</v>
      </c>
      <c r="G17" s="56">
        <v>0</v>
      </c>
      <c r="H17" s="57">
        <f t="shared" si="0"/>
        <v>0</v>
      </c>
      <c r="I17" s="58">
        <v>27522</v>
      </c>
      <c r="J17" s="1109">
        <v>0</v>
      </c>
      <c r="K17" s="263"/>
      <c r="L17" s="59">
        <f t="shared" si="15"/>
        <v>0</v>
      </c>
      <c r="M17" s="280">
        <f t="shared" si="5"/>
        <v>0</v>
      </c>
      <c r="N17" s="403"/>
      <c r="O17" s="392"/>
      <c r="P17" s="392"/>
      <c r="Q17" s="393"/>
      <c r="R17" s="392"/>
      <c r="S17" s="392"/>
      <c r="T17" s="393">
        <v>0</v>
      </c>
      <c r="U17" s="393"/>
      <c r="V17" s="393"/>
      <c r="W17" s="393"/>
      <c r="X17" s="393"/>
      <c r="Y17" s="393">
        <f t="shared" si="14"/>
        <v>0</v>
      </c>
    </row>
    <row r="18" spans="1:25" x14ac:dyDescent="0.2">
      <c r="A18" s="395">
        <v>50</v>
      </c>
      <c r="B18" s="72"/>
      <c r="C18" s="72"/>
      <c r="D18" s="84"/>
      <c r="E18" s="85" t="s">
        <v>19</v>
      </c>
      <c r="F18" s="404">
        <f>F19</f>
        <v>20000</v>
      </c>
      <c r="G18" s="16">
        <f>G19</f>
        <v>4904.7800000000007</v>
      </c>
      <c r="H18" s="1293">
        <f t="shared" si="0"/>
        <v>0.24523900000000004</v>
      </c>
      <c r="I18" s="87">
        <f>I19</f>
        <v>18663.330000000002</v>
      </c>
      <c r="J18" s="1110">
        <f>J19</f>
        <v>20000</v>
      </c>
      <c r="K18" s="1207">
        <f t="shared" ref="K18:L18" si="16">K19</f>
        <v>0</v>
      </c>
      <c r="L18" s="89">
        <f t="shared" si="16"/>
        <v>20000</v>
      </c>
      <c r="M18" s="171">
        <f t="shared" si="5"/>
        <v>1</v>
      </c>
      <c r="N18" s="811"/>
      <c r="O18" s="405">
        <f t="shared" ref="O18:X18" si="17">O19</f>
        <v>0</v>
      </c>
      <c r="P18" s="405">
        <f t="shared" si="17"/>
        <v>0</v>
      </c>
      <c r="Q18" s="405">
        <f t="shared" si="17"/>
        <v>20000</v>
      </c>
      <c r="R18" s="405">
        <f t="shared" si="17"/>
        <v>0</v>
      </c>
      <c r="S18" s="405">
        <f t="shared" si="17"/>
        <v>0</v>
      </c>
      <c r="T18" s="405">
        <f t="shared" si="17"/>
        <v>0</v>
      </c>
      <c r="U18" s="405">
        <f t="shared" si="17"/>
        <v>0</v>
      </c>
      <c r="V18" s="405">
        <f t="shared" si="17"/>
        <v>0</v>
      </c>
      <c r="W18" s="405">
        <f t="shared" si="17"/>
        <v>0</v>
      </c>
      <c r="X18" s="405">
        <f t="shared" si="17"/>
        <v>0</v>
      </c>
      <c r="Y18" s="405">
        <f t="shared" si="14"/>
        <v>20000</v>
      </c>
    </row>
    <row r="19" spans="1:25" x14ac:dyDescent="0.2">
      <c r="A19" s="23"/>
      <c r="B19" s="43">
        <v>5095</v>
      </c>
      <c r="C19" s="44"/>
      <c r="D19" s="75"/>
      <c r="E19" s="46" t="s">
        <v>14</v>
      </c>
      <c r="F19" s="406">
        <f>SUM(F20:F23)</f>
        <v>20000</v>
      </c>
      <c r="G19" s="406">
        <f t="shared" ref="G19:I19" si="18">SUM(G20:G23)</f>
        <v>4904.7800000000007</v>
      </c>
      <c r="H19" s="1179">
        <f t="shared" si="0"/>
        <v>0.24523900000000004</v>
      </c>
      <c r="I19" s="250">
        <f t="shared" si="18"/>
        <v>18663.330000000002</v>
      </c>
      <c r="J19" s="1107">
        <f>SUM(J20:J23)</f>
        <v>20000</v>
      </c>
      <c r="K19" s="1205">
        <f t="shared" ref="K19:L19" si="19">SUM(K20:K23)</f>
        <v>0</v>
      </c>
      <c r="L19" s="50">
        <f t="shared" si="19"/>
        <v>20000</v>
      </c>
      <c r="M19" s="78">
        <f t="shared" si="5"/>
        <v>1</v>
      </c>
      <c r="N19" s="800"/>
      <c r="O19" s="397">
        <f t="shared" ref="O19:X19" si="20">SUM(O20:O23)</f>
        <v>0</v>
      </c>
      <c r="P19" s="397">
        <f t="shared" si="20"/>
        <v>0</v>
      </c>
      <c r="Q19" s="956">
        <f t="shared" si="20"/>
        <v>20000</v>
      </c>
      <c r="R19" s="397">
        <f t="shared" si="20"/>
        <v>0</v>
      </c>
      <c r="S19" s="397">
        <f t="shared" si="20"/>
        <v>0</v>
      </c>
      <c r="T19" s="397">
        <f t="shared" si="20"/>
        <v>0</v>
      </c>
      <c r="U19" s="397">
        <f t="shared" si="20"/>
        <v>0</v>
      </c>
      <c r="V19" s="397">
        <f t="shared" si="20"/>
        <v>0</v>
      </c>
      <c r="W19" s="397">
        <f t="shared" si="20"/>
        <v>0</v>
      </c>
      <c r="X19" s="397">
        <f t="shared" si="20"/>
        <v>0</v>
      </c>
      <c r="Y19" s="397">
        <f t="shared" si="14"/>
        <v>20000</v>
      </c>
    </row>
    <row r="20" spans="1:25" x14ac:dyDescent="0.2">
      <c r="A20" s="23"/>
      <c r="B20" s="407"/>
      <c r="C20" s="408"/>
      <c r="D20" s="409">
        <v>4110</v>
      </c>
      <c r="E20" s="211" t="s">
        <v>140</v>
      </c>
      <c r="F20" s="277">
        <v>520</v>
      </c>
      <c r="G20" s="255">
        <v>322.35000000000002</v>
      </c>
      <c r="H20" s="256">
        <f>G20/F20</f>
        <v>0.61990384615384619</v>
      </c>
      <c r="I20" s="410">
        <v>515.70000000000005</v>
      </c>
      <c r="J20" s="1111">
        <v>520</v>
      </c>
      <c r="K20" s="1208"/>
      <c r="L20" s="411">
        <f>J20+K20</f>
        <v>520</v>
      </c>
      <c r="M20" s="280">
        <f t="shared" si="5"/>
        <v>1</v>
      </c>
      <c r="N20" s="412"/>
      <c r="O20" s="392"/>
      <c r="P20" s="392"/>
      <c r="Q20" s="255">
        <f>J20</f>
        <v>520</v>
      </c>
      <c r="R20" s="414"/>
      <c r="S20" s="414"/>
      <c r="T20" s="393"/>
      <c r="U20" s="393"/>
      <c r="V20" s="393"/>
      <c r="W20" s="393"/>
      <c r="X20" s="393"/>
      <c r="Y20" s="393">
        <f t="shared" si="14"/>
        <v>520</v>
      </c>
    </row>
    <row r="21" spans="1:25" x14ac:dyDescent="0.2">
      <c r="A21" s="52"/>
      <c r="B21" s="52"/>
      <c r="C21" s="79"/>
      <c r="D21" s="400">
        <v>4170</v>
      </c>
      <c r="E21" s="81" t="s">
        <v>148</v>
      </c>
      <c r="F21" s="415">
        <v>3000</v>
      </c>
      <c r="G21" s="100">
        <v>2155.8200000000002</v>
      </c>
      <c r="H21" s="101">
        <f t="shared" si="0"/>
        <v>0.71860666666666673</v>
      </c>
      <c r="I21" s="58">
        <v>3000</v>
      </c>
      <c r="J21" s="1108">
        <v>3000</v>
      </c>
      <c r="K21" s="58"/>
      <c r="L21" s="258">
        <f t="shared" ref="L21:L23" si="21">J21+K21</f>
        <v>3000</v>
      </c>
      <c r="M21" s="280">
        <f t="shared" si="5"/>
        <v>1</v>
      </c>
      <c r="N21" s="399"/>
      <c r="O21" s="392"/>
      <c r="P21" s="392"/>
      <c r="Q21" s="255">
        <f t="shared" ref="Q21:Q23" si="22">J21</f>
        <v>3000</v>
      </c>
      <c r="R21" s="392"/>
      <c r="S21" s="392"/>
      <c r="T21" s="393"/>
      <c r="U21" s="393"/>
      <c r="V21" s="393"/>
      <c r="W21" s="393"/>
      <c r="X21" s="393"/>
      <c r="Y21" s="393">
        <f t="shared" si="14"/>
        <v>3000</v>
      </c>
    </row>
    <row r="22" spans="1:25" x14ac:dyDescent="0.2">
      <c r="A22" s="52"/>
      <c r="B22" s="52"/>
      <c r="C22" s="203"/>
      <c r="D22" s="402">
        <v>4210</v>
      </c>
      <c r="E22" s="119" t="s">
        <v>142</v>
      </c>
      <c r="F22" s="120">
        <v>14000</v>
      </c>
      <c r="G22" s="56">
        <v>1565.89</v>
      </c>
      <c r="H22" s="57">
        <f t="shared" si="0"/>
        <v>0.11184928571428572</v>
      </c>
      <c r="I22" s="58">
        <v>14000</v>
      </c>
      <c r="J22" s="1108">
        <v>14000</v>
      </c>
      <c r="K22" s="58"/>
      <c r="L22" s="258">
        <f t="shared" si="21"/>
        <v>14000</v>
      </c>
      <c r="M22" s="280">
        <f t="shared" si="5"/>
        <v>1</v>
      </c>
      <c r="N22" s="399"/>
      <c r="O22" s="392"/>
      <c r="P22" s="392"/>
      <c r="Q22" s="255">
        <f t="shared" si="22"/>
        <v>14000</v>
      </c>
      <c r="R22" s="392"/>
      <c r="S22" s="392"/>
      <c r="T22" s="393"/>
      <c r="U22" s="393"/>
      <c r="V22" s="393"/>
      <c r="W22" s="393"/>
      <c r="X22" s="393"/>
      <c r="Y22" s="393">
        <f t="shared" si="14"/>
        <v>14000</v>
      </c>
    </row>
    <row r="23" spans="1:25" x14ac:dyDescent="0.2">
      <c r="A23" s="52"/>
      <c r="B23" s="52"/>
      <c r="C23" s="240"/>
      <c r="D23" s="446">
        <v>4260</v>
      </c>
      <c r="E23" s="199" t="s">
        <v>149</v>
      </c>
      <c r="F23" s="415">
        <v>2480</v>
      </c>
      <c r="G23" s="100">
        <v>860.72</v>
      </c>
      <c r="H23" s="101">
        <f t="shared" si="0"/>
        <v>0.34706451612903227</v>
      </c>
      <c r="I23" s="102">
        <v>1147.6300000000001</v>
      </c>
      <c r="J23" s="1112">
        <v>2480</v>
      </c>
      <c r="K23" s="263"/>
      <c r="L23" s="258">
        <f t="shared" si="21"/>
        <v>2480</v>
      </c>
      <c r="M23" s="280">
        <f t="shared" si="5"/>
        <v>1</v>
      </c>
      <c r="N23" s="399"/>
      <c r="O23" s="392"/>
      <c r="P23" s="392"/>
      <c r="Q23" s="255">
        <f t="shared" si="22"/>
        <v>2480</v>
      </c>
      <c r="R23" s="392"/>
      <c r="S23" s="392"/>
      <c r="T23" s="393"/>
      <c r="U23" s="393"/>
      <c r="V23" s="393"/>
      <c r="W23" s="393"/>
      <c r="X23" s="393"/>
      <c r="Y23" s="393">
        <f t="shared" si="14"/>
        <v>2480</v>
      </c>
    </row>
    <row r="24" spans="1:25" x14ac:dyDescent="0.2">
      <c r="A24" s="416">
        <v>600</v>
      </c>
      <c r="B24" s="104"/>
      <c r="C24" s="104"/>
      <c r="D24" s="145"/>
      <c r="E24" s="146" t="s">
        <v>21</v>
      </c>
      <c r="F24" s="588">
        <f>F32+F25+F30+F28</f>
        <v>2181380</v>
      </c>
      <c r="G24" s="588">
        <f>G32+G25+G30+G28</f>
        <v>911430.46</v>
      </c>
      <c r="H24" s="148">
        <f t="shared" si="0"/>
        <v>0.41782287359378006</v>
      </c>
      <c r="I24" s="588">
        <f>I32+I25+I30+I28</f>
        <v>2093357.2799999998</v>
      </c>
      <c r="J24" s="1113">
        <f>J32+J25+J30+J29</f>
        <v>4280513.78</v>
      </c>
      <c r="K24" s="1209">
        <f t="shared" ref="K24:L24" si="23">K32+K25+K30+K29</f>
        <v>-270000</v>
      </c>
      <c r="L24" s="286">
        <f t="shared" si="23"/>
        <v>4010513.7800000003</v>
      </c>
      <c r="M24" s="171">
        <f t="shared" si="5"/>
        <v>1.8385213855449305</v>
      </c>
      <c r="N24" s="812"/>
      <c r="O24" s="417">
        <f t="shared" ref="O24:Y24" si="24">O32+O25+O30+O28</f>
        <v>27993.78</v>
      </c>
      <c r="P24" s="417">
        <f t="shared" si="24"/>
        <v>0</v>
      </c>
      <c r="Q24" s="417">
        <f t="shared" si="24"/>
        <v>6000</v>
      </c>
      <c r="R24" s="417">
        <f t="shared" si="24"/>
        <v>0</v>
      </c>
      <c r="S24" s="417">
        <f t="shared" si="24"/>
        <v>0</v>
      </c>
      <c r="T24" s="417">
        <f t="shared" si="24"/>
        <v>900000</v>
      </c>
      <c r="U24" s="417">
        <f t="shared" si="24"/>
        <v>0</v>
      </c>
      <c r="V24" s="417">
        <f t="shared" si="24"/>
        <v>3076520</v>
      </c>
      <c r="W24" s="417">
        <f t="shared" si="24"/>
        <v>0</v>
      </c>
      <c r="X24" s="417">
        <f t="shared" si="24"/>
        <v>0</v>
      </c>
      <c r="Y24" s="417">
        <f t="shared" si="24"/>
        <v>4010513.78</v>
      </c>
    </row>
    <row r="25" spans="1:25" x14ac:dyDescent="0.2">
      <c r="A25" s="418"/>
      <c r="B25" s="821">
        <v>60004</v>
      </c>
      <c r="C25" s="449"/>
      <c r="D25" s="205"/>
      <c r="E25" s="427" t="s">
        <v>150</v>
      </c>
      <c r="F25" s="428">
        <f>SUM(F26:F27)</f>
        <v>270000</v>
      </c>
      <c r="G25" s="428">
        <f t="shared" ref="G25:I25" si="25">SUM(G26:G27)</f>
        <v>157088.49</v>
      </c>
      <c r="H25" s="1177">
        <f t="shared" si="0"/>
        <v>0.5818092222222222</v>
      </c>
      <c r="I25" s="428">
        <f t="shared" si="25"/>
        <v>235101.88</v>
      </c>
      <c r="J25" s="1114">
        <f>SUM(J26:J27)</f>
        <v>340000</v>
      </c>
      <c r="K25" s="1210">
        <f t="shared" ref="K25:L25" si="26">SUM(K26:K27)</f>
        <v>-20000</v>
      </c>
      <c r="L25" s="1251">
        <f t="shared" si="26"/>
        <v>320000</v>
      </c>
      <c r="M25" s="78">
        <f t="shared" si="5"/>
        <v>1.1851851851851851</v>
      </c>
      <c r="N25" s="813"/>
      <c r="O25" s="419">
        <f t="shared" ref="O25:X25" si="27">SUM(O26:O27)</f>
        <v>0</v>
      </c>
      <c r="P25" s="419">
        <f t="shared" si="27"/>
        <v>0</v>
      </c>
      <c r="Q25" s="419">
        <f t="shared" si="27"/>
        <v>0</v>
      </c>
      <c r="R25" s="419">
        <f t="shared" si="27"/>
        <v>0</v>
      </c>
      <c r="S25" s="419">
        <f t="shared" si="27"/>
        <v>0</v>
      </c>
      <c r="T25" s="419">
        <f t="shared" si="27"/>
        <v>0</v>
      </c>
      <c r="U25" s="419">
        <f t="shared" si="27"/>
        <v>0</v>
      </c>
      <c r="V25" s="419">
        <f t="shared" si="27"/>
        <v>320000</v>
      </c>
      <c r="W25" s="419">
        <f t="shared" si="27"/>
        <v>0</v>
      </c>
      <c r="X25" s="419">
        <f t="shared" si="27"/>
        <v>0</v>
      </c>
      <c r="Y25" s="419">
        <f t="shared" si="14"/>
        <v>320000</v>
      </c>
    </row>
    <row r="26" spans="1:25" ht="33.75" x14ac:dyDescent="0.2">
      <c r="A26" s="418"/>
      <c r="B26" s="420"/>
      <c r="C26" s="608"/>
      <c r="D26" s="1292">
        <v>2310</v>
      </c>
      <c r="E26" s="421" t="s">
        <v>151</v>
      </c>
      <c r="F26" s="1290">
        <v>220000</v>
      </c>
      <c r="G26" s="1290">
        <v>139530</v>
      </c>
      <c r="H26" s="435">
        <f>G26/F26</f>
        <v>0.63422727272727275</v>
      </c>
      <c r="I26" s="1290">
        <v>197525.19</v>
      </c>
      <c r="J26" s="1115">
        <v>220000</v>
      </c>
      <c r="K26" s="1211"/>
      <c r="L26" s="1252">
        <f>J26+K26</f>
        <v>220000</v>
      </c>
      <c r="M26" s="280">
        <f t="shared" si="5"/>
        <v>1</v>
      </c>
      <c r="N26" s="422" t="s">
        <v>131</v>
      </c>
      <c r="O26" s="392"/>
      <c r="P26" s="392"/>
      <c r="Q26" s="393"/>
      <c r="R26" s="392"/>
      <c r="S26" s="392"/>
      <c r="T26" s="393"/>
      <c r="U26" s="393"/>
      <c r="V26" s="393">
        <f>J26</f>
        <v>220000</v>
      </c>
      <c r="W26" s="393"/>
      <c r="X26" s="393"/>
      <c r="Y26" s="393">
        <f t="shared" si="14"/>
        <v>220000</v>
      </c>
    </row>
    <row r="27" spans="1:25" x14ac:dyDescent="0.2">
      <c r="A27" s="418"/>
      <c r="B27" s="423"/>
      <c r="C27" s="423"/>
      <c r="D27" s="602">
        <v>4300</v>
      </c>
      <c r="E27" s="122" t="s">
        <v>143</v>
      </c>
      <c r="F27" s="1290">
        <v>50000</v>
      </c>
      <c r="G27" s="1290">
        <v>17558.490000000002</v>
      </c>
      <c r="H27" s="435">
        <f>G27/F27</f>
        <v>0.35116980000000003</v>
      </c>
      <c r="I27" s="1290">
        <v>37576.69</v>
      </c>
      <c r="J27" s="1116">
        <v>120000</v>
      </c>
      <c r="K27" s="1212">
        <v>-20000</v>
      </c>
      <c r="L27" s="1291">
        <f>J27+K27</f>
        <v>100000</v>
      </c>
      <c r="M27" s="259">
        <f t="shared" si="5"/>
        <v>2</v>
      </c>
      <c r="N27" s="424"/>
      <c r="O27" s="392"/>
      <c r="P27" s="392"/>
      <c r="Q27" s="393"/>
      <c r="R27" s="392"/>
      <c r="S27" s="392"/>
      <c r="T27" s="393"/>
      <c r="U27" s="393"/>
      <c r="V27" s="393">
        <v>100000</v>
      </c>
      <c r="W27" s="393"/>
      <c r="X27" s="393"/>
      <c r="Y27" s="393">
        <f t="shared" si="14"/>
        <v>100000</v>
      </c>
    </row>
    <row r="28" spans="1:25" x14ac:dyDescent="0.2">
      <c r="A28" s="418"/>
      <c r="B28" s="425">
        <v>60013</v>
      </c>
      <c r="C28" s="426"/>
      <c r="D28" s="152"/>
      <c r="E28" s="427" t="s">
        <v>314</v>
      </c>
      <c r="F28" s="428">
        <f>F29</f>
        <v>200000</v>
      </c>
      <c r="G28" s="428">
        <f>G29</f>
        <v>200000</v>
      </c>
      <c r="H28" s="429">
        <f>G28/F28</f>
        <v>1</v>
      </c>
      <c r="I28" s="430">
        <f>I29</f>
        <v>200000</v>
      </c>
      <c r="J28" s="1117">
        <f>J29</f>
        <v>0</v>
      </c>
      <c r="K28" s="1213">
        <f t="shared" ref="K28:L28" si="28">K29</f>
        <v>0</v>
      </c>
      <c r="L28" s="1253">
        <f t="shared" si="28"/>
        <v>0</v>
      </c>
      <c r="M28" s="78">
        <f t="shared" si="5"/>
        <v>0</v>
      </c>
      <c r="N28" s="814"/>
      <c r="O28" s="431">
        <f>O29</f>
        <v>0</v>
      </c>
      <c r="P28" s="431">
        <f t="shared" ref="P28:Y28" si="29">P29</f>
        <v>0</v>
      </c>
      <c r="Q28" s="431">
        <f t="shared" si="29"/>
        <v>0</v>
      </c>
      <c r="R28" s="431">
        <f t="shared" si="29"/>
        <v>0</v>
      </c>
      <c r="S28" s="431">
        <f t="shared" si="29"/>
        <v>0</v>
      </c>
      <c r="T28" s="431">
        <f t="shared" si="29"/>
        <v>0</v>
      </c>
      <c r="U28" s="431">
        <f t="shared" si="29"/>
        <v>0</v>
      </c>
      <c r="V28" s="431">
        <f t="shared" si="29"/>
        <v>0</v>
      </c>
      <c r="W28" s="431">
        <f t="shared" si="29"/>
        <v>0</v>
      </c>
      <c r="X28" s="431">
        <f t="shared" si="29"/>
        <v>0</v>
      </c>
      <c r="Y28" s="431">
        <f t="shared" si="29"/>
        <v>0</v>
      </c>
    </row>
    <row r="29" spans="1:25" ht="45" x14ac:dyDescent="0.2">
      <c r="A29" s="418"/>
      <c r="B29" s="900"/>
      <c r="C29" s="312"/>
      <c r="D29" s="437">
        <v>6300</v>
      </c>
      <c r="E29" s="433" t="s">
        <v>153</v>
      </c>
      <c r="F29" s="438">
        <v>200000</v>
      </c>
      <c r="G29" s="439">
        <v>200000</v>
      </c>
      <c r="H29" s="440">
        <f>G29/F29</f>
        <v>1</v>
      </c>
      <c r="I29" s="439">
        <v>200000</v>
      </c>
      <c r="J29" s="1118">
        <v>0</v>
      </c>
      <c r="K29" s="1214"/>
      <c r="L29" s="1254">
        <f>J29+K29</f>
        <v>0</v>
      </c>
      <c r="M29" s="280">
        <f t="shared" si="5"/>
        <v>0</v>
      </c>
      <c r="N29" s="436"/>
      <c r="O29" s="392"/>
      <c r="P29" s="392"/>
      <c r="Q29" s="393"/>
      <c r="R29" s="392"/>
      <c r="S29" s="392"/>
      <c r="T29" s="393"/>
      <c r="U29" s="393"/>
      <c r="V29" s="393"/>
      <c r="W29" s="393"/>
      <c r="X29" s="393"/>
      <c r="Y29" s="393">
        <f t="shared" ref="Y29" si="30">SUM(O29:X29)</f>
        <v>0</v>
      </c>
    </row>
    <row r="30" spans="1:25" x14ac:dyDescent="0.2">
      <c r="A30" s="418"/>
      <c r="B30" s="425">
        <v>60014</v>
      </c>
      <c r="C30" s="426"/>
      <c r="D30" s="152"/>
      <c r="E30" s="427" t="s">
        <v>152</v>
      </c>
      <c r="F30" s="428">
        <f>F31</f>
        <v>205800</v>
      </c>
      <c r="G30" s="428">
        <f>G31</f>
        <v>0</v>
      </c>
      <c r="H30" s="429">
        <f t="shared" si="0"/>
        <v>0</v>
      </c>
      <c r="I30" s="430">
        <f>I31</f>
        <v>205800</v>
      </c>
      <c r="J30" s="1117">
        <f>J31</f>
        <v>900000</v>
      </c>
      <c r="K30" s="1213">
        <f t="shared" ref="K30:L30" si="31">K31</f>
        <v>0</v>
      </c>
      <c r="L30" s="1253">
        <f t="shared" si="31"/>
        <v>900000</v>
      </c>
      <c r="M30" s="78">
        <f t="shared" si="5"/>
        <v>4.3731778425655978</v>
      </c>
      <c r="N30" s="951"/>
      <c r="O30" s="431">
        <f>O31</f>
        <v>0</v>
      </c>
      <c r="P30" s="431">
        <f t="shared" ref="P30:W30" si="32">P31</f>
        <v>0</v>
      </c>
      <c r="Q30" s="431">
        <f t="shared" si="32"/>
        <v>0</v>
      </c>
      <c r="R30" s="431">
        <f t="shared" si="32"/>
        <v>0</v>
      </c>
      <c r="S30" s="431">
        <f t="shared" si="32"/>
        <v>0</v>
      </c>
      <c r="T30" s="431">
        <f t="shared" si="32"/>
        <v>900000</v>
      </c>
      <c r="U30" s="431">
        <f t="shared" si="32"/>
        <v>0</v>
      </c>
      <c r="V30" s="431">
        <f t="shared" si="32"/>
        <v>0</v>
      </c>
      <c r="W30" s="431">
        <f t="shared" si="32"/>
        <v>0</v>
      </c>
      <c r="X30" s="431">
        <f>X31</f>
        <v>0</v>
      </c>
      <c r="Y30" s="431">
        <f t="shared" si="14"/>
        <v>900000</v>
      </c>
    </row>
    <row r="31" spans="1:25" ht="45" x14ac:dyDescent="0.2">
      <c r="A31" s="418"/>
      <c r="B31" s="900"/>
      <c r="C31" s="312"/>
      <c r="D31" s="437">
        <v>6300</v>
      </c>
      <c r="E31" s="433" t="s">
        <v>153</v>
      </c>
      <c r="F31" s="438">
        <v>205800</v>
      </c>
      <c r="G31" s="439">
        <v>0</v>
      </c>
      <c r="H31" s="440">
        <f t="shared" si="0"/>
        <v>0</v>
      </c>
      <c r="I31" s="439">
        <v>205800</v>
      </c>
      <c r="J31" s="1118">
        <v>900000</v>
      </c>
      <c r="K31" s="1214"/>
      <c r="L31" s="1254">
        <f>J31+K31</f>
        <v>900000</v>
      </c>
      <c r="M31" s="280">
        <f t="shared" si="5"/>
        <v>4.3731778425655978</v>
      </c>
      <c r="N31" s="436" t="s">
        <v>376</v>
      </c>
      <c r="O31" s="392"/>
      <c r="P31" s="392"/>
      <c r="Q31" s="393"/>
      <c r="R31" s="392"/>
      <c r="S31" s="392"/>
      <c r="T31" s="393">
        <f>J31</f>
        <v>900000</v>
      </c>
      <c r="U31" s="393"/>
      <c r="V31" s="393"/>
      <c r="W31" s="393"/>
      <c r="X31" s="393"/>
      <c r="Y31" s="393">
        <f t="shared" si="14"/>
        <v>900000</v>
      </c>
    </row>
    <row r="32" spans="1:25" x14ac:dyDescent="0.2">
      <c r="A32" s="23"/>
      <c r="B32" s="111">
        <v>60016</v>
      </c>
      <c r="C32" s="186"/>
      <c r="D32" s="45"/>
      <c r="E32" s="441" t="s">
        <v>22</v>
      </c>
      <c r="F32" s="442">
        <f>SUM(F33:F41)</f>
        <v>1505580</v>
      </c>
      <c r="G32" s="442">
        <f t="shared" ref="G32:I32" si="33">SUM(G33:G41)</f>
        <v>554341.97</v>
      </c>
      <c r="H32" s="953">
        <f t="shared" si="0"/>
        <v>0.36819164043093028</v>
      </c>
      <c r="I32" s="1186">
        <f t="shared" si="33"/>
        <v>1452455.4</v>
      </c>
      <c r="J32" s="1119">
        <f>SUM(J33:J41)</f>
        <v>3040513.7800000003</v>
      </c>
      <c r="K32" s="1215">
        <f t="shared" ref="K32:L32" si="34">SUM(K33:K41)</f>
        <v>-250000</v>
      </c>
      <c r="L32" s="350">
        <f t="shared" si="34"/>
        <v>2790513.7800000003</v>
      </c>
      <c r="M32" s="78">
        <f t="shared" si="5"/>
        <v>1.8534476945761769</v>
      </c>
      <c r="N32" s="802"/>
      <c r="O32" s="450">
        <f>SUM(O36:O40)</f>
        <v>27993.78</v>
      </c>
      <c r="P32" s="450">
        <f>SUM(P36:P40)</f>
        <v>0</v>
      </c>
      <c r="Q32" s="450">
        <f>SUM(Q36:Q40)</f>
        <v>6000</v>
      </c>
      <c r="R32" s="450"/>
      <c r="S32" s="450"/>
      <c r="T32" s="450">
        <f>SUM(T36:T40)</f>
        <v>0</v>
      </c>
      <c r="U32" s="450">
        <f>SUM(U36:U40)</f>
        <v>0</v>
      </c>
      <c r="V32" s="450">
        <f>SUM(V36:V40)</f>
        <v>2756520</v>
      </c>
      <c r="W32" s="450">
        <f>SUM(W36:W40)</f>
        <v>0</v>
      </c>
      <c r="X32" s="450">
        <f>SUM(X36:X40)</f>
        <v>0</v>
      </c>
      <c r="Y32" s="450">
        <f t="shared" si="14"/>
        <v>2790513.78</v>
      </c>
    </row>
    <row r="33" spans="1:25" s="586" customFormat="1" x14ac:dyDescent="0.2">
      <c r="A33" s="23"/>
      <c r="B33" s="274"/>
      <c r="C33" s="546"/>
      <c r="D33" s="400">
        <v>4110</v>
      </c>
      <c r="E33" s="81" t="s">
        <v>140</v>
      </c>
      <c r="F33" s="254">
        <v>207</v>
      </c>
      <c r="G33" s="464">
        <v>0</v>
      </c>
      <c r="H33" s="595">
        <v>0</v>
      </c>
      <c r="I33" s="353">
        <v>206.28</v>
      </c>
      <c r="J33" s="1120">
        <v>0</v>
      </c>
      <c r="K33" s="353"/>
      <c r="L33" s="258">
        <f>J33+K33</f>
        <v>0</v>
      </c>
      <c r="M33" s="280">
        <f t="shared" si="5"/>
        <v>0</v>
      </c>
      <c r="N33" s="802"/>
      <c r="O33" s="255"/>
      <c r="P33" s="255"/>
      <c r="Q33" s="255"/>
      <c r="R33" s="255"/>
      <c r="S33" s="255"/>
      <c r="T33" s="255"/>
      <c r="U33" s="255"/>
      <c r="V33" s="255"/>
      <c r="W33" s="255"/>
      <c r="X33" s="255"/>
      <c r="Y33" s="255">
        <f>SUM(O33:X33)</f>
        <v>0</v>
      </c>
    </row>
    <row r="34" spans="1:25" s="586" customFormat="1" x14ac:dyDescent="0.2">
      <c r="A34" s="23"/>
      <c r="B34" s="274"/>
      <c r="C34" s="546"/>
      <c r="D34" s="400">
        <v>4120</v>
      </c>
      <c r="E34" s="81" t="s">
        <v>141</v>
      </c>
      <c r="F34" s="254">
        <v>30</v>
      </c>
      <c r="G34" s="464">
        <v>0</v>
      </c>
      <c r="H34" s="595">
        <v>0</v>
      </c>
      <c r="I34" s="353">
        <v>29.4</v>
      </c>
      <c r="J34" s="1120">
        <v>0</v>
      </c>
      <c r="K34" s="353"/>
      <c r="L34" s="258">
        <f t="shared" ref="L34:L41" si="35">J34+K34</f>
        <v>0</v>
      </c>
      <c r="M34" s="280">
        <f t="shared" si="5"/>
        <v>0</v>
      </c>
      <c r="N34" s="802"/>
      <c r="O34" s="255"/>
      <c r="P34" s="255"/>
      <c r="Q34" s="255"/>
      <c r="R34" s="255"/>
      <c r="S34" s="255"/>
      <c r="T34" s="255"/>
      <c r="U34" s="255"/>
      <c r="V34" s="255"/>
      <c r="W34" s="255"/>
      <c r="X34" s="255"/>
      <c r="Y34" s="255">
        <f t="shared" ref="Y34:Y35" si="36">SUM(O34:X34)</f>
        <v>0</v>
      </c>
    </row>
    <row r="35" spans="1:25" s="586" customFormat="1" x14ac:dyDescent="0.2">
      <c r="A35" s="23"/>
      <c r="B35" s="274"/>
      <c r="C35" s="546"/>
      <c r="D35" s="400">
        <v>4170</v>
      </c>
      <c r="E35" s="81" t="s">
        <v>148</v>
      </c>
      <c r="F35" s="254">
        <v>1200</v>
      </c>
      <c r="G35" s="464">
        <v>0</v>
      </c>
      <c r="H35" s="595">
        <v>0</v>
      </c>
      <c r="I35" s="353">
        <v>1200</v>
      </c>
      <c r="J35" s="1120">
        <v>0</v>
      </c>
      <c r="K35" s="353"/>
      <c r="L35" s="258">
        <f t="shared" si="35"/>
        <v>0</v>
      </c>
      <c r="M35" s="280">
        <f t="shared" si="5"/>
        <v>0</v>
      </c>
      <c r="N35" s="802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>
        <f t="shared" si="36"/>
        <v>0</v>
      </c>
    </row>
    <row r="36" spans="1:25" ht="39" x14ac:dyDescent="0.2">
      <c r="A36" s="52"/>
      <c r="B36" s="52"/>
      <c r="C36" s="79"/>
      <c r="D36" s="400">
        <v>4210</v>
      </c>
      <c r="E36" s="81" t="s">
        <v>142</v>
      </c>
      <c r="F36" s="445">
        <v>145790</v>
      </c>
      <c r="G36" s="100">
        <v>67084.42</v>
      </c>
      <c r="H36" s="101">
        <f t="shared" si="0"/>
        <v>0.46014417998490981</v>
      </c>
      <c r="I36" s="58">
        <v>124670.51</v>
      </c>
      <c r="J36" s="1108">
        <f>148000+10003.17</f>
        <v>158003.17000000001</v>
      </c>
      <c r="K36" s="1216">
        <v>-50000</v>
      </c>
      <c r="L36" s="258">
        <f t="shared" si="35"/>
        <v>108003.17000000001</v>
      </c>
      <c r="M36" s="280">
        <f t="shared" si="5"/>
        <v>0.74081329309280486</v>
      </c>
      <c r="N36" s="399" t="s">
        <v>406</v>
      </c>
      <c r="O36" s="392">
        <v>10003.17</v>
      </c>
      <c r="P36" s="392"/>
      <c r="Q36" s="393">
        <v>6000</v>
      </c>
      <c r="R36" s="392"/>
      <c r="S36" s="392"/>
      <c r="T36" s="393"/>
      <c r="U36" s="393"/>
      <c r="V36" s="393">
        <f>142000-50000</f>
        <v>92000</v>
      </c>
      <c r="W36" s="393"/>
      <c r="X36" s="393"/>
      <c r="Y36" s="393">
        <f t="shared" si="14"/>
        <v>108003.17</v>
      </c>
    </row>
    <row r="37" spans="1:25" x14ac:dyDescent="0.2">
      <c r="A37" s="52"/>
      <c r="B37" s="52"/>
      <c r="C37" s="203"/>
      <c r="D37" s="402">
        <v>4270</v>
      </c>
      <c r="E37" s="119" t="s">
        <v>154</v>
      </c>
      <c r="F37" s="140">
        <v>100000</v>
      </c>
      <c r="G37" s="56">
        <v>4981.5</v>
      </c>
      <c r="H37" s="101">
        <f t="shared" si="0"/>
        <v>4.9814999999999998E-2</v>
      </c>
      <c r="I37" s="58">
        <v>98529</v>
      </c>
      <c r="J37" s="1108">
        <v>70000</v>
      </c>
      <c r="K37" s="58"/>
      <c r="L37" s="258">
        <f t="shared" si="35"/>
        <v>70000</v>
      </c>
      <c r="M37" s="280">
        <f t="shared" si="5"/>
        <v>0.7</v>
      </c>
      <c r="N37" s="399"/>
      <c r="O37" s="392"/>
      <c r="P37" s="392"/>
      <c r="Q37" s="393"/>
      <c r="R37" s="392"/>
      <c r="S37" s="392"/>
      <c r="T37" s="393"/>
      <c r="U37" s="393"/>
      <c r="V37" s="393">
        <v>70000</v>
      </c>
      <c r="W37" s="393"/>
      <c r="X37" s="393"/>
      <c r="Y37" s="393">
        <f t="shared" si="14"/>
        <v>70000</v>
      </c>
    </row>
    <row r="38" spans="1:25" ht="19.5" x14ac:dyDescent="0.2">
      <c r="A38" s="52"/>
      <c r="B38" s="52"/>
      <c r="C38" s="240"/>
      <c r="D38" s="446">
        <v>4300</v>
      </c>
      <c r="E38" s="199" t="s">
        <v>143</v>
      </c>
      <c r="F38" s="200">
        <v>650463</v>
      </c>
      <c r="G38" s="100">
        <v>447581.63</v>
      </c>
      <c r="H38" s="101">
        <f t="shared" si="0"/>
        <v>0.68809698630052751</v>
      </c>
      <c r="I38" s="102">
        <v>644118.07999999996</v>
      </c>
      <c r="J38" s="1112">
        <f>610000+17990.61</f>
        <v>627990.61</v>
      </c>
      <c r="K38" s="1217">
        <v>-200000</v>
      </c>
      <c r="L38" s="258">
        <f t="shared" si="35"/>
        <v>427990.61</v>
      </c>
      <c r="M38" s="280">
        <f t="shared" si="5"/>
        <v>0.65797840922542861</v>
      </c>
      <c r="N38" s="399" t="s">
        <v>407</v>
      </c>
      <c r="O38" s="392">
        <v>17990.61</v>
      </c>
      <c r="P38" s="392"/>
      <c r="Q38" s="393"/>
      <c r="R38" s="392"/>
      <c r="S38" s="392"/>
      <c r="T38" s="393"/>
      <c r="U38" s="393"/>
      <c r="V38" s="393">
        <f>610000-200000</f>
        <v>410000</v>
      </c>
      <c r="W38" s="393"/>
      <c r="X38" s="393"/>
      <c r="Y38" s="393">
        <f t="shared" si="14"/>
        <v>427990.61</v>
      </c>
    </row>
    <row r="39" spans="1:25" x14ac:dyDescent="0.2">
      <c r="A39" s="52"/>
      <c r="B39" s="52"/>
      <c r="C39" s="79"/>
      <c r="D39" s="400">
        <v>4430</v>
      </c>
      <c r="E39" s="81" t="s">
        <v>145</v>
      </c>
      <c r="F39" s="82">
        <v>7370</v>
      </c>
      <c r="G39" s="56">
        <v>7320.82</v>
      </c>
      <c r="H39" s="101">
        <f t="shared" si="0"/>
        <v>0.99332700135685204</v>
      </c>
      <c r="I39" s="58">
        <v>7320.82</v>
      </c>
      <c r="J39" s="1108">
        <v>8270</v>
      </c>
      <c r="K39" s="58"/>
      <c r="L39" s="258">
        <f t="shared" si="35"/>
        <v>8270</v>
      </c>
      <c r="M39" s="280">
        <f t="shared" si="5"/>
        <v>1.1221166892808685</v>
      </c>
      <c r="N39" s="399"/>
      <c r="O39" s="392"/>
      <c r="P39" s="392"/>
      <c r="Q39" s="393"/>
      <c r="R39" s="392"/>
      <c r="S39" s="392"/>
      <c r="T39" s="393"/>
      <c r="U39" s="393"/>
      <c r="V39" s="393">
        <v>8270</v>
      </c>
      <c r="W39" s="393"/>
      <c r="X39" s="393"/>
      <c r="Y39" s="393">
        <f t="shared" si="14"/>
        <v>8270</v>
      </c>
    </row>
    <row r="40" spans="1:25" x14ac:dyDescent="0.2">
      <c r="A40" s="52"/>
      <c r="B40" s="52"/>
      <c r="C40" s="203"/>
      <c r="D40" s="402">
        <v>6050</v>
      </c>
      <c r="E40" s="119" t="s">
        <v>147</v>
      </c>
      <c r="F40" s="140">
        <v>593220</v>
      </c>
      <c r="G40" s="56">
        <v>27373.599999999999</v>
      </c>
      <c r="H40" s="101">
        <f t="shared" si="0"/>
        <v>4.6144094939482821E-2</v>
      </c>
      <c r="I40" s="58">
        <v>569081.31000000006</v>
      </c>
      <c r="J40" s="1108">
        <v>2176250</v>
      </c>
      <c r="K40" s="58"/>
      <c r="L40" s="258">
        <f t="shared" si="35"/>
        <v>2176250</v>
      </c>
      <c r="M40" s="280">
        <f t="shared" si="5"/>
        <v>3.6685378105930346</v>
      </c>
      <c r="N40" s="399"/>
      <c r="O40" s="392"/>
      <c r="P40" s="392"/>
      <c r="Q40" s="393"/>
      <c r="R40" s="392"/>
      <c r="S40" s="392"/>
      <c r="T40" s="393"/>
      <c r="U40" s="393"/>
      <c r="V40" s="393">
        <v>2176250</v>
      </c>
      <c r="W40" s="393"/>
      <c r="X40" s="393"/>
      <c r="Y40" s="393">
        <f t="shared" si="14"/>
        <v>2176250</v>
      </c>
    </row>
    <row r="41" spans="1:25" ht="22.5" x14ac:dyDescent="0.2">
      <c r="A41" s="52"/>
      <c r="B41" s="52"/>
      <c r="C41" s="203"/>
      <c r="D41" s="474">
        <v>6060</v>
      </c>
      <c r="E41" s="128" t="s">
        <v>164</v>
      </c>
      <c r="F41" s="70">
        <v>7300</v>
      </c>
      <c r="G41" s="56">
        <v>0</v>
      </c>
      <c r="H41" s="57">
        <f t="shared" si="0"/>
        <v>0</v>
      </c>
      <c r="I41" s="162">
        <v>7300</v>
      </c>
      <c r="J41" s="1112">
        <v>0</v>
      </c>
      <c r="K41" s="102"/>
      <c r="L41" s="258">
        <f t="shared" si="35"/>
        <v>0</v>
      </c>
      <c r="M41" s="280">
        <f t="shared" si="5"/>
        <v>0</v>
      </c>
      <c r="N41" s="466"/>
      <c r="O41" s="467"/>
      <c r="P41" s="467"/>
      <c r="Q41" s="884"/>
      <c r="R41" s="467"/>
      <c r="S41" s="467"/>
      <c r="T41" s="884"/>
      <c r="U41" s="884"/>
      <c r="V41" s="884"/>
      <c r="W41" s="884"/>
      <c r="X41" s="884"/>
      <c r="Y41" s="393">
        <f t="shared" si="14"/>
        <v>0</v>
      </c>
    </row>
    <row r="42" spans="1:25" x14ac:dyDescent="0.2">
      <c r="A42" s="416">
        <v>630</v>
      </c>
      <c r="B42" s="104"/>
      <c r="C42" s="104"/>
      <c r="D42" s="145"/>
      <c r="E42" s="146" t="s">
        <v>28</v>
      </c>
      <c r="F42" s="526">
        <f>F43</f>
        <v>82000</v>
      </c>
      <c r="G42" s="109">
        <f>G43</f>
        <v>70508.53</v>
      </c>
      <c r="H42" s="108">
        <f t="shared" si="0"/>
        <v>0.85986012195121952</v>
      </c>
      <c r="I42" s="149">
        <f>I43</f>
        <v>76408.53</v>
      </c>
      <c r="J42" s="1121">
        <f>J43</f>
        <v>25000</v>
      </c>
      <c r="K42" s="1218">
        <f t="shared" ref="K42:L42" si="37">K43</f>
        <v>-10000</v>
      </c>
      <c r="L42" s="150">
        <f t="shared" si="37"/>
        <v>15000</v>
      </c>
      <c r="M42" s="171">
        <f t="shared" si="5"/>
        <v>0.18292682926829268</v>
      </c>
      <c r="N42" s="809">
        <f t="shared" ref="N42:X42" si="38">N43</f>
        <v>0</v>
      </c>
      <c r="O42" s="448">
        <f t="shared" si="38"/>
        <v>0</v>
      </c>
      <c r="P42" s="448">
        <f t="shared" si="38"/>
        <v>0</v>
      </c>
      <c r="Q42" s="448">
        <f t="shared" si="38"/>
        <v>0</v>
      </c>
      <c r="R42" s="448">
        <f t="shared" si="38"/>
        <v>0</v>
      </c>
      <c r="S42" s="448">
        <f t="shared" si="38"/>
        <v>0</v>
      </c>
      <c r="T42" s="448">
        <f t="shared" si="38"/>
        <v>0</v>
      </c>
      <c r="U42" s="448">
        <f t="shared" si="38"/>
        <v>0</v>
      </c>
      <c r="V42" s="448">
        <f t="shared" si="38"/>
        <v>15000</v>
      </c>
      <c r="W42" s="448">
        <f t="shared" si="38"/>
        <v>0</v>
      </c>
      <c r="X42" s="448">
        <f t="shared" si="38"/>
        <v>0</v>
      </c>
      <c r="Y42" s="448">
        <f t="shared" si="14"/>
        <v>15000</v>
      </c>
    </row>
    <row r="43" spans="1:25" x14ac:dyDescent="0.2">
      <c r="A43" s="23"/>
      <c r="B43" s="228">
        <v>63095</v>
      </c>
      <c r="C43" s="232"/>
      <c r="D43" s="233"/>
      <c r="E43" s="234" t="s">
        <v>14</v>
      </c>
      <c r="F43" s="269">
        <f>SUM(F44:F48)</f>
        <v>82000</v>
      </c>
      <c r="G43" s="269">
        <f t="shared" ref="G43:I43" si="39">SUM(G44:G48)</f>
        <v>70508.53</v>
      </c>
      <c r="H43" s="429">
        <f t="shared" si="0"/>
        <v>0.85986012195121952</v>
      </c>
      <c r="I43" s="269">
        <f t="shared" si="39"/>
        <v>76408.53</v>
      </c>
      <c r="J43" s="1122">
        <f>SUM(J44:J48)</f>
        <v>25000</v>
      </c>
      <c r="K43" s="1006">
        <f t="shared" ref="K43:L43" si="40">SUM(K44:K48)</f>
        <v>-10000</v>
      </c>
      <c r="L43" s="238">
        <f t="shared" si="40"/>
        <v>15000</v>
      </c>
      <c r="M43" s="78">
        <f t="shared" si="5"/>
        <v>0.18292682926829268</v>
      </c>
      <c r="N43" s="541">
        <f t="shared" ref="N43:X43" si="41">SUM(N44:N48)</f>
        <v>0</v>
      </c>
      <c r="O43" s="450">
        <f t="shared" si="41"/>
        <v>0</v>
      </c>
      <c r="P43" s="450">
        <f t="shared" si="41"/>
        <v>0</v>
      </c>
      <c r="Q43" s="450">
        <f t="shared" si="41"/>
        <v>0</v>
      </c>
      <c r="R43" s="450">
        <f t="shared" si="41"/>
        <v>0</v>
      </c>
      <c r="S43" s="450">
        <f t="shared" si="41"/>
        <v>0</v>
      </c>
      <c r="T43" s="450">
        <f t="shared" si="41"/>
        <v>0</v>
      </c>
      <c r="U43" s="450">
        <f t="shared" si="41"/>
        <v>0</v>
      </c>
      <c r="V43" s="450">
        <f t="shared" si="41"/>
        <v>15000</v>
      </c>
      <c r="W43" s="450">
        <f t="shared" si="41"/>
        <v>0</v>
      </c>
      <c r="X43" s="450">
        <f t="shared" si="41"/>
        <v>0</v>
      </c>
      <c r="Y43" s="450">
        <f t="shared" si="14"/>
        <v>15000</v>
      </c>
    </row>
    <row r="44" spans="1:25" ht="56.25" x14ac:dyDescent="0.2">
      <c r="A44" s="23"/>
      <c r="B44" s="836"/>
      <c r="C44" s="453"/>
      <c r="D44" s="446">
        <v>2360</v>
      </c>
      <c r="E44" s="125" t="s">
        <v>230</v>
      </c>
      <c r="F44" s="455">
        <v>1000</v>
      </c>
      <c r="G44" s="456">
        <v>1000</v>
      </c>
      <c r="H44" s="825">
        <f>G44/F44</f>
        <v>1</v>
      </c>
      <c r="I44" s="457">
        <v>1000</v>
      </c>
      <c r="J44" s="1123">
        <v>0</v>
      </c>
      <c r="K44" s="457"/>
      <c r="L44" s="1255">
        <f>J44+K44</f>
        <v>0</v>
      </c>
      <c r="M44" s="280">
        <f t="shared" si="5"/>
        <v>0</v>
      </c>
      <c r="N44" s="451"/>
      <c r="O44" s="392"/>
      <c r="P44" s="392"/>
      <c r="Q44" s="393"/>
      <c r="R44" s="392"/>
      <c r="S44" s="392"/>
      <c r="T44" s="393"/>
      <c r="U44" s="393"/>
      <c r="V44" s="393">
        <v>0</v>
      </c>
      <c r="W44" s="393"/>
      <c r="X44" s="393"/>
      <c r="Y44" s="393">
        <f t="shared" ref="Y44:Y77" si="42">SUM(O44:X44)</f>
        <v>0</v>
      </c>
    </row>
    <row r="45" spans="1:25" x14ac:dyDescent="0.2">
      <c r="A45" s="23"/>
      <c r="B45" s="452"/>
      <c r="C45" s="453"/>
      <c r="D45" s="454">
        <v>4300</v>
      </c>
      <c r="E45" s="119" t="s">
        <v>143</v>
      </c>
      <c r="F45" s="455">
        <v>11453.23</v>
      </c>
      <c r="G45" s="456">
        <v>0</v>
      </c>
      <c r="H45" s="820">
        <f t="shared" ref="H45:H48" si="43">G45/F45</f>
        <v>0</v>
      </c>
      <c r="I45" s="457">
        <v>5900</v>
      </c>
      <c r="J45" s="1124">
        <v>25000</v>
      </c>
      <c r="K45" s="1219">
        <v>-10000</v>
      </c>
      <c r="L45" s="1255">
        <f t="shared" ref="L45:L48" si="44">J45+K45</f>
        <v>15000</v>
      </c>
      <c r="M45" s="280">
        <f t="shared" si="5"/>
        <v>1.3096742141736437</v>
      </c>
      <c r="N45" s="451"/>
      <c r="O45" s="392"/>
      <c r="P45" s="392"/>
      <c r="Q45" s="393"/>
      <c r="R45" s="392"/>
      <c r="S45" s="392"/>
      <c r="T45" s="393"/>
      <c r="U45" s="393"/>
      <c r="V45" s="393">
        <v>15000</v>
      </c>
      <c r="W45" s="393"/>
      <c r="X45" s="393"/>
      <c r="Y45" s="393">
        <f t="shared" si="42"/>
        <v>15000</v>
      </c>
    </row>
    <row r="46" spans="1:25" ht="56.25" x14ac:dyDescent="0.2">
      <c r="A46" s="23"/>
      <c r="B46" s="452"/>
      <c r="C46" s="932"/>
      <c r="D46" s="473">
        <v>4568</v>
      </c>
      <c r="E46" s="62" t="s">
        <v>360</v>
      </c>
      <c r="F46" s="1285">
        <v>260</v>
      </c>
      <c r="G46" s="1286">
        <v>255.2</v>
      </c>
      <c r="H46" s="1287">
        <f t="shared" si="43"/>
        <v>0.98153846153846147</v>
      </c>
      <c r="I46" s="1288">
        <v>255.2</v>
      </c>
      <c r="J46" s="1124">
        <v>0</v>
      </c>
      <c r="K46" s="1288"/>
      <c r="L46" s="1289">
        <f t="shared" si="44"/>
        <v>0</v>
      </c>
      <c r="M46" s="280">
        <f t="shared" si="5"/>
        <v>0</v>
      </c>
      <c r="N46" s="451"/>
      <c r="O46" s="392"/>
      <c r="P46" s="392"/>
      <c r="Q46" s="393"/>
      <c r="R46" s="392"/>
      <c r="S46" s="392"/>
      <c r="T46" s="393"/>
      <c r="U46" s="393"/>
      <c r="V46" s="393"/>
      <c r="W46" s="393"/>
      <c r="X46" s="393"/>
      <c r="Y46" s="393">
        <f t="shared" si="42"/>
        <v>0</v>
      </c>
    </row>
    <row r="47" spans="1:25" x14ac:dyDescent="0.2">
      <c r="A47" s="23"/>
      <c r="B47" s="452"/>
      <c r="C47" s="1383"/>
      <c r="D47" s="468">
        <v>6050</v>
      </c>
      <c r="E47" s="216" t="s">
        <v>147</v>
      </c>
      <c r="F47" s="1285">
        <v>66000</v>
      </c>
      <c r="G47" s="1286">
        <v>65966.559999999998</v>
      </c>
      <c r="H47" s="1287">
        <f t="shared" si="43"/>
        <v>0.99949333333333334</v>
      </c>
      <c r="I47" s="1288">
        <v>65966.559999999998</v>
      </c>
      <c r="J47" s="1124">
        <v>0</v>
      </c>
      <c r="K47" s="1288"/>
      <c r="L47" s="1289">
        <f t="shared" si="44"/>
        <v>0</v>
      </c>
      <c r="M47" s="280">
        <f t="shared" si="5"/>
        <v>0</v>
      </c>
      <c r="N47" s="451"/>
      <c r="O47" s="392"/>
      <c r="P47" s="392"/>
      <c r="Q47" s="393"/>
      <c r="R47" s="392"/>
      <c r="S47" s="392"/>
      <c r="T47" s="393"/>
      <c r="U47" s="393"/>
      <c r="V47" s="393"/>
      <c r="W47" s="393"/>
      <c r="X47" s="393"/>
      <c r="Y47" s="393">
        <f t="shared" si="42"/>
        <v>0</v>
      </c>
    </row>
    <row r="48" spans="1:25" ht="67.5" x14ac:dyDescent="0.2">
      <c r="A48" s="52"/>
      <c r="B48" s="52"/>
      <c r="C48" s="240"/>
      <c r="D48" s="446">
        <v>6668</v>
      </c>
      <c r="E48" s="199" t="s">
        <v>361</v>
      </c>
      <c r="F48" s="445">
        <v>3286.77</v>
      </c>
      <c r="G48" s="100">
        <v>3286.77</v>
      </c>
      <c r="H48" s="825">
        <f t="shared" si="43"/>
        <v>1</v>
      </c>
      <c r="I48" s="102">
        <v>3286.77</v>
      </c>
      <c r="J48" s="1112">
        <v>0</v>
      </c>
      <c r="K48" s="102"/>
      <c r="L48" s="1255">
        <f t="shared" si="44"/>
        <v>0</v>
      </c>
      <c r="M48" s="259">
        <f t="shared" si="5"/>
        <v>0</v>
      </c>
      <c r="N48" s="399"/>
      <c r="O48" s="392"/>
      <c r="P48" s="392"/>
      <c r="Q48" s="393"/>
      <c r="R48" s="392"/>
      <c r="S48" s="392"/>
      <c r="T48" s="393"/>
      <c r="U48" s="393"/>
      <c r="V48" s="393"/>
      <c r="W48" s="393"/>
      <c r="X48" s="393"/>
      <c r="Y48" s="393">
        <f t="shared" si="42"/>
        <v>0</v>
      </c>
    </row>
    <row r="49" spans="1:25" x14ac:dyDescent="0.2">
      <c r="A49" s="416">
        <v>700</v>
      </c>
      <c r="B49" s="180"/>
      <c r="C49" s="180"/>
      <c r="D49" s="181"/>
      <c r="E49" s="106" t="s">
        <v>30</v>
      </c>
      <c r="F49" s="885">
        <f>F50+F52</f>
        <v>2708217.82</v>
      </c>
      <c r="G49" s="183">
        <f>G50+G52</f>
        <v>1825560.69</v>
      </c>
      <c r="H49" s="184">
        <f t="shared" si="0"/>
        <v>0.67408192816632451</v>
      </c>
      <c r="I49" s="183">
        <f>I50+I52</f>
        <v>2653934.59</v>
      </c>
      <c r="J49" s="1125">
        <f>J50+J52</f>
        <v>1695071.01</v>
      </c>
      <c r="K49" s="1220">
        <f t="shared" ref="K49:L49" si="45">K50+K52</f>
        <v>-878921.01</v>
      </c>
      <c r="L49" s="185">
        <f t="shared" si="45"/>
        <v>816150</v>
      </c>
      <c r="M49" s="171">
        <f t="shared" si="5"/>
        <v>0.30136054565950682</v>
      </c>
      <c r="N49" s="804"/>
      <c r="O49" s="589">
        <f t="shared" ref="O49:X49" si="46">O50+O52</f>
        <v>0</v>
      </c>
      <c r="P49" s="589">
        <f t="shared" si="46"/>
        <v>0</v>
      </c>
      <c r="Q49" s="589">
        <f t="shared" si="46"/>
        <v>672150</v>
      </c>
      <c r="R49" s="589">
        <f t="shared" si="46"/>
        <v>0</v>
      </c>
      <c r="S49" s="589">
        <f t="shared" si="46"/>
        <v>0</v>
      </c>
      <c r="T49" s="589">
        <f t="shared" si="46"/>
        <v>0</v>
      </c>
      <c r="U49" s="589">
        <f t="shared" si="46"/>
        <v>0</v>
      </c>
      <c r="V49" s="589">
        <f t="shared" si="46"/>
        <v>30000</v>
      </c>
      <c r="W49" s="589">
        <f t="shared" si="46"/>
        <v>0</v>
      </c>
      <c r="X49" s="589">
        <f t="shared" si="46"/>
        <v>114000</v>
      </c>
      <c r="Y49" s="589">
        <f t="shared" si="42"/>
        <v>816150</v>
      </c>
    </row>
    <row r="50" spans="1:25" x14ac:dyDescent="0.2">
      <c r="A50" s="23"/>
      <c r="B50" s="151">
        <v>70001</v>
      </c>
      <c r="C50" s="426"/>
      <c r="D50" s="152"/>
      <c r="E50" s="272" t="s">
        <v>156</v>
      </c>
      <c r="F50" s="305">
        <f>F51</f>
        <v>533467.81999999995</v>
      </c>
      <c r="G50" s="156">
        <f>G51</f>
        <v>320508</v>
      </c>
      <c r="H50" s="157">
        <f t="shared" si="0"/>
        <v>0.60080100051770702</v>
      </c>
      <c r="I50" s="156">
        <f>I51</f>
        <v>533467.81999999995</v>
      </c>
      <c r="J50" s="1126">
        <f>J51</f>
        <v>398921.01</v>
      </c>
      <c r="K50" s="1221">
        <f t="shared" ref="K50:L50" si="47">K51</f>
        <v>-398921.01</v>
      </c>
      <c r="L50" s="158">
        <f t="shared" si="47"/>
        <v>0</v>
      </c>
      <c r="M50" s="78">
        <f t="shared" si="5"/>
        <v>0</v>
      </c>
      <c r="N50" s="817"/>
      <c r="O50" s="444">
        <f t="shared" ref="O50:X50" si="48">O51</f>
        <v>0</v>
      </c>
      <c r="P50" s="444">
        <f t="shared" si="48"/>
        <v>0</v>
      </c>
      <c r="Q50" s="444">
        <f t="shared" si="48"/>
        <v>0</v>
      </c>
      <c r="R50" s="444">
        <f t="shared" si="48"/>
        <v>0</v>
      </c>
      <c r="S50" s="444">
        <f t="shared" si="48"/>
        <v>0</v>
      </c>
      <c r="T50" s="444">
        <f t="shared" si="48"/>
        <v>0</v>
      </c>
      <c r="U50" s="444">
        <f t="shared" si="48"/>
        <v>0</v>
      </c>
      <c r="V50" s="444">
        <f t="shared" si="48"/>
        <v>0</v>
      </c>
      <c r="W50" s="444">
        <f t="shared" si="48"/>
        <v>0</v>
      </c>
      <c r="X50" s="444">
        <f t="shared" si="48"/>
        <v>0</v>
      </c>
      <c r="Y50" s="444">
        <f t="shared" si="42"/>
        <v>0</v>
      </c>
    </row>
    <row r="51" spans="1:25" ht="22.5" x14ac:dyDescent="0.2">
      <c r="A51" s="52"/>
      <c r="B51" s="52"/>
      <c r="C51" s="52"/>
      <c r="D51" s="474">
        <v>2650</v>
      </c>
      <c r="E51" s="128" t="s">
        <v>157</v>
      </c>
      <c r="F51" s="271">
        <v>533467.81999999995</v>
      </c>
      <c r="G51" s="100">
        <v>320508</v>
      </c>
      <c r="H51" s="101">
        <f t="shared" si="0"/>
        <v>0.60080100051770702</v>
      </c>
      <c r="I51" s="102">
        <v>533467.81999999995</v>
      </c>
      <c r="J51" s="1112">
        <v>398921.01</v>
      </c>
      <c r="K51" s="1222">
        <v>-398921.01</v>
      </c>
      <c r="L51" s="138">
        <f>J51+K51</f>
        <v>0</v>
      </c>
      <c r="M51" s="280">
        <f t="shared" si="5"/>
        <v>0</v>
      </c>
      <c r="N51" s="399"/>
      <c r="O51" s="392"/>
      <c r="P51" s="392"/>
      <c r="Q51" s="393"/>
      <c r="R51" s="392"/>
      <c r="S51" s="392"/>
      <c r="T51" s="393">
        <v>0</v>
      </c>
      <c r="U51" s="393"/>
      <c r="V51" s="393"/>
      <c r="W51" s="393"/>
      <c r="X51" s="393"/>
      <c r="Y51" s="393">
        <f t="shared" si="42"/>
        <v>0</v>
      </c>
    </row>
    <row r="52" spans="1:25" x14ac:dyDescent="0.2">
      <c r="A52" s="52"/>
      <c r="B52" s="90">
        <v>70005</v>
      </c>
      <c r="C52" s="44"/>
      <c r="D52" s="75"/>
      <c r="E52" s="46" t="s">
        <v>31</v>
      </c>
      <c r="F52" s="459">
        <f>SUM(F53:F65)</f>
        <v>2174750</v>
      </c>
      <c r="G52" s="459">
        <f t="shared" ref="G52:I52" si="49">SUM(G53:G65)</f>
        <v>1505052.69</v>
      </c>
      <c r="H52" s="578">
        <f t="shared" si="0"/>
        <v>0.69205779514886767</v>
      </c>
      <c r="I52" s="459">
        <f t="shared" si="49"/>
        <v>2120466.77</v>
      </c>
      <c r="J52" s="1119">
        <f>SUM(J53:J65)</f>
        <v>1296150</v>
      </c>
      <c r="K52" s="1215">
        <f t="shared" ref="K52:L52" si="50">SUM(K53:K65)</f>
        <v>-480000</v>
      </c>
      <c r="L52" s="350">
        <f t="shared" si="50"/>
        <v>816150</v>
      </c>
      <c r="M52" s="78">
        <f t="shared" si="5"/>
        <v>0.37528451546154729</v>
      </c>
      <c r="N52" s="815"/>
      <c r="O52" s="460">
        <f t="shared" ref="O52:X52" si="51">SUM(O53:O65)</f>
        <v>0</v>
      </c>
      <c r="P52" s="460">
        <f t="shared" si="51"/>
        <v>0</v>
      </c>
      <c r="Q52" s="460">
        <f t="shared" si="51"/>
        <v>672150</v>
      </c>
      <c r="R52" s="460">
        <f t="shared" si="51"/>
        <v>0</v>
      </c>
      <c r="S52" s="460">
        <f t="shared" si="51"/>
        <v>0</v>
      </c>
      <c r="T52" s="460">
        <f t="shared" si="51"/>
        <v>0</v>
      </c>
      <c r="U52" s="460">
        <f t="shared" si="51"/>
        <v>0</v>
      </c>
      <c r="V52" s="460">
        <f t="shared" si="51"/>
        <v>30000</v>
      </c>
      <c r="W52" s="460">
        <f t="shared" si="51"/>
        <v>0</v>
      </c>
      <c r="X52" s="460">
        <f t="shared" si="51"/>
        <v>114000</v>
      </c>
      <c r="Y52" s="460">
        <f t="shared" si="42"/>
        <v>816150</v>
      </c>
    </row>
    <row r="53" spans="1:25" x14ac:dyDescent="0.2">
      <c r="A53" s="52"/>
      <c r="B53" s="274"/>
      <c r="C53" s="275"/>
      <c r="D53" s="400">
        <v>4260</v>
      </c>
      <c r="E53" s="211" t="s">
        <v>149</v>
      </c>
      <c r="F53" s="352">
        <v>107000</v>
      </c>
      <c r="G53" s="255">
        <v>61203.6</v>
      </c>
      <c r="H53" s="256">
        <f>G53/F53</f>
        <v>0.57199626168224293</v>
      </c>
      <c r="I53" s="353">
        <v>107000</v>
      </c>
      <c r="J53" s="1127">
        <v>107000</v>
      </c>
      <c r="K53" s="1223"/>
      <c r="L53" s="36">
        <f>J53+K53</f>
        <v>107000</v>
      </c>
      <c r="M53" s="280">
        <f t="shared" si="5"/>
        <v>1</v>
      </c>
      <c r="N53" s="461" t="s">
        <v>395</v>
      </c>
      <c r="O53" s="392"/>
      <c r="P53" s="392"/>
      <c r="Q53" s="393"/>
      <c r="R53" s="392"/>
      <c r="S53" s="392"/>
      <c r="T53" s="393"/>
      <c r="U53" s="393"/>
      <c r="V53" s="393"/>
      <c r="W53" s="393"/>
      <c r="X53" s="393">
        <f>J53</f>
        <v>107000</v>
      </c>
      <c r="Y53" s="393">
        <f t="shared" si="42"/>
        <v>107000</v>
      </c>
    </row>
    <row r="54" spans="1:25" x14ac:dyDescent="0.2">
      <c r="A54" s="52"/>
      <c r="B54" s="274"/>
      <c r="C54" s="275"/>
      <c r="D54" s="398">
        <v>4270</v>
      </c>
      <c r="E54" s="462" t="s">
        <v>158</v>
      </c>
      <c r="F54" s="463">
        <v>3500</v>
      </c>
      <c r="G54" s="464">
        <v>3462.89</v>
      </c>
      <c r="H54" s="256">
        <f t="shared" ref="H54:H65" si="52">G54/F54</f>
        <v>0.98939714285714286</v>
      </c>
      <c r="I54" s="353">
        <v>3462.89</v>
      </c>
      <c r="J54" s="1127">
        <v>0</v>
      </c>
      <c r="K54" s="1223"/>
      <c r="L54" s="36">
        <f t="shared" ref="L54:L65" si="53">J54+K54</f>
        <v>0</v>
      </c>
      <c r="M54" s="280">
        <f t="shared" si="5"/>
        <v>0</v>
      </c>
      <c r="N54" s="461"/>
      <c r="O54" s="392"/>
      <c r="P54" s="392"/>
      <c r="Q54" s="393"/>
      <c r="R54" s="392"/>
      <c r="S54" s="392"/>
      <c r="T54" s="393"/>
      <c r="U54" s="393"/>
      <c r="V54" s="393"/>
      <c r="W54" s="393"/>
      <c r="X54" s="393"/>
      <c r="Y54" s="393">
        <f t="shared" si="42"/>
        <v>0</v>
      </c>
    </row>
    <row r="55" spans="1:25" ht="19.5" x14ac:dyDescent="0.2">
      <c r="A55" s="52"/>
      <c r="B55" s="52"/>
      <c r="C55" s="203"/>
      <c r="D55" s="402">
        <v>4300</v>
      </c>
      <c r="E55" s="119" t="s">
        <v>143</v>
      </c>
      <c r="F55" s="123">
        <v>115000</v>
      </c>
      <c r="G55" s="100">
        <v>68224.639999999999</v>
      </c>
      <c r="H55" s="256">
        <f t="shared" si="52"/>
        <v>0.59325773913043478</v>
      </c>
      <c r="I55" s="102">
        <v>115000</v>
      </c>
      <c r="J55" s="1128">
        <f>130000+7000</f>
        <v>137000</v>
      </c>
      <c r="K55" s="1224">
        <v>-30000</v>
      </c>
      <c r="L55" s="36">
        <f t="shared" si="53"/>
        <v>107000</v>
      </c>
      <c r="M55" s="280">
        <f t="shared" si="5"/>
        <v>0.93043478260869561</v>
      </c>
      <c r="N55" s="465" t="s">
        <v>396</v>
      </c>
      <c r="O55" s="392"/>
      <c r="P55" s="392"/>
      <c r="Q55" s="393">
        <v>100000</v>
      </c>
      <c r="R55" s="392"/>
      <c r="S55" s="392"/>
      <c r="T55" s="393"/>
      <c r="U55" s="393"/>
      <c r="V55" s="393"/>
      <c r="W55" s="393"/>
      <c r="X55" s="393">
        <v>7000</v>
      </c>
      <c r="Y55" s="393">
        <f t="shared" si="42"/>
        <v>107000</v>
      </c>
    </row>
    <row r="56" spans="1:25" x14ac:dyDescent="0.2">
      <c r="A56" s="52"/>
      <c r="B56" s="52"/>
      <c r="C56" s="240"/>
      <c r="D56" s="446">
        <v>4430</v>
      </c>
      <c r="E56" s="199" t="s">
        <v>145</v>
      </c>
      <c r="F56" s="445">
        <v>0</v>
      </c>
      <c r="G56" s="100">
        <v>0</v>
      </c>
      <c r="H56" s="256">
        <v>0</v>
      </c>
      <c r="I56" s="102">
        <v>0</v>
      </c>
      <c r="J56" s="1129">
        <v>3000</v>
      </c>
      <c r="K56" s="1225"/>
      <c r="L56" s="36">
        <f t="shared" si="53"/>
        <v>3000</v>
      </c>
      <c r="M56" s="280">
        <v>0</v>
      </c>
      <c r="N56" s="466"/>
      <c r="O56" s="392"/>
      <c r="P56" s="392"/>
      <c r="Q56" s="393">
        <f t="shared" ref="Q56:Q63" si="54">J56</f>
        <v>3000</v>
      </c>
      <c r="R56" s="467"/>
      <c r="S56" s="467"/>
      <c r="T56" s="393"/>
      <c r="U56" s="393"/>
      <c r="V56" s="393"/>
      <c r="W56" s="393"/>
      <c r="X56" s="393"/>
      <c r="Y56" s="393">
        <f t="shared" si="42"/>
        <v>3000</v>
      </c>
    </row>
    <row r="57" spans="1:25" x14ac:dyDescent="0.2">
      <c r="A57" s="52"/>
      <c r="B57" s="52"/>
      <c r="C57" s="203"/>
      <c r="D57" s="402">
        <v>4480</v>
      </c>
      <c r="E57" s="119" t="s">
        <v>53</v>
      </c>
      <c r="F57" s="120">
        <v>391986</v>
      </c>
      <c r="G57" s="56">
        <v>378099</v>
      </c>
      <c r="H57" s="256">
        <f t="shared" si="52"/>
        <v>0.96457271433163427</v>
      </c>
      <c r="I57" s="58">
        <v>378099</v>
      </c>
      <c r="J57" s="1130">
        <v>0</v>
      </c>
      <c r="K57" s="1225"/>
      <c r="L57" s="36">
        <f t="shared" si="53"/>
        <v>0</v>
      </c>
      <c r="M57" s="280">
        <f t="shared" si="5"/>
        <v>0</v>
      </c>
      <c r="N57" s="399"/>
      <c r="O57" s="392"/>
      <c r="P57" s="392"/>
      <c r="Q57" s="393">
        <f t="shared" si="54"/>
        <v>0</v>
      </c>
      <c r="R57" s="392"/>
      <c r="S57" s="392"/>
      <c r="T57" s="393"/>
      <c r="U57" s="393"/>
      <c r="V57" s="393"/>
      <c r="W57" s="393"/>
      <c r="X57" s="393"/>
      <c r="Y57" s="393">
        <f t="shared" si="42"/>
        <v>0</v>
      </c>
    </row>
    <row r="58" spans="1:25" ht="22.5" x14ac:dyDescent="0.2">
      <c r="A58" s="52"/>
      <c r="B58" s="52"/>
      <c r="C58" s="333"/>
      <c r="D58" s="468">
        <v>4500</v>
      </c>
      <c r="E58" s="125" t="s">
        <v>159</v>
      </c>
      <c r="F58" s="469">
        <v>564</v>
      </c>
      <c r="G58" s="56">
        <v>564</v>
      </c>
      <c r="H58" s="256">
        <f t="shared" si="52"/>
        <v>1</v>
      </c>
      <c r="I58" s="58">
        <v>564</v>
      </c>
      <c r="J58" s="1130">
        <v>550</v>
      </c>
      <c r="K58" s="1225"/>
      <c r="L58" s="36">
        <f t="shared" si="53"/>
        <v>550</v>
      </c>
      <c r="M58" s="280">
        <f t="shared" si="5"/>
        <v>0.97517730496453903</v>
      </c>
      <c r="N58" s="399"/>
      <c r="O58" s="392"/>
      <c r="P58" s="392"/>
      <c r="Q58" s="393">
        <f t="shared" si="54"/>
        <v>550</v>
      </c>
      <c r="R58" s="392"/>
      <c r="S58" s="392"/>
      <c r="T58" s="393"/>
      <c r="U58" s="393"/>
      <c r="V58" s="393"/>
      <c r="W58" s="393"/>
      <c r="X58" s="393"/>
      <c r="Y58" s="393">
        <f t="shared" si="42"/>
        <v>550</v>
      </c>
    </row>
    <row r="59" spans="1:25" ht="22.5" x14ac:dyDescent="0.2">
      <c r="A59" s="52"/>
      <c r="B59" s="52"/>
      <c r="C59" s="159"/>
      <c r="D59" s="309">
        <v>4520</v>
      </c>
      <c r="E59" s="122" t="s">
        <v>160</v>
      </c>
      <c r="F59" s="161">
        <v>3600</v>
      </c>
      <c r="G59" s="100">
        <v>3588.24</v>
      </c>
      <c r="H59" s="256">
        <f t="shared" si="52"/>
        <v>0.99673333333333325</v>
      </c>
      <c r="I59" s="102">
        <v>3588.24</v>
      </c>
      <c r="J59" s="1129">
        <v>3600</v>
      </c>
      <c r="K59" s="1225"/>
      <c r="L59" s="36">
        <f t="shared" si="53"/>
        <v>3600</v>
      </c>
      <c r="M59" s="280">
        <f t="shared" si="5"/>
        <v>1</v>
      </c>
      <c r="N59" s="466"/>
      <c r="O59" s="392"/>
      <c r="P59" s="392"/>
      <c r="Q59" s="393">
        <f t="shared" si="54"/>
        <v>3600</v>
      </c>
      <c r="R59" s="467"/>
      <c r="S59" s="467"/>
      <c r="T59" s="393"/>
      <c r="U59" s="393"/>
      <c r="V59" s="393"/>
      <c r="W59" s="393"/>
      <c r="X59" s="393"/>
      <c r="Y59" s="393">
        <f t="shared" si="42"/>
        <v>3600</v>
      </c>
    </row>
    <row r="60" spans="1:25" x14ac:dyDescent="0.2">
      <c r="A60" s="52"/>
      <c r="B60" s="470"/>
      <c r="C60" s="471"/>
      <c r="D60" s="309">
        <v>4530</v>
      </c>
      <c r="E60" s="62" t="s">
        <v>161</v>
      </c>
      <c r="F60" s="472">
        <v>100</v>
      </c>
      <c r="G60" s="100">
        <v>0</v>
      </c>
      <c r="H60" s="256">
        <f t="shared" si="52"/>
        <v>0</v>
      </c>
      <c r="I60" s="102">
        <v>0</v>
      </c>
      <c r="J60" s="1130">
        <v>0</v>
      </c>
      <c r="K60" s="1225"/>
      <c r="L60" s="36">
        <f t="shared" si="53"/>
        <v>0</v>
      </c>
      <c r="M60" s="280">
        <f t="shared" si="5"/>
        <v>0</v>
      </c>
      <c r="N60" s="466"/>
      <c r="O60" s="392"/>
      <c r="P60" s="392"/>
      <c r="Q60" s="393">
        <f t="shared" si="54"/>
        <v>0</v>
      </c>
      <c r="R60" s="392"/>
      <c r="S60" s="392"/>
      <c r="T60" s="393"/>
      <c r="U60" s="393"/>
      <c r="V60" s="393"/>
      <c r="W60" s="393"/>
      <c r="X60" s="393"/>
      <c r="Y60" s="393">
        <f t="shared" si="42"/>
        <v>0</v>
      </c>
    </row>
    <row r="61" spans="1:25" ht="22.5" x14ac:dyDescent="0.2">
      <c r="A61" s="52"/>
      <c r="B61" s="52"/>
      <c r="C61" s="52"/>
      <c r="D61" s="474">
        <v>4590</v>
      </c>
      <c r="E61" s="128" t="s">
        <v>155</v>
      </c>
      <c r="F61" s="271">
        <v>50000</v>
      </c>
      <c r="G61" s="100">
        <v>22807.7</v>
      </c>
      <c r="H61" s="256">
        <f t="shared" si="52"/>
        <v>0.456154</v>
      </c>
      <c r="I61" s="102">
        <v>50000</v>
      </c>
      <c r="J61" s="1129">
        <v>200000</v>
      </c>
      <c r="K61" s="1224">
        <v>-100000</v>
      </c>
      <c r="L61" s="36">
        <f t="shared" si="53"/>
        <v>100000</v>
      </c>
      <c r="M61" s="280">
        <f t="shared" si="5"/>
        <v>2</v>
      </c>
      <c r="N61" s="466"/>
      <c r="O61" s="392"/>
      <c r="P61" s="392"/>
      <c r="Q61" s="393">
        <f>J61-100000</f>
        <v>100000</v>
      </c>
      <c r="R61" s="467"/>
      <c r="S61" s="467"/>
      <c r="T61" s="393"/>
      <c r="U61" s="393"/>
      <c r="V61" s="393"/>
      <c r="W61" s="393"/>
      <c r="X61" s="393"/>
      <c r="Y61" s="393">
        <f t="shared" si="42"/>
        <v>100000</v>
      </c>
    </row>
    <row r="62" spans="1:25" ht="22.5" x14ac:dyDescent="0.2">
      <c r="A62" s="52"/>
      <c r="B62" s="52"/>
      <c r="C62" s="203"/>
      <c r="D62" s="402">
        <v>4600</v>
      </c>
      <c r="E62" s="119" t="s">
        <v>162</v>
      </c>
      <c r="F62" s="140">
        <v>155000</v>
      </c>
      <c r="G62" s="56">
        <v>91610.04</v>
      </c>
      <c r="H62" s="256">
        <f t="shared" si="52"/>
        <v>0.59103251612903218</v>
      </c>
      <c r="I62" s="58">
        <v>140410.06</v>
      </c>
      <c r="J62" s="1130">
        <v>160000</v>
      </c>
      <c r="K62" s="1225"/>
      <c r="L62" s="36">
        <f t="shared" si="53"/>
        <v>160000</v>
      </c>
      <c r="M62" s="280">
        <f t="shared" si="5"/>
        <v>1.032258064516129</v>
      </c>
      <c r="N62" s="399"/>
      <c r="O62" s="392"/>
      <c r="P62" s="392"/>
      <c r="Q62" s="393">
        <f t="shared" si="54"/>
        <v>160000</v>
      </c>
      <c r="R62" s="392"/>
      <c r="S62" s="392"/>
      <c r="T62" s="393"/>
      <c r="U62" s="393"/>
      <c r="V62" s="393"/>
      <c r="W62" s="393"/>
      <c r="X62" s="393"/>
      <c r="Y62" s="393">
        <f t="shared" si="42"/>
        <v>160000</v>
      </c>
    </row>
    <row r="63" spans="1:25" ht="22.5" x14ac:dyDescent="0.2">
      <c r="A63" s="52"/>
      <c r="B63" s="52"/>
      <c r="C63" s="159"/>
      <c r="D63" s="309">
        <v>4610</v>
      </c>
      <c r="E63" s="122" t="s">
        <v>163</v>
      </c>
      <c r="F63" s="204">
        <v>5000</v>
      </c>
      <c r="G63" s="100">
        <v>4500</v>
      </c>
      <c r="H63" s="256">
        <f t="shared" si="52"/>
        <v>0.9</v>
      </c>
      <c r="I63" s="102">
        <v>4500</v>
      </c>
      <c r="J63" s="1129">
        <v>5000</v>
      </c>
      <c r="K63" s="1225"/>
      <c r="L63" s="36">
        <f t="shared" si="53"/>
        <v>5000</v>
      </c>
      <c r="M63" s="280">
        <f t="shared" si="5"/>
        <v>1</v>
      </c>
      <c r="N63" s="466"/>
      <c r="O63" s="392"/>
      <c r="P63" s="392"/>
      <c r="Q63" s="393">
        <f t="shared" si="54"/>
        <v>5000</v>
      </c>
      <c r="R63" s="467"/>
      <c r="S63" s="467"/>
      <c r="T63" s="393"/>
      <c r="U63" s="393"/>
      <c r="V63" s="393"/>
      <c r="W63" s="393"/>
      <c r="X63" s="393"/>
      <c r="Y63" s="393">
        <f t="shared" si="42"/>
        <v>5000</v>
      </c>
    </row>
    <row r="64" spans="1:25" ht="39" x14ac:dyDescent="0.2">
      <c r="A64" s="52"/>
      <c r="B64" s="52"/>
      <c r="C64" s="385"/>
      <c r="D64" s="473">
        <v>6050</v>
      </c>
      <c r="E64" s="62" t="s">
        <v>147</v>
      </c>
      <c r="F64" s="70">
        <v>200000</v>
      </c>
      <c r="G64" s="100">
        <v>18150</v>
      </c>
      <c r="H64" s="256">
        <f t="shared" si="52"/>
        <v>9.0749999999999997E-2</v>
      </c>
      <c r="I64" s="102">
        <v>200000</v>
      </c>
      <c r="J64" s="1129">
        <v>30000</v>
      </c>
      <c r="K64" s="1225"/>
      <c r="L64" s="1262">
        <f t="shared" si="53"/>
        <v>30000</v>
      </c>
      <c r="M64" s="280">
        <f t="shared" si="5"/>
        <v>0.15</v>
      </c>
      <c r="N64" s="466" t="s">
        <v>379</v>
      </c>
      <c r="O64" s="392"/>
      <c r="P64" s="392"/>
      <c r="Q64" s="393"/>
      <c r="R64" s="467"/>
      <c r="S64" s="467"/>
      <c r="T64" s="393"/>
      <c r="U64" s="393"/>
      <c r="V64" s="393">
        <f>J64</f>
        <v>30000</v>
      </c>
      <c r="W64" s="393"/>
      <c r="X64" s="393"/>
      <c r="Y64" s="393">
        <f t="shared" si="42"/>
        <v>30000</v>
      </c>
    </row>
    <row r="65" spans="1:25" ht="78" x14ac:dyDescent="0.2">
      <c r="A65" s="52"/>
      <c r="B65" s="52"/>
      <c r="C65" s="52"/>
      <c r="D65" s="474">
        <v>6060</v>
      </c>
      <c r="E65" s="128" t="s">
        <v>164</v>
      </c>
      <c r="F65" s="260">
        <v>1143000</v>
      </c>
      <c r="G65" s="100">
        <v>852842.58</v>
      </c>
      <c r="H65" s="595">
        <f t="shared" si="52"/>
        <v>0.74614398950131233</v>
      </c>
      <c r="I65" s="102">
        <v>1117842.58</v>
      </c>
      <c r="J65" s="1129">
        <v>650000</v>
      </c>
      <c r="K65" s="1284">
        <v>-350000</v>
      </c>
      <c r="L65" s="411">
        <f t="shared" si="53"/>
        <v>300000</v>
      </c>
      <c r="M65" s="259">
        <f t="shared" si="5"/>
        <v>0.26246719160104987</v>
      </c>
      <c r="N65" s="399" t="s">
        <v>377</v>
      </c>
      <c r="O65" s="392"/>
      <c r="P65" s="392"/>
      <c r="Q65" s="393">
        <f>J65-350000</f>
        <v>300000</v>
      </c>
      <c r="R65" s="467"/>
      <c r="S65" s="467"/>
      <c r="T65" s="393"/>
      <c r="U65" s="393"/>
      <c r="V65" s="393"/>
      <c r="W65" s="393"/>
      <c r="X65" s="393"/>
      <c r="Y65" s="393">
        <f t="shared" si="42"/>
        <v>300000</v>
      </c>
    </row>
    <row r="66" spans="1:25" x14ac:dyDescent="0.2">
      <c r="A66" s="416">
        <v>710</v>
      </c>
      <c r="B66" s="104"/>
      <c r="C66" s="104"/>
      <c r="D66" s="145"/>
      <c r="E66" s="146" t="s">
        <v>165</v>
      </c>
      <c r="F66" s="447">
        <f>F69+F72+F67</f>
        <v>63150</v>
      </c>
      <c r="G66" s="149">
        <f>G69+G72+G67</f>
        <v>24894.2</v>
      </c>
      <c r="H66" s="148">
        <f t="shared" si="0"/>
        <v>0.39420744259699131</v>
      </c>
      <c r="I66" s="149">
        <f>I69+I72+I67</f>
        <v>61599.74</v>
      </c>
      <c r="J66" s="1121">
        <f>J69+J72+J67</f>
        <v>165000</v>
      </c>
      <c r="K66" s="1218">
        <f t="shared" ref="K66:L66" si="55">K69+K72+K67</f>
        <v>-50000</v>
      </c>
      <c r="L66" s="150">
        <f t="shared" si="55"/>
        <v>115000</v>
      </c>
      <c r="M66" s="171">
        <f t="shared" si="5"/>
        <v>1.8210609659540775</v>
      </c>
      <c r="N66" s="811"/>
      <c r="O66" s="405">
        <f>O69+O72+O67</f>
        <v>2000</v>
      </c>
      <c r="P66" s="405">
        <f t="shared" ref="P66:X66" si="56">P69+P72+P67</f>
        <v>0</v>
      </c>
      <c r="Q66" s="405">
        <f t="shared" si="56"/>
        <v>103000</v>
      </c>
      <c r="R66" s="405">
        <f t="shared" si="56"/>
        <v>0</v>
      </c>
      <c r="S66" s="405">
        <f t="shared" si="56"/>
        <v>0</v>
      </c>
      <c r="T66" s="405">
        <f t="shared" si="56"/>
        <v>0</v>
      </c>
      <c r="U66" s="405">
        <f t="shared" si="56"/>
        <v>0</v>
      </c>
      <c r="V66" s="405">
        <f t="shared" si="56"/>
        <v>10000</v>
      </c>
      <c r="W66" s="405">
        <f t="shared" si="56"/>
        <v>0</v>
      </c>
      <c r="X66" s="405">
        <f t="shared" si="56"/>
        <v>0</v>
      </c>
      <c r="Y66" s="405">
        <f t="shared" si="42"/>
        <v>115000</v>
      </c>
    </row>
    <row r="67" spans="1:25" x14ac:dyDescent="0.2">
      <c r="A67" s="23"/>
      <c r="B67" s="151">
        <v>71004</v>
      </c>
      <c r="C67" s="426"/>
      <c r="D67" s="152"/>
      <c r="E67" s="272" t="s">
        <v>378</v>
      </c>
      <c r="F67" s="305">
        <f>SUM(F68:F68)</f>
        <v>0</v>
      </c>
      <c r="G67" s="156">
        <f>SUM(G68:G68)</f>
        <v>0</v>
      </c>
      <c r="H67" s="157">
        <v>0</v>
      </c>
      <c r="I67" s="156">
        <f>SUM(I68:I68)</f>
        <v>0</v>
      </c>
      <c r="J67" s="1126">
        <f>SUM(J68:J68)</f>
        <v>153000</v>
      </c>
      <c r="K67" s="1221">
        <f t="shared" ref="K67:L67" si="57">SUM(K68:K68)</f>
        <v>-50000</v>
      </c>
      <c r="L67" s="158">
        <f t="shared" si="57"/>
        <v>103000</v>
      </c>
      <c r="M67" s="117">
        <v>0</v>
      </c>
      <c r="N67" s="803"/>
      <c r="O67" s="475">
        <f t="shared" ref="O67:X67" si="58">SUM(O68:O68)</f>
        <v>0</v>
      </c>
      <c r="P67" s="475">
        <f t="shared" si="58"/>
        <v>0</v>
      </c>
      <c r="Q67" s="475">
        <f t="shared" si="58"/>
        <v>103000</v>
      </c>
      <c r="R67" s="475">
        <f t="shared" si="58"/>
        <v>0</v>
      </c>
      <c r="S67" s="475">
        <f t="shared" si="58"/>
        <v>0</v>
      </c>
      <c r="T67" s="475">
        <f t="shared" si="58"/>
        <v>0</v>
      </c>
      <c r="U67" s="475">
        <f t="shared" si="58"/>
        <v>0</v>
      </c>
      <c r="V67" s="475">
        <f t="shared" si="58"/>
        <v>0</v>
      </c>
      <c r="W67" s="475">
        <f t="shared" si="58"/>
        <v>0</v>
      </c>
      <c r="X67" s="475">
        <f t="shared" si="58"/>
        <v>0</v>
      </c>
      <c r="Y67" s="475">
        <f t="shared" ref="Y67:Y68" si="59">SUM(O67:X67)</f>
        <v>103000</v>
      </c>
    </row>
    <row r="68" spans="1:25" x14ac:dyDescent="0.2">
      <c r="A68" s="52"/>
      <c r="B68" s="52"/>
      <c r="C68" s="203"/>
      <c r="D68" s="402">
        <v>4300</v>
      </c>
      <c r="E68" s="119" t="s">
        <v>143</v>
      </c>
      <c r="F68" s="140">
        <v>0</v>
      </c>
      <c r="G68" s="56">
        <v>0</v>
      </c>
      <c r="H68" s="57">
        <v>0</v>
      </c>
      <c r="I68" s="58">
        <v>0</v>
      </c>
      <c r="J68" s="1108">
        <v>153000</v>
      </c>
      <c r="K68" s="1227">
        <v>-50000</v>
      </c>
      <c r="L68" s="103">
        <f>J68+K68</f>
        <v>103000</v>
      </c>
      <c r="M68" s="280">
        <v>0</v>
      </c>
      <c r="N68" s="399"/>
      <c r="O68" s="392"/>
      <c r="P68" s="392"/>
      <c r="Q68" s="393">
        <f>J68-50000</f>
        <v>103000</v>
      </c>
      <c r="R68" s="392"/>
      <c r="S68" s="392"/>
      <c r="T68" s="393"/>
      <c r="U68" s="393"/>
      <c r="V68" s="393"/>
      <c r="W68" s="393"/>
      <c r="X68" s="393"/>
      <c r="Y68" s="393">
        <f t="shared" si="59"/>
        <v>103000</v>
      </c>
    </row>
    <row r="69" spans="1:25" x14ac:dyDescent="0.2">
      <c r="A69" s="23"/>
      <c r="B69" s="246">
        <v>71014</v>
      </c>
      <c r="C69" s="247"/>
      <c r="D69" s="248"/>
      <c r="E69" s="249" t="s">
        <v>166</v>
      </c>
      <c r="F69" s="317">
        <f>SUM(F70:F71)</f>
        <v>53150</v>
      </c>
      <c r="G69" s="306">
        <f>SUM(G70:G71)</f>
        <v>24894.2</v>
      </c>
      <c r="H69" s="251">
        <f t="shared" si="0"/>
        <v>0.468376293508937</v>
      </c>
      <c r="I69" s="306">
        <f>SUM(I70:I71)</f>
        <v>51599.74</v>
      </c>
      <c r="J69" s="1131">
        <f>SUM(J70:J71)</f>
        <v>0</v>
      </c>
      <c r="K69" s="1226">
        <f t="shared" ref="K69:L69" si="60">SUM(K70:K71)</f>
        <v>0</v>
      </c>
      <c r="L69" s="307">
        <f t="shared" si="60"/>
        <v>0</v>
      </c>
      <c r="M69" s="78">
        <f t="shared" ref="M69:M132" si="61">L69/F69</f>
        <v>0</v>
      </c>
      <c r="N69" s="803"/>
      <c r="O69" s="475">
        <f t="shared" ref="O69:X69" si="62">SUM(O70:O71)</f>
        <v>0</v>
      </c>
      <c r="P69" s="475">
        <f t="shared" si="62"/>
        <v>0</v>
      </c>
      <c r="Q69" s="475">
        <f t="shared" si="62"/>
        <v>0</v>
      </c>
      <c r="R69" s="475">
        <f t="shared" si="62"/>
        <v>0</v>
      </c>
      <c r="S69" s="475">
        <f t="shared" si="62"/>
        <v>0</v>
      </c>
      <c r="T69" s="475">
        <f t="shared" si="62"/>
        <v>0</v>
      </c>
      <c r="U69" s="475">
        <f t="shared" si="62"/>
        <v>0</v>
      </c>
      <c r="V69" s="475">
        <f t="shared" si="62"/>
        <v>0</v>
      </c>
      <c r="W69" s="475">
        <f t="shared" si="62"/>
        <v>0</v>
      </c>
      <c r="X69" s="475">
        <f t="shared" si="62"/>
        <v>0</v>
      </c>
      <c r="Y69" s="475">
        <f t="shared" si="42"/>
        <v>0</v>
      </c>
    </row>
    <row r="70" spans="1:25" x14ac:dyDescent="0.2">
      <c r="A70" s="52"/>
      <c r="B70" s="52"/>
      <c r="C70" s="240"/>
      <c r="D70" s="446">
        <v>4170</v>
      </c>
      <c r="E70" s="199" t="s">
        <v>148</v>
      </c>
      <c r="F70" s="415">
        <v>2220</v>
      </c>
      <c r="G70" s="100">
        <v>0</v>
      </c>
      <c r="H70" s="101">
        <f t="shared" si="0"/>
        <v>0</v>
      </c>
      <c r="I70" s="102">
        <v>740</v>
      </c>
      <c r="J70" s="1112">
        <v>0</v>
      </c>
      <c r="K70" s="58"/>
      <c r="L70" s="59">
        <f>J70+K70</f>
        <v>0</v>
      </c>
      <c r="M70" s="280">
        <f t="shared" si="61"/>
        <v>0</v>
      </c>
      <c r="N70" s="399"/>
      <c r="O70" s="392"/>
      <c r="P70" s="392"/>
      <c r="Q70" s="393"/>
      <c r="R70" s="392"/>
      <c r="S70" s="392"/>
      <c r="T70" s="393"/>
      <c r="U70" s="393"/>
      <c r="V70" s="393"/>
      <c r="W70" s="393"/>
      <c r="X70" s="393"/>
      <c r="Y70" s="393">
        <f t="shared" si="42"/>
        <v>0</v>
      </c>
    </row>
    <row r="71" spans="1:25" x14ac:dyDescent="0.2">
      <c r="A71" s="52"/>
      <c r="B71" s="52"/>
      <c r="C71" s="203"/>
      <c r="D71" s="402">
        <v>4300</v>
      </c>
      <c r="E71" s="119" t="s">
        <v>143</v>
      </c>
      <c r="F71" s="140">
        <v>50930</v>
      </c>
      <c r="G71" s="56">
        <v>24894.2</v>
      </c>
      <c r="H71" s="57">
        <f t="shared" si="0"/>
        <v>0.48879246023954448</v>
      </c>
      <c r="I71" s="58">
        <v>50859.74</v>
      </c>
      <c r="J71" s="1108">
        <v>0</v>
      </c>
      <c r="K71" s="102"/>
      <c r="L71" s="59">
        <f>J71+K71</f>
        <v>0</v>
      </c>
      <c r="M71" s="280">
        <f t="shared" si="61"/>
        <v>0</v>
      </c>
      <c r="N71" s="399"/>
      <c r="O71" s="392"/>
      <c r="P71" s="392"/>
      <c r="Q71" s="393"/>
      <c r="R71" s="392"/>
      <c r="S71" s="392"/>
      <c r="T71" s="393"/>
      <c r="U71" s="393"/>
      <c r="V71" s="393"/>
      <c r="W71" s="393"/>
      <c r="X71" s="393"/>
      <c r="Y71" s="393">
        <f t="shared" si="42"/>
        <v>0</v>
      </c>
    </row>
    <row r="72" spans="1:25" x14ac:dyDescent="0.2">
      <c r="A72" s="52"/>
      <c r="B72" s="90">
        <v>71035</v>
      </c>
      <c r="C72" s="186"/>
      <c r="D72" s="45"/>
      <c r="E72" s="76" t="s">
        <v>167</v>
      </c>
      <c r="F72" s="187">
        <f>F73</f>
        <v>10000</v>
      </c>
      <c r="G72" s="115">
        <f>G73</f>
        <v>0</v>
      </c>
      <c r="H72" s="114">
        <f t="shared" si="0"/>
        <v>0</v>
      </c>
      <c r="I72" s="115">
        <f>I73</f>
        <v>10000</v>
      </c>
      <c r="J72" s="1132">
        <f>J73</f>
        <v>12000</v>
      </c>
      <c r="K72" s="1228">
        <f t="shared" ref="K72:L72" si="63">K73</f>
        <v>0</v>
      </c>
      <c r="L72" s="116">
        <f t="shared" si="63"/>
        <v>12000</v>
      </c>
      <c r="M72" s="78">
        <f t="shared" si="61"/>
        <v>1.2</v>
      </c>
      <c r="N72" s="800"/>
      <c r="O72" s="397">
        <f t="shared" ref="O72:X72" si="64">O73</f>
        <v>2000</v>
      </c>
      <c r="P72" s="397">
        <f t="shared" si="64"/>
        <v>0</v>
      </c>
      <c r="Q72" s="397">
        <f t="shared" si="64"/>
        <v>0</v>
      </c>
      <c r="R72" s="397">
        <f t="shared" si="64"/>
        <v>0</v>
      </c>
      <c r="S72" s="397">
        <f t="shared" si="64"/>
        <v>0</v>
      </c>
      <c r="T72" s="397">
        <f t="shared" si="64"/>
        <v>0</v>
      </c>
      <c r="U72" s="397">
        <f t="shared" si="64"/>
        <v>0</v>
      </c>
      <c r="V72" s="397">
        <f t="shared" si="64"/>
        <v>10000</v>
      </c>
      <c r="W72" s="397">
        <f t="shared" si="64"/>
        <v>0</v>
      </c>
      <c r="X72" s="397">
        <f t="shared" si="64"/>
        <v>0</v>
      </c>
      <c r="Y72" s="397">
        <f t="shared" si="42"/>
        <v>12000</v>
      </c>
    </row>
    <row r="73" spans="1:25" ht="19.5" x14ac:dyDescent="0.2">
      <c r="A73" s="159"/>
      <c r="B73" s="159"/>
      <c r="C73" s="203"/>
      <c r="D73" s="402">
        <v>4300</v>
      </c>
      <c r="E73" s="119" t="s">
        <v>143</v>
      </c>
      <c r="F73" s="120">
        <v>10000</v>
      </c>
      <c r="G73" s="56">
        <v>0</v>
      </c>
      <c r="H73" s="57">
        <f t="shared" si="0"/>
        <v>0</v>
      </c>
      <c r="I73" s="58">
        <v>10000</v>
      </c>
      <c r="J73" s="1108">
        <f>10000+2000</f>
        <v>12000</v>
      </c>
      <c r="K73" s="102"/>
      <c r="L73" s="103">
        <f>J73+K73</f>
        <v>12000</v>
      </c>
      <c r="M73" s="280">
        <f t="shared" si="61"/>
        <v>1.2</v>
      </c>
      <c r="N73" s="399" t="s">
        <v>408</v>
      </c>
      <c r="O73" s="392">
        <v>2000</v>
      </c>
      <c r="P73" s="392"/>
      <c r="Q73" s="393"/>
      <c r="R73" s="392"/>
      <c r="S73" s="392"/>
      <c r="T73" s="393"/>
      <c r="U73" s="393"/>
      <c r="V73" s="393">
        <v>10000</v>
      </c>
      <c r="W73" s="393"/>
      <c r="X73" s="393"/>
      <c r="Y73" s="393">
        <f t="shared" si="42"/>
        <v>12000</v>
      </c>
    </row>
    <row r="74" spans="1:25" x14ac:dyDescent="0.2">
      <c r="A74" s="476">
        <v>750</v>
      </c>
      <c r="B74" s="477"/>
      <c r="C74" s="477"/>
      <c r="D74" s="105"/>
      <c r="E74" s="478" t="s">
        <v>39</v>
      </c>
      <c r="F74" s="107">
        <f>F75+F83+F89+F122+F126</f>
        <v>4456155.29</v>
      </c>
      <c r="G74" s="107">
        <f>G75+G83+G89+G122+G126</f>
        <v>3151249.7599999993</v>
      </c>
      <c r="H74" s="108">
        <f>G74/F74</f>
        <v>0.70716785096598356</v>
      </c>
      <c r="I74" s="107">
        <f>I75+I83+I89+I122+I126</f>
        <v>4279161.58</v>
      </c>
      <c r="J74" s="1133">
        <f>J75+J83+J89+J122+J126</f>
        <v>4600119</v>
      </c>
      <c r="K74" s="1229">
        <f t="shared" ref="K74:L74" si="65">K75+K83+K89+K122+K126</f>
        <v>-191981</v>
      </c>
      <c r="L74" s="110">
        <f t="shared" si="65"/>
        <v>4408138</v>
      </c>
      <c r="M74" s="171">
        <f t="shared" si="61"/>
        <v>0.98922450254196592</v>
      </c>
      <c r="N74" s="816"/>
      <c r="O74" s="479">
        <f t="shared" ref="O74:X74" si="66">O75+O83+O89+O122+O126</f>
        <v>0</v>
      </c>
      <c r="P74" s="479">
        <f t="shared" si="66"/>
        <v>0</v>
      </c>
      <c r="Q74" s="479">
        <f t="shared" si="66"/>
        <v>0</v>
      </c>
      <c r="R74" s="479">
        <f t="shared" si="66"/>
        <v>0</v>
      </c>
      <c r="S74" s="479">
        <f t="shared" si="66"/>
        <v>1075943.55</v>
      </c>
      <c r="T74" s="479">
        <f t="shared" si="66"/>
        <v>3283194.4499999997</v>
      </c>
      <c r="U74" s="479">
        <f t="shared" si="66"/>
        <v>0</v>
      </c>
      <c r="V74" s="479">
        <f t="shared" si="66"/>
        <v>49000</v>
      </c>
      <c r="W74" s="479">
        <f t="shared" si="66"/>
        <v>0</v>
      </c>
      <c r="X74" s="479">
        <f t="shared" si="66"/>
        <v>0</v>
      </c>
      <c r="Y74" s="479">
        <f t="shared" si="42"/>
        <v>4408138</v>
      </c>
    </row>
    <row r="75" spans="1:25" x14ac:dyDescent="0.2">
      <c r="A75" s="23"/>
      <c r="B75" s="111">
        <v>75011</v>
      </c>
      <c r="C75" s="186"/>
      <c r="D75" s="45"/>
      <c r="E75" s="76" t="s">
        <v>40</v>
      </c>
      <c r="F75" s="244">
        <f>SUM(F76:F82)</f>
        <v>126943</v>
      </c>
      <c r="G75" s="115">
        <f>SUM(G76:G82)</f>
        <v>95235.000000000015</v>
      </c>
      <c r="H75" s="114">
        <f t="shared" si="0"/>
        <v>0.750218602049739</v>
      </c>
      <c r="I75" s="115">
        <f>SUM(I76:I82)</f>
        <v>126943</v>
      </c>
      <c r="J75" s="1132">
        <f>SUM(J76:J82)</f>
        <v>0</v>
      </c>
      <c r="K75" s="1040">
        <f t="shared" ref="K75:L75" si="67">SUM(K76:K82)</f>
        <v>137230</v>
      </c>
      <c r="L75" s="116">
        <f t="shared" si="67"/>
        <v>137230</v>
      </c>
      <c r="M75" s="78">
        <f t="shared" si="61"/>
        <v>1.0810363706545458</v>
      </c>
      <c r="N75" s="817"/>
      <c r="O75" s="444">
        <f t="shared" ref="O75:X75" si="68">SUM(O76:O82)</f>
        <v>0</v>
      </c>
      <c r="P75" s="444">
        <f t="shared" si="68"/>
        <v>0</v>
      </c>
      <c r="Q75" s="444">
        <f t="shared" si="68"/>
        <v>0</v>
      </c>
      <c r="R75" s="444">
        <f t="shared" si="68"/>
        <v>0</v>
      </c>
      <c r="S75" s="444">
        <f t="shared" si="68"/>
        <v>7117.14</v>
      </c>
      <c r="T75" s="444">
        <f t="shared" si="68"/>
        <v>130112.86</v>
      </c>
      <c r="U75" s="444">
        <f t="shared" si="68"/>
        <v>0</v>
      </c>
      <c r="V75" s="444">
        <f t="shared" si="68"/>
        <v>0</v>
      </c>
      <c r="W75" s="444">
        <f t="shared" si="68"/>
        <v>0</v>
      </c>
      <c r="X75" s="444">
        <f t="shared" si="68"/>
        <v>0</v>
      </c>
      <c r="Y75" s="444">
        <f t="shared" si="42"/>
        <v>137230</v>
      </c>
    </row>
    <row r="76" spans="1:25" x14ac:dyDescent="0.2">
      <c r="A76" s="52"/>
      <c r="B76" s="52"/>
      <c r="C76" s="203"/>
      <c r="D76" s="402">
        <v>4010</v>
      </c>
      <c r="E76" s="119" t="s">
        <v>139</v>
      </c>
      <c r="F76" s="140">
        <v>92741.08</v>
      </c>
      <c r="G76" s="480">
        <v>70225.850000000006</v>
      </c>
      <c r="H76" s="481">
        <f t="shared" si="0"/>
        <v>0.75722484577492521</v>
      </c>
      <c r="I76" s="140">
        <v>92741.08</v>
      </c>
      <c r="J76" s="1134"/>
      <c r="K76" s="543">
        <v>100978.65</v>
      </c>
      <c r="L76" s="225">
        <f>J76+K76</f>
        <v>100978.65</v>
      </c>
      <c r="M76" s="280">
        <f t="shared" si="61"/>
        <v>1.0888233132501799</v>
      </c>
      <c r="N76" s="465" t="s">
        <v>168</v>
      </c>
      <c r="O76" s="392"/>
      <c r="P76" s="392"/>
      <c r="Q76" s="393"/>
      <c r="R76" s="482"/>
      <c r="S76" s="483"/>
      <c r="T76" s="484">
        <f>L76</f>
        <v>100978.65</v>
      </c>
      <c r="U76" s="485"/>
      <c r="V76" s="393"/>
      <c r="W76" s="393"/>
      <c r="X76" s="393"/>
      <c r="Y76" s="393">
        <f t="shared" si="42"/>
        <v>100978.65</v>
      </c>
    </row>
    <row r="77" spans="1:25" x14ac:dyDescent="0.2">
      <c r="A77" s="52"/>
      <c r="B77" s="52"/>
      <c r="C77" s="333"/>
      <c r="D77" s="468">
        <v>4040</v>
      </c>
      <c r="E77" s="81" t="s">
        <v>169</v>
      </c>
      <c r="F77" s="196">
        <v>7414.27</v>
      </c>
      <c r="G77" s="56">
        <v>7414.27</v>
      </c>
      <c r="H77" s="481">
        <f t="shared" si="0"/>
        <v>1</v>
      </c>
      <c r="I77" s="196">
        <v>7414.27</v>
      </c>
      <c r="J77" s="1108"/>
      <c r="K77" s="102">
        <v>7775</v>
      </c>
      <c r="L77" s="225">
        <f t="shared" ref="L77:L82" si="69">J77+K77</f>
        <v>7775</v>
      </c>
      <c r="M77" s="280">
        <f t="shared" si="61"/>
        <v>1.0486534749880971</v>
      </c>
      <c r="N77" s="466" t="s">
        <v>168</v>
      </c>
      <c r="O77" s="392"/>
      <c r="P77" s="392"/>
      <c r="Q77" s="393"/>
      <c r="R77" s="482"/>
      <c r="S77" s="486"/>
      <c r="T77" s="484">
        <f t="shared" ref="T77:T79" si="70">L77</f>
        <v>7775</v>
      </c>
      <c r="U77" s="485"/>
      <c r="V77" s="393"/>
      <c r="W77" s="393"/>
      <c r="X77" s="393"/>
      <c r="Y77" s="393">
        <f t="shared" si="42"/>
        <v>7775</v>
      </c>
    </row>
    <row r="78" spans="1:25" x14ac:dyDescent="0.2">
      <c r="A78" s="52"/>
      <c r="B78" s="52"/>
      <c r="C78" s="159"/>
      <c r="D78" s="309">
        <v>4110</v>
      </c>
      <c r="E78" s="122" t="s">
        <v>140</v>
      </c>
      <c r="F78" s="123">
        <v>17216.7</v>
      </c>
      <c r="G78" s="100">
        <v>13346.3</v>
      </c>
      <c r="H78" s="481">
        <f t="shared" si="0"/>
        <v>0.77519501414324454</v>
      </c>
      <c r="I78" s="123">
        <v>17216.7</v>
      </c>
      <c r="J78" s="1112"/>
      <c r="K78" s="102">
        <v>18694.75</v>
      </c>
      <c r="L78" s="225">
        <f t="shared" si="69"/>
        <v>18694.75</v>
      </c>
      <c r="M78" s="280">
        <f t="shared" si="61"/>
        <v>1.0858497853827969</v>
      </c>
      <c r="N78" s="466" t="s">
        <v>168</v>
      </c>
      <c r="O78" s="392"/>
      <c r="P78" s="392"/>
      <c r="Q78" s="393"/>
      <c r="R78" s="482"/>
      <c r="S78" s="486"/>
      <c r="T78" s="484">
        <f t="shared" si="70"/>
        <v>18694.75</v>
      </c>
      <c r="U78" s="485"/>
      <c r="V78" s="393"/>
      <c r="W78" s="393"/>
      <c r="X78" s="393"/>
      <c r="Y78" s="393">
        <f t="shared" ref="Y78:Y106" si="71">SUM(O78:X78)</f>
        <v>18694.75</v>
      </c>
    </row>
    <row r="79" spans="1:25" x14ac:dyDescent="0.2">
      <c r="A79" s="52"/>
      <c r="B79" s="52"/>
      <c r="C79" s="240"/>
      <c r="D79" s="446">
        <v>4120</v>
      </c>
      <c r="E79" s="199" t="s">
        <v>141</v>
      </c>
      <c r="F79" s="488">
        <v>2453.81</v>
      </c>
      <c r="G79" s="261">
        <v>1902.19</v>
      </c>
      <c r="H79" s="101">
        <f t="shared" si="0"/>
        <v>0.77519856875634219</v>
      </c>
      <c r="I79" s="161">
        <v>2453.81</v>
      </c>
      <c r="J79" s="1112"/>
      <c r="K79" s="102">
        <v>2664.46</v>
      </c>
      <c r="L79" s="225">
        <f t="shared" si="69"/>
        <v>2664.46</v>
      </c>
      <c r="M79" s="280">
        <f t="shared" si="61"/>
        <v>1.0858460924032423</v>
      </c>
      <c r="N79" s="466" t="s">
        <v>168</v>
      </c>
      <c r="O79" s="392"/>
      <c r="P79" s="392"/>
      <c r="Q79" s="393"/>
      <c r="R79" s="482"/>
      <c r="S79" s="486"/>
      <c r="T79" s="484">
        <f t="shared" si="70"/>
        <v>2664.46</v>
      </c>
      <c r="U79" s="485"/>
      <c r="V79" s="393"/>
      <c r="W79" s="393"/>
      <c r="X79" s="393"/>
      <c r="Y79" s="393">
        <f t="shared" si="71"/>
        <v>2664.46</v>
      </c>
    </row>
    <row r="80" spans="1:25" x14ac:dyDescent="0.2">
      <c r="A80" s="52"/>
      <c r="B80" s="52"/>
      <c r="C80" s="203"/>
      <c r="D80" s="402">
        <v>4210</v>
      </c>
      <c r="E80" s="119" t="s">
        <v>142</v>
      </c>
      <c r="F80" s="472">
        <v>1892.27</v>
      </c>
      <c r="G80" s="56">
        <v>1702.8</v>
      </c>
      <c r="H80" s="481">
        <f t="shared" si="0"/>
        <v>0.89987158280795021</v>
      </c>
      <c r="I80" s="472">
        <v>1892.27</v>
      </c>
      <c r="J80" s="1108"/>
      <c r="K80" s="102">
        <v>1892.27</v>
      </c>
      <c r="L80" s="225">
        <f t="shared" si="69"/>
        <v>1892.27</v>
      </c>
      <c r="M80" s="280">
        <f t="shared" si="61"/>
        <v>1</v>
      </c>
      <c r="N80" s="399" t="s">
        <v>168</v>
      </c>
      <c r="O80" s="392"/>
      <c r="P80" s="392"/>
      <c r="Q80" s="393"/>
      <c r="R80" s="482"/>
      <c r="S80" s="489">
        <f>L80</f>
        <v>1892.27</v>
      </c>
      <c r="T80" s="487"/>
      <c r="U80" s="485"/>
      <c r="V80" s="393"/>
      <c r="W80" s="393"/>
      <c r="X80" s="393"/>
      <c r="Y80" s="393">
        <f t="shared" si="71"/>
        <v>1892.27</v>
      </c>
    </row>
    <row r="81" spans="1:25" ht="19.5" x14ac:dyDescent="0.2">
      <c r="A81" s="52"/>
      <c r="B81" s="52"/>
      <c r="C81" s="159"/>
      <c r="D81" s="309">
        <v>4300</v>
      </c>
      <c r="E81" s="122" t="s">
        <v>143</v>
      </c>
      <c r="F81" s="99">
        <v>3931</v>
      </c>
      <c r="G81" s="100">
        <v>0</v>
      </c>
      <c r="H81" s="101">
        <f t="shared" si="0"/>
        <v>0</v>
      </c>
      <c r="I81" s="1187">
        <v>3931</v>
      </c>
      <c r="J81" s="1112"/>
      <c r="K81" s="102">
        <v>3931</v>
      </c>
      <c r="L81" s="225">
        <f t="shared" si="69"/>
        <v>3931</v>
      </c>
      <c r="M81" s="280">
        <f t="shared" si="61"/>
        <v>1</v>
      </c>
      <c r="N81" s="399" t="s">
        <v>170</v>
      </c>
      <c r="O81" s="392"/>
      <c r="P81" s="392"/>
      <c r="Q81" s="393"/>
      <c r="R81" s="482"/>
      <c r="S81" s="489">
        <f t="shared" ref="S81:S82" si="72">L81</f>
        <v>3931</v>
      </c>
      <c r="T81" s="487"/>
      <c r="U81" s="485"/>
      <c r="V81" s="393"/>
      <c r="W81" s="393"/>
      <c r="X81" s="393"/>
      <c r="Y81" s="393">
        <f t="shared" si="71"/>
        <v>3931</v>
      </c>
    </row>
    <row r="82" spans="1:25" x14ac:dyDescent="0.2">
      <c r="A82" s="52"/>
      <c r="B82" s="52"/>
      <c r="C82" s="240"/>
      <c r="D82" s="446">
        <v>4410</v>
      </c>
      <c r="E82" s="199" t="s">
        <v>144</v>
      </c>
      <c r="F82" s="99">
        <v>1293.8699999999999</v>
      </c>
      <c r="G82" s="100">
        <v>643.59</v>
      </c>
      <c r="H82" s="481">
        <f t="shared" si="0"/>
        <v>0.4974147325465465</v>
      </c>
      <c r="I82" s="1187">
        <v>1293.8699999999999</v>
      </c>
      <c r="J82" s="1109"/>
      <c r="K82" s="263">
        <v>1293.8699999999999</v>
      </c>
      <c r="L82" s="225">
        <f t="shared" si="69"/>
        <v>1293.8699999999999</v>
      </c>
      <c r="M82" s="280">
        <f t="shared" si="61"/>
        <v>1</v>
      </c>
      <c r="N82" s="466" t="s">
        <v>168</v>
      </c>
      <c r="O82" s="392"/>
      <c r="P82" s="392"/>
      <c r="Q82" s="393"/>
      <c r="R82" s="482"/>
      <c r="S82" s="489">
        <f t="shared" si="72"/>
        <v>1293.8699999999999</v>
      </c>
      <c r="T82" s="490"/>
      <c r="U82" s="485"/>
      <c r="V82" s="393"/>
      <c r="W82" s="393"/>
      <c r="X82" s="393"/>
      <c r="Y82" s="393">
        <f t="shared" si="71"/>
        <v>1293.8699999999999</v>
      </c>
    </row>
    <row r="83" spans="1:25" x14ac:dyDescent="0.2">
      <c r="A83" s="52"/>
      <c r="B83" s="90">
        <v>75022</v>
      </c>
      <c r="C83" s="44"/>
      <c r="D83" s="75"/>
      <c r="E83" s="46" t="s">
        <v>171</v>
      </c>
      <c r="F83" s="244">
        <f>SUM(F84:F88)</f>
        <v>304097.24</v>
      </c>
      <c r="G83" s="244">
        <f t="shared" ref="G83:I83" si="73">SUM(G84:G88)</f>
        <v>190645.13999999998</v>
      </c>
      <c r="H83" s="1181">
        <f t="shared" si="0"/>
        <v>0.62692163861796313</v>
      </c>
      <c r="I83" s="244">
        <f t="shared" si="73"/>
        <v>297455.24999999994</v>
      </c>
      <c r="J83" s="1107">
        <f>SUM(J84:J88)</f>
        <v>320000</v>
      </c>
      <c r="K83" s="1230">
        <f t="shared" ref="K83:L83" si="74">SUM(K84:K88)</f>
        <v>-4000</v>
      </c>
      <c r="L83" s="50">
        <f t="shared" si="74"/>
        <v>316000</v>
      </c>
      <c r="M83" s="78">
        <f t="shared" si="61"/>
        <v>1.0391412957250121</v>
      </c>
      <c r="N83" s="800"/>
      <c r="O83" s="397">
        <f t="shared" ref="O83:X83" si="75">SUM(O84:O88)</f>
        <v>0</v>
      </c>
      <c r="P83" s="397">
        <f t="shared" si="75"/>
        <v>0</v>
      </c>
      <c r="Q83" s="397">
        <f t="shared" si="75"/>
        <v>0</v>
      </c>
      <c r="R83" s="397">
        <f t="shared" si="75"/>
        <v>0</v>
      </c>
      <c r="S83" s="397">
        <f t="shared" si="75"/>
        <v>316000</v>
      </c>
      <c r="T83" s="397">
        <f t="shared" si="75"/>
        <v>0</v>
      </c>
      <c r="U83" s="397">
        <f t="shared" si="75"/>
        <v>0</v>
      </c>
      <c r="V83" s="397">
        <f t="shared" si="75"/>
        <v>0</v>
      </c>
      <c r="W83" s="397">
        <f t="shared" si="75"/>
        <v>0</v>
      </c>
      <c r="X83" s="397">
        <f t="shared" si="75"/>
        <v>0</v>
      </c>
      <c r="Y83" s="397">
        <f t="shared" si="71"/>
        <v>316000</v>
      </c>
    </row>
    <row r="84" spans="1:25" x14ac:dyDescent="0.2">
      <c r="A84" s="52"/>
      <c r="B84" s="52"/>
      <c r="C84" s="79"/>
      <c r="D84" s="400">
        <v>3030</v>
      </c>
      <c r="E84" s="81" t="s">
        <v>172</v>
      </c>
      <c r="F84" s="201">
        <v>264097.24</v>
      </c>
      <c r="G84" s="56">
        <v>170718.71</v>
      </c>
      <c r="H84" s="57">
        <f t="shared" si="0"/>
        <v>0.64642368091389368</v>
      </c>
      <c r="I84" s="58">
        <v>258836.59</v>
      </c>
      <c r="J84" s="1134">
        <v>280000</v>
      </c>
      <c r="K84" s="58"/>
      <c r="L84" s="1256">
        <f>J84+K84</f>
        <v>280000</v>
      </c>
      <c r="M84" s="280">
        <f t="shared" si="61"/>
        <v>1.0602155478792585</v>
      </c>
      <c r="N84" s="399"/>
      <c r="O84" s="392"/>
      <c r="P84" s="392"/>
      <c r="Q84" s="393"/>
      <c r="R84" s="56"/>
      <c r="S84" s="56">
        <f>J84</f>
        <v>280000</v>
      </c>
      <c r="T84" s="393"/>
      <c r="U84" s="393"/>
      <c r="V84" s="393"/>
      <c r="W84" s="393"/>
      <c r="X84" s="393"/>
      <c r="Y84" s="393">
        <f t="shared" si="71"/>
        <v>280000</v>
      </c>
    </row>
    <row r="85" spans="1:25" x14ac:dyDescent="0.2">
      <c r="A85" s="52"/>
      <c r="B85" s="52"/>
      <c r="C85" s="203"/>
      <c r="D85" s="402">
        <v>4190</v>
      </c>
      <c r="E85" s="119" t="s">
        <v>351</v>
      </c>
      <c r="F85" s="491">
        <v>4000</v>
      </c>
      <c r="G85" s="56">
        <v>1499</v>
      </c>
      <c r="H85" s="57">
        <f t="shared" si="0"/>
        <v>0.37475000000000003</v>
      </c>
      <c r="I85" s="58">
        <v>4000</v>
      </c>
      <c r="J85" s="1108">
        <v>4000</v>
      </c>
      <c r="K85" s="58"/>
      <c r="L85" s="1256">
        <f t="shared" ref="L85:L88" si="76">J85+K85</f>
        <v>4000</v>
      </c>
      <c r="M85" s="280">
        <f t="shared" si="61"/>
        <v>1</v>
      </c>
      <c r="N85" s="399"/>
      <c r="O85" s="392"/>
      <c r="P85" s="392"/>
      <c r="Q85" s="393"/>
      <c r="R85" s="56"/>
      <c r="S85" s="56">
        <f t="shared" ref="S85:S87" si="77">J85</f>
        <v>4000</v>
      </c>
      <c r="T85" s="393"/>
      <c r="U85" s="393"/>
      <c r="V85" s="393"/>
      <c r="W85" s="393"/>
      <c r="X85" s="393"/>
      <c r="Y85" s="393">
        <f t="shared" si="71"/>
        <v>4000</v>
      </c>
    </row>
    <row r="86" spans="1:25" x14ac:dyDescent="0.2">
      <c r="A86" s="52"/>
      <c r="B86" s="52"/>
      <c r="C86" s="240"/>
      <c r="D86" s="446">
        <v>4210</v>
      </c>
      <c r="E86" s="199" t="s">
        <v>142</v>
      </c>
      <c r="F86" s="445">
        <v>12000</v>
      </c>
      <c r="G86" s="100">
        <v>2691.8</v>
      </c>
      <c r="H86" s="57">
        <f t="shared" ref="H86:H88" si="78">G86/F86</f>
        <v>0.22431666666666669</v>
      </c>
      <c r="I86" s="102">
        <v>12000</v>
      </c>
      <c r="J86" s="1112">
        <v>22000</v>
      </c>
      <c r="K86" s="1206">
        <v>-2000</v>
      </c>
      <c r="L86" s="1256">
        <f t="shared" si="76"/>
        <v>20000</v>
      </c>
      <c r="M86" s="280">
        <f t="shared" si="61"/>
        <v>1.6666666666666667</v>
      </c>
      <c r="N86" s="466"/>
      <c r="O86" s="392"/>
      <c r="P86" s="392"/>
      <c r="Q86" s="393"/>
      <c r="R86" s="100"/>
      <c r="S86" s="56">
        <f>J86-2000</f>
        <v>20000</v>
      </c>
      <c r="T86" s="393"/>
      <c r="U86" s="393"/>
      <c r="V86" s="393"/>
      <c r="W86" s="393"/>
      <c r="X86" s="393"/>
      <c r="Y86" s="393">
        <f t="shared" si="71"/>
        <v>20000</v>
      </c>
    </row>
    <row r="87" spans="1:25" x14ac:dyDescent="0.2">
      <c r="A87" s="52"/>
      <c r="B87" s="52"/>
      <c r="C87" s="79"/>
      <c r="D87" s="400">
        <v>4300</v>
      </c>
      <c r="E87" s="81" t="s">
        <v>143</v>
      </c>
      <c r="F87" s="55">
        <v>22000</v>
      </c>
      <c r="G87" s="65">
        <v>14649.09</v>
      </c>
      <c r="H87" s="57">
        <f t="shared" si="78"/>
        <v>0.66586772727272725</v>
      </c>
      <c r="I87" s="67">
        <v>21532.12</v>
      </c>
      <c r="J87" s="1135">
        <v>10000</v>
      </c>
      <c r="K87" s="1206"/>
      <c r="L87" s="1256">
        <f t="shared" si="76"/>
        <v>10000</v>
      </c>
      <c r="M87" s="280">
        <f t="shared" si="61"/>
        <v>0.45454545454545453</v>
      </c>
      <c r="N87" s="492"/>
      <c r="O87" s="392"/>
      <c r="P87" s="392"/>
      <c r="Q87" s="393"/>
      <c r="R87" s="65"/>
      <c r="S87" s="56">
        <f t="shared" si="77"/>
        <v>10000</v>
      </c>
      <c r="T87" s="393"/>
      <c r="U87" s="393"/>
      <c r="V87" s="393"/>
      <c r="W87" s="393"/>
      <c r="X87" s="393"/>
      <c r="Y87" s="393">
        <f t="shared" si="71"/>
        <v>10000</v>
      </c>
    </row>
    <row r="88" spans="1:25" x14ac:dyDescent="0.2">
      <c r="A88" s="52"/>
      <c r="B88" s="159"/>
      <c r="C88" s="203"/>
      <c r="D88" s="402">
        <v>4420</v>
      </c>
      <c r="E88" s="212" t="s">
        <v>173</v>
      </c>
      <c r="F88" s="136">
        <v>2000</v>
      </c>
      <c r="G88" s="56">
        <v>1086.54</v>
      </c>
      <c r="H88" s="57">
        <f t="shared" si="78"/>
        <v>0.54327000000000003</v>
      </c>
      <c r="I88" s="58">
        <v>1086.54</v>
      </c>
      <c r="J88" s="1108">
        <v>4000</v>
      </c>
      <c r="K88" s="1206">
        <v>-2000</v>
      </c>
      <c r="L88" s="225">
        <f t="shared" si="76"/>
        <v>2000</v>
      </c>
      <c r="M88" s="280">
        <f t="shared" si="61"/>
        <v>1</v>
      </c>
      <c r="N88" s="399"/>
      <c r="O88" s="392"/>
      <c r="P88" s="392"/>
      <c r="Q88" s="393"/>
      <c r="R88" s="56"/>
      <c r="S88" s="56">
        <f>J88-2000</f>
        <v>2000</v>
      </c>
      <c r="T88" s="393"/>
      <c r="U88" s="393"/>
      <c r="V88" s="393"/>
      <c r="W88" s="393"/>
      <c r="X88" s="393"/>
      <c r="Y88" s="393">
        <f t="shared" si="71"/>
        <v>2000</v>
      </c>
    </row>
    <row r="89" spans="1:25" x14ac:dyDescent="0.2">
      <c r="A89" s="52"/>
      <c r="B89" s="111">
        <v>75023</v>
      </c>
      <c r="C89" s="186"/>
      <c r="D89" s="45"/>
      <c r="E89" s="76" t="s">
        <v>42</v>
      </c>
      <c r="F89" s="113">
        <f>F90+F91+F94+F98+F101+F104+F105+F106+F107+F108+F109+F110+F111+F112+F113+F114+F115+F116+F117+F118+F119+F120+F121</f>
        <v>3869615.05</v>
      </c>
      <c r="G89" s="113">
        <f t="shared" ref="G89:I89" si="79">G90+G91+G94+G98+G101+G104+G105+G106+G107+G108+G109+G110+G111+G112+G113+G114+G115+G116+G117+G118+G119+G120+G121</f>
        <v>2751094.5299999993</v>
      </c>
      <c r="H89" s="114">
        <f>G89/F89</f>
        <v>0.71094785772036928</v>
      </c>
      <c r="I89" s="113">
        <f t="shared" si="79"/>
        <v>3700319.2700000005</v>
      </c>
      <c r="J89" s="1191">
        <f t="shared" ref="J89:L89" si="80">J90+J91+J94+J98+J101+J104+J105+J106+J107+J108+J109+J110+J111+J112+J113+J114+J115+J116+J117+J118+J119+J120+J121</f>
        <v>4030975</v>
      </c>
      <c r="K89" s="113">
        <f t="shared" si="80"/>
        <v>-305211</v>
      </c>
      <c r="L89" s="1257">
        <f t="shared" si="80"/>
        <v>3725763.9999999995</v>
      </c>
      <c r="M89" s="78">
        <f t="shared" si="61"/>
        <v>0.96282548828726511</v>
      </c>
      <c r="N89" s="818"/>
      <c r="O89" s="442">
        <f>O90+O91+O94+O98+O101+O104+O105+O106+O107+O108+O109+O110+O111+O112+O113+O114+O115+O116+O117+O118+O119+O120+O121</f>
        <v>0</v>
      </c>
      <c r="P89" s="442">
        <f t="shared" ref="P89:W89" si="81">P90+P91+P94+P98+P101+P104+P105+P106+P107+P108+P109+P110+P111+P112+P113+P114+P115+P116+P117+P118+P119+P120+P121</f>
        <v>0</v>
      </c>
      <c r="Q89" s="442">
        <f t="shared" si="81"/>
        <v>0</v>
      </c>
      <c r="R89" s="442">
        <f t="shared" si="81"/>
        <v>0</v>
      </c>
      <c r="S89" s="442">
        <f t="shared" si="81"/>
        <v>653682.41</v>
      </c>
      <c r="T89" s="442">
        <f t="shared" si="81"/>
        <v>3072081.59</v>
      </c>
      <c r="U89" s="442">
        <f t="shared" si="81"/>
        <v>0</v>
      </c>
      <c r="V89" s="442">
        <f t="shared" si="81"/>
        <v>0</v>
      </c>
      <c r="W89" s="442">
        <f t="shared" si="81"/>
        <v>0</v>
      </c>
      <c r="X89" s="442">
        <f>X90+X91+X94+X98+X101+X104+X105+X106+X107+X108+X109+X110+X111+X112+X113+X114+X115+X116+X117+X118+X119+X120+X121</f>
        <v>0</v>
      </c>
      <c r="Y89" s="442">
        <f>Y90+Y91+Y94+Y98+Y101+Y104+Y105+Y106+Y107+Y108+Y109+Y110+Y111+Y112+Y113+Y114+Y115+Y116+Y117+Y118+Y119+Y120+Y121</f>
        <v>3725763.9999999995</v>
      </c>
    </row>
    <row r="90" spans="1:25" x14ac:dyDescent="0.2">
      <c r="A90" s="52"/>
      <c r="B90" s="52"/>
      <c r="C90" s="203"/>
      <c r="D90" s="402">
        <v>3020</v>
      </c>
      <c r="E90" s="119" t="s">
        <v>174</v>
      </c>
      <c r="F90" s="491">
        <v>6000</v>
      </c>
      <c r="G90" s="56">
        <v>4766.91</v>
      </c>
      <c r="H90" s="57">
        <f t="shared" ref="H90:H193" si="82">G90/F90</f>
        <v>0.794485</v>
      </c>
      <c r="I90" s="58">
        <v>6000</v>
      </c>
      <c r="J90" s="1108">
        <v>6500</v>
      </c>
      <c r="K90" s="102"/>
      <c r="L90" s="103">
        <f t="shared" ref="L90:L96" si="83">J90+K90</f>
        <v>6500</v>
      </c>
      <c r="M90" s="280">
        <f t="shared" si="61"/>
        <v>1.0833333333333333</v>
      </c>
      <c r="N90" s="399"/>
      <c r="O90" s="392"/>
      <c r="P90" s="392"/>
      <c r="Q90" s="393"/>
      <c r="R90" s="392"/>
      <c r="S90" s="392">
        <v>6500</v>
      </c>
      <c r="T90" s="393"/>
      <c r="U90" s="393"/>
      <c r="V90" s="393"/>
      <c r="W90" s="393"/>
      <c r="X90" s="393"/>
      <c r="Y90" s="393">
        <f t="shared" si="71"/>
        <v>6500</v>
      </c>
    </row>
    <row r="91" spans="1:25" ht="22.5" x14ac:dyDescent="0.2">
      <c r="A91" s="52"/>
      <c r="B91" s="52"/>
      <c r="C91" s="333"/>
      <c r="D91" s="468">
        <v>4010</v>
      </c>
      <c r="E91" s="125" t="s">
        <v>175</v>
      </c>
      <c r="F91" s="334">
        <v>2447386.66</v>
      </c>
      <c r="G91" s="334">
        <f>G92+G93</f>
        <v>1745715.73</v>
      </c>
      <c r="H91" s="57">
        <f t="shared" si="82"/>
        <v>0.71329788567205799</v>
      </c>
      <c r="I91" s="58">
        <f>I92+I93</f>
        <v>2385439.5900000003</v>
      </c>
      <c r="J91" s="1108">
        <f>J92+J93</f>
        <v>2553800</v>
      </c>
      <c r="K91" s="58">
        <f>-(2909.57+100978.65+105245.17)</f>
        <v>-209133.39</v>
      </c>
      <c r="L91" s="59">
        <f t="shared" si="83"/>
        <v>2344666.61</v>
      </c>
      <c r="M91" s="280">
        <f t="shared" si="61"/>
        <v>0.95802867945680459</v>
      </c>
      <c r="N91" s="403" t="s">
        <v>400</v>
      </c>
      <c r="O91" s="392"/>
      <c r="P91" s="392"/>
      <c r="Q91" s="393"/>
      <c r="R91" s="392"/>
      <c r="S91" s="392"/>
      <c r="T91" s="393">
        <f>L91</f>
        <v>2344666.61</v>
      </c>
      <c r="U91" s="393"/>
      <c r="V91" s="393"/>
      <c r="W91" s="393"/>
      <c r="X91" s="393"/>
      <c r="Y91" s="393">
        <f t="shared" si="71"/>
        <v>2344666.61</v>
      </c>
    </row>
    <row r="92" spans="1:25" ht="19.5" x14ac:dyDescent="0.2">
      <c r="A92" s="52"/>
      <c r="B92" s="52"/>
      <c r="C92" s="52"/>
      <c r="D92" s="474"/>
      <c r="E92" s="493" t="s">
        <v>39</v>
      </c>
      <c r="F92" s="494">
        <f>F91-F93</f>
        <v>2278316.04</v>
      </c>
      <c r="G92" s="495">
        <v>1624194.65</v>
      </c>
      <c r="H92" s="496">
        <f t="shared" si="82"/>
        <v>0.71289260202899674</v>
      </c>
      <c r="I92" s="497">
        <v>2216368.9700000002</v>
      </c>
      <c r="J92" s="1136">
        <v>2384805</v>
      </c>
      <c r="K92" s="497">
        <f>-(103888.22+105245.17)</f>
        <v>-209133.39</v>
      </c>
      <c r="L92" s="1258">
        <f t="shared" si="83"/>
        <v>2175671.61</v>
      </c>
      <c r="M92" s="1103">
        <f t="shared" si="61"/>
        <v>0.95494723813646143</v>
      </c>
      <c r="N92" s="403" t="s">
        <v>401</v>
      </c>
      <c r="O92" s="806"/>
      <c r="P92" s="806"/>
      <c r="Q92" s="807"/>
      <c r="R92" s="806"/>
      <c r="S92" s="806"/>
      <c r="T92" s="960">
        <f t="shared" ref="T92:T93" si="84">L92</f>
        <v>2175671.61</v>
      </c>
      <c r="U92" s="807"/>
      <c r="V92" s="807"/>
      <c r="W92" s="807"/>
      <c r="X92" s="807"/>
      <c r="Y92" s="807">
        <f t="shared" si="71"/>
        <v>2175671.61</v>
      </c>
    </row>
    <row r="93" spans="1:25" x14ac:dyDescent="0.2">
      <c r="A93" s="52"/>
      <c r="B93" s="52"/>
      <c r="C93" s="52"/>
      <c r="D93" s="474"/>
      <c r="E93" s="493" t="s">
        <v>127</v>
      </c>
      <c r="F93" s="494">
        <v>169070.62</v>
      </c>
      <c r="G93" s="495">
        <v>121521.08</v>
      </c>
      <c r="H93" s="496">
        <f>G93/F93</f>
        <v>0.71875929715050435</v>
      </c>
      <c r="I93" s="497">
        <v>169070.62</v>
      </c>
      <c r="J93" s="1136">
        <v>168995</v>
      </c>
      <c r="K93" s="512"/>
      <c r="L93" s="1259">
        <f t="shared" si="83"/>
        <v>168995</v>
      </c>
      <c r="M93" s="259">
        <f t="shared" si="61"/>
        <v>0.9995527312787994</v>
      </c>
      <c r="N93" s="403"/>
      <c r="O93" s="467"/>
      <c r="P93" s="467"/>
      <c r="Q93" s="884"/>
      <c r="R93" s="467"/>
      <c r="S93" s="467"/>
      <c r="T93" s="942">
        <f t="shared" si="84"/>
        <v>168995</v>
      </c>
      <c r="U93" s="884"/>
      <c r="V93" s="884"/>
      <c r="W93" s="884"/>
      <c r="X93" s="884"/>
      <c r="Y93" s="884">
        <f t="shared" si="71"/>
        <v>168995</v>
      </c>
    </row>
    <row r="94" spans="1:25" ht="22.5" x14ac:dyDescent="0.2">
      <c r="A94" s="52"/>
      <c r="B94" s="52"/>
      <c r="C94" s="53"/>
      <c r="D94" s="398">
        <v>4040</v>
      </c>
      <c r="E94" s="25" t="s">
        <v>177</v>
      </c>
      <c r="F94" s="64">
        <f>F95+F96+F97</f>
        <v>171686.57</v>
      </c>
      <c r="G94" s="64">
        <f>G95+G96+G97</f>
        <v>171686.5</v>
      </c>
      <c r="H94" s="66">
        <f t="shared" si="82"/>
        <v>0.99999959228028146</v>
      </c>
      <c r="I94" s="67">
        <f>SUM(I95:I97)</f>
        <v>171686.5</v>
      </c>
      <c r="J94" s="1135">
        <f>J95+J96</f>
        <v>185038</v>
      </c>
      <c r="K94" s="1034">
        <f>K95+K96</f>
        <v>-16659.349999999999</v>
      </c>
      <c r="L94" s="138">
        <f t="shared" si="83"/>
        <v>168378.65</v>
      </c>
      <c r="M94" s="999">
        <f t="shared" si="61"/>
        <v>0.98073279697998506</v>
      </c>
      <c r="N94" s="399" t="s">
        <v>402</v>
      </c>
      <c r="O94" s="392"/>
      <c r="P94" s="392"/>
      <c r="Q94" s="393"/>
      <c r="R94" s="392"/>
      <c r="S94" s="392"/>
      <c r="T94" s="393">
        <f>L94</f>
        <v>168378.65</v>
      </c>
      <c r="U94" s="393"/>
      <c r="V94" s="393"/>
      <c r="W94" s="393"/>
      <c r="X94" s="393"/>
      <c r="Y94" s="393">
        <f t="shared" si="71"/>
        <v>168378.65</v>
      </c>
    </row>
    <row r="95" spans="1:25" x14ac:dyDescent="0.2">
      <c r="A95" s="52"/>
      <c r="B95" s="52"/>
      <c r="C95" s="52"/>
      <c r="D95" s="498"/>
      <c r="E95" s="493" t="s">
        <v>39</v>
      </c>
      <c r="F95" s="499">
        <v>158941.70000000001</v>
      </c>
      <c r="G95" s="495">
        <v>158941.63</v>
      </c>
      <c r="H95" s="496">
        <f t="shared" si="82"/>
        <v>0.99999955958694287</v>
      </c>
      <c r="I95" s="497">
        <v>158941.63</v>
      </c>
      <c r="J95" s="1136">
        <v>171007</v>
      </c>
      <c r="K95" s="497">
        <f>-(7775+8884.35)</f>
        <v>-16659.349999999999</v>
      </c>
      <c r="L95" s="1258">
        <f t="shared" si="83"/>
        <v>154347.65</v>
      </c>
      <c r="M95" s="1103">
        <f t="shared" si="61"/>
        <v>0.97109600564232035</v>
      </c>
      <c r="N95" s="500"/>
      <c r="O95" s="806"/>
      <c r="P95" s="806"/>
      <c r="Q95" s="807"/>
      <c r="R95" s="806"/>
      <c r="S95" s="806"/>
      <c r="T95" s="960">
        <f>L95</f>
        <v>154347.65</v>
      </c>
      <c r="U95" s="807"/>
      <c r="V95" s="807"/>
      <c r="W95" s="807"/>
      <c r="X95" s="807"/>
      <c r="Y95" s="807">
        <f t="shared" si="71"/>
        <v>154347.65</v>
      </c>
    </row>
    <row r="96" spans="1:25" x14ac:dyDescent="0.2">
      <c r="A96" s="52"/>
      <c r="B96" s="52"/>
      <c r="C96" s="52"/>
      <c r="D96" s="498"/>
      <c r="E96" s="493" t="s">
        <v>176</v>
      </c>
      <c r="F96" s="499">
        <v>12744.87</v>
      </c>
      <c r="G96" s="495">
        <v>12744.87</v>
      </c>
      <c r="H96" s="496">
        <f t="shared" si="82"/>
        <v>1</v>
      </c>
      <c r="I96" s="497">
        <v>12744.87</v>
      </c>
      <c r="J96" s="1136">
        <v>14031</v>
      </c>
      <c r="K96" s="497"/>
      <c r="L96" s="1258">
        <f t="shared" si="83"/>
        <v>14031</v>
      </c>
      <c r="M96" s="1103">
        <f t="shared" si="61"/>
        <v>1.1009135440377187</v>
      </c>
      <c r="N96" s="500"/>
      <c r="O96" s="414"/>
      <c r="P96" s="414"/>
      <c r="Q96" s="930"/>
      <c r="R96" s="414"/>
      <c r="S96" s="414"/>
      <c r="T96" s="940">
        <f>L96</f>
        <v>14031</v>
      </c>
      <c r="U96" s="930"/>
      <c r="V96" s="930"/>
      <c r="W96" s="930"/>
      <c r="X96" s="930"/>
      <c r="Y96" s="930">
        <f t="shared" si="71"/>
        <v>14031</v>
      </c>
    </row>
    <row r="97" spans="1:25" x14ac:dyDescent="0.2">
      <c r="A97" s="52"/>
      <c r="B97" s="52"/>
      <c r="C97" s="240"/>
      <c r="D97" s="501"/>
      <c r="E97" s="502"/>
      <c r="F97" s="503"/>
      <c r="G97" s="504"/>
      <c r="H97" s="505"/>
      <c r="I97" s="512"/>
      <c r="J97" s="1137"/>
      <c r="K97" s="512"/>
      <c r="L97" s="1259"/>
      <c r="M97" s="259"/>
      <c r="N97" s="506"/>
      <c r="O97" s="467"/>
      <c r="P97" s="467"/>
      <c r="Q97" s="884"/>
      <c r="R97" s="467"/>
      <c r="S97" s="467"/>
      <c r="T97" s="884"/>
      <c r="U97" s="884"/>
      <c r="V97" s="884"/>
      <c r="W97" s="884"/>
      <c r="X97" s="884"/>
      <c r="Y97" s="884">
        <f t="shared" si="71"/>
        <v>0</v>
      </c>
    </row>
    <row r="98" spans="1:25" ht="22.5" x14ac:dyDescent="0.2">
      <c r="A98" s="52"/>
      <c r="B98" s="52"/>
      <c r="C98" s="203"/>
      <c r="D98" s="402">
        <v>4110</v>
      </c>
      <c r="E98" s="119" t="s">
        <v>178</v>
      </c>
      <c r="F98" s="140">
        <f>F99+F100</f>
        <v>445868.21</v>
      </c>
      <c r="G98" s="140">
        <f>G99+G100</f>
        <v>263124.75</v>
      </c>
      <c r="H98" s="57">
        <f t="shared" si="82"/>
        <v>0.59014018963137105</v>
      </c>
      <c r="I98" s="58">
        <f>I99+I100</f>
        <v>373093.29000000004</v>
      </c>
      <c r="J98" s="1108">
        <f>J99+J100</f>
        <v>458583</v>
      </c>
      <c r="K98" s="1033">
        <f>K99+K100</f>
        <v>-38813.760000000002</v>
      </c>
      <c r="L98" s="103">
        <f t="shared" ref="L98:L105" si="85">J98+K98</f>
        <v>419769.24</v>
      </c>
      <c r="M98" s="280">
        <f t="shared" si="61"/>
        <v>0.94146483329681652</v>
      </c>
      <c r="N98" s="492" t="s">
        <v>403</v>
      </c>
      <c r="O98" s="806"/>
      <c r="P98" s="806"/>
      <c r="Q98" s="807"/>
      <c r="R98" s="806"/>
      <c r="S98" s="806"/>
      <c r="T98" s="807">
        <f t="shared" ref="T98:T103" si="86">L98</f>
        <v>419769.24</v>
      </c>
      <c r="U98" s="807"/>
      <c r="V98" s="807"/>
      <c r="W98" s="807"/>
      <c r="X98" s="807"/>
      <c r="Y98" s="807">
        <f t="shared" si="71"/>
        <v>419769.24</v>
      </c>
    </row>
    <row r="99" spans="1:25" x14ac:dyDescent="0.2">
      <c r="A99" s="52"/>
      <c r="B99" s="52"/>
      <c r="C99" s="52"/>
      <c r="D99" s="507"/>
      <c r="E99" s="493" t="s">
        <v>39</v>
      </c>
      <c r="F99" s="508">
        <v>413331.9</v>
      </c>
      <c r="G99" s="509">
        <f>239649.77+2415.79</f>
        <v>242065.56</v>
      </c>
      <c r="H99" s="510">
        <f t="shared" si="82"/>
        <v>0.58564451473501078</v>
      </c>
      <c r="I99" s="511">
        <v>343860.33</v>
      </c>
      <c r="J99" s="1136">
        <v>427121</v>
      </c>
      <c r="K99" s="497">
        <f>-(18694.75+500.15+19618.86)</f>
        <v>-38813.760000000002</v>
      </c>
      <c r="L99" s="1258">
        <f t="shared" si="85"/>
        <v>388307.24</v>
      </c>
      <c r="M99" s="1103">
        <f t="shared" si="61"/>
        <v>0.93945625779186159</v>
      </c>
      <c r="N99" s="403"/>
      <c r="O99" s="414"/>
      <c r="P99" s="414"/>
      <c r="Q99" s="930"/>
      <c r="R99" s="414"/>
      <c r="S99" s="414"/>
      <c r="T99" s="940">
        <f t="shared" si="86"/>
        <v>388307.24</v>
      </c>
      <c r="U99" s="930"/>
      <c r="V99" s="930"/>
      <c r="W99" s="930"/>
      <c r="X99" s="930"/>
      <c r="Y99" s="930">
        <f t="shared" si="71"/>
        <v>388307.24</v>
      </c>
    </row>
    <row r="100" spans="1:25" x14ac:dyDescent="0.2">
      <c r="A100" s="52"/>
      <c r="B100" s="52"/>
      <c r="C100" s="159"/>
      <c r="D100" s="798"/>
      <c r="E100" s="514" t="s">
        <v>176</v>
      </c>
      <c r="F100" s="832">
        <v>32536.31</v>
      </c>
      <c r="G100" s="833">
        <v>21059.19</v>
      </c>
      <c r="H100" s="834">
        <f>G100/F100</f>
        <v>0.64725194713229617</v>
      </c>
      <c r="I100" s="835">
        <v>29232.959999999999</v>
      </c>
      <c r="J100" s="1137">
        <v>31462</v>
      </c>
      <c r="K100" s="512"/>
      <c r="L100" s="1259">
        <f t="shared" si="85"/>
        <v>31462</v>
      </c>
      <c r="M100" s="259">
        <f t="shared" si="61"/>
        <v>0.96698119731463095</v>
      </c>
      <c r="N100" s="403"/>
      <c r="O100" s="467"/>
      <c r="P100" s="467"/>
      <c r="Q100" s="884"/>
      <c r="R100" s="467"/>
      <c r="S100" s="467"/>
      <c r="T100" s="942">
        <f t="shared" si="86"/>
        <v>31462</v>
      </c>
      <c r="U100" s="884"/>
      <c r="V100" s="884"/>
      <c r="W100" s="884"/>
      <c r="X100" s="884"/>
      <c r="Y100" s="884">
        <f t="shared" si="71"/>
        <v>31462</v>
      </c>
    </row>
    <row r="101" spans="1:25" ht="22.5" x14ac:dyDescent="0.2">
      <c r="A101" s="52"/>
      <c r="B101" s="52"/>
      <c r="C101" s="53"/>
      <c r="D101" s="398">
        <v>4120</v>
      </c>
      <c r="E101" s="25" t="s">
        <v>179</v>
      </c>
      <c r="F101" s="55">
        <f>F102+F103</f>
        <v>51299.86</v>
      </c>
      <c r="G101" s="55">
        <f>G102+G103</f>
        <v>28667.079999999998</v>
      </c>
      <c r="H101" s="66">
        <f t="shared" si="82"/>
        <v>0.55881400066199005</v>
      </c>
      <c r="I101" s="67">
        <f>I102+I103</f>
        <v>44340.31</v>
      </c>
      <c r="J101" s="1135">
        <f>J102+J103</f>
        <v>52954</v>
      </c>
      <c r="K101" s="1034">
        <f>K102+K103</f>
        <v>-5531.91</v>
      </c>
      <c r="L101" s="138">
        <f t="shared" si="85"/>
        <v>47422.09</v>
      </c>
      <c r="M101" s="999">
        <f t="shared" si="61"/>
        <v>0.92440973523124614</v>
      </c>
      <c r="N101" s="492" t="s">
        <v>404</v>
      </c>
      <c r="O101" s="806"/>
      <c r="P101" s="806"/>
      <c r="Q101" s="807"/>
      <c r="R101" s="806"/>
      <c r="S101" s="806"/>
      <c r="T101" s="807">
        <f t="shared" si="86"/>
        <v>47422.09</v>
      </c>
      <c r="U101" s="807"/>
      <c r="V101" s="807"/>
      <c r="W101" s="807"/>
      <c r="X101" s="807"/>
      <c r="Y101" s="807">
        <f t="shared" si="71"/>
        <v>47422.09</v>
      </c>
    </row>
    <row r="102" spans="1:25" x14ac:dyDescent="0.2">
      <c r="A102" s="52"/>
      <c r="B102" s="52"/>
      <c r="C102" s="52"/>
      <c r="D102" s="474"/>
      <c r="E102" s="493" t="s">
        <v>39</v>
      </c>
      <c r="F102" s="513">
        <v>46876.88</v>
      </c>
      <c r="G102" s="495">
        <v>25665.62</v>
      </c>
      <c r="H102" s="496">
        <f t="shared" si="82"/>
        <v>0.54751126781475223</v>
      </c>
      <c r="I102" s="497">
        <f>25665.62+14508.27</f>
        <v>40173.89</v>
      </c>
      <c r="J102" s="1136">
        <v>48470</v>
      </c>
      <c r="K102" s="497">
        <f>-(71.28+2664.46+2796.17)</f>
        <v>-5531.91</v>
      </c>
      <c r="L102" s="1258">
        <f t="shared" si="85"/>
        <v>42938.09</v>
      </c>
      <c r="M102" s="1103">
        <f t="shared" si="61"/>
        <v>0.91597584992857883</v>
      </c>
      <c r="N102" s="500"/>
      <c r="O102" s="414"/>
      <c r="P102" s="414"/>
      <c r="Q102" s="930"/>
      <c r="R102" s="414"/>
      <c r="S102" s="414"/>
      <c r="T102" s="940">
        <f t="shared" si="86"/>
        <v>42938.09</v>
      </c>
      <c r="U102" s="930"/>
      <c r="V102" s="930"/>
      <c r="W102" s="930"/>
      <c r="X102" s="930"/>
      <c r="Y102" s="930">
        <f t="shared" si="71"/>
        <v>42938.09</v>
      </c>
    </row>
    <row r="103" spans="1:25" x14ac:dyDescent="0.2">
      <c r="A103" s="52"/>
      <c r="B103" s="52"/>
      <c r="C103" s="159"/>
      <c r="D103" s="309"/>
      <c r="E103" s="514" t="s">
        <v>176</v>
      </c>
      <c r="F103" s="515">
        <v>4422.9799999999996</v>
      </c>
      <c r="G103" s="504">
        <v>3001.46</v>
      </c>
      <c r="H103" s="505">
        <f t="shared" si="82"/>
        <v>0.67860582684072734</v>
      </c>
      <c r="I103" s="512">
        <f>3001.46+1164.96</f>
        <v>4166.42</v>
      </c>
      <c r="J103" s="1137">
        <v>4484</v>
      </c>
      <c r="K103" s="512"/>
      <c r="L103" s="1259">
        <f t="shared" si="85"/>
        <v>4484</v>
      </c>
      <c r="M103" s="259">
        <f t="shared" si="61"/>
        <v>1.0137961284021182</v>
      </c>
      <c r="N103" s="500"/>
      <c r="O103" s="467"/>
      <c r="P103" s="467"/>
      <c r="Q103" s="884"/>
      <c r="R103" s="467"/>
      <c r="S103" s="467"/>
      <c r="T103" s="942">
        <f t="shared" si="86"/>
        <v>4484</v>
      </c>
      <c r="U103" s="884"/>
      <c r="V103" s="884"/>
      <c r="W103" s="884"/>
      <c r="X103" s="884"/>
      <c r="Y103" s="884">
        <f t="shared" si="71"/>
        <v>4484</v>
      </c>
    </row>
    <row r="104" spans="1:25" x14ac:dyDescent="0.2">
      <c r="A104" s="52"/>
      <c r="B104" s="52"/>
      <c r="C104" s="203"/>
      <c r="D104" s="402">
        <v>4170</v>
      </c>
      <c r="E104" s="119" t="s">
        <v>148</v>
      </c>
      <c r="F104" s="491">
        <v>43500</v>
      </c>
      <c r="G104" s="56">
        <v>21826.07</v>
      </c>
      <c r="H104" s="101">
        <f t="shared" si="82"/>
        <v>0.50174873563218392</v>
      </c>
      <c r="I104" s="58">
        <v>38900</v>
      </c>
      <c r="J104" s="1108">
        <v>9000</v>
      </c>
      <c r="K104" s="1217">
        <v>9000</v>
      </c>
      <c r="L104" s="103">
        <f t="shared" si="85"/>
        <v>18000</v>
      </c>
      <c r="M104" s="280">
        <f t="shared" si="61"/>
        <v>0.41379310344827586</v>
      </c>
      <c r="N104" s="399" t="s">
        <v>181</v>
      </c>
      <c r="O104" s="392"/>
      <c r="P104" s="392"/>
      <c r="Q104" s="393"/>
      <c r="R104" s="56"/>
      <c r="S104" s="56">
        <v>9000</v>
      </c>
      <c r="T104" s="393">
        <v>9000</v>
      </c>
      <c r="U104" s="393"/>
      <c r="V104" s="393"/>
      <c r="W104" s="393"/>
      <c r="X104" s="393"/>
      <c r="Y104" s="393">
        <f t="shared" si="71"/>
        <v>18000</v>
      </c>
    </row>
    <row r="105" spans="1:25" x14ac:dyDescent="0.2">
      <c r="A105" s="52"/>
      <c r="B105" s="52"/>
      <c r="C105" s="240"/>
      <c r="D105" s="446">
        <v>4210</v>
      </c>
      <c r="E105" s="199" t="s">
        <v>142</v>
      </c>
      <c r="F105" s="200">
        <v>92909.75</v>
      </c>
      <c r="G105" s="100">
        <v>69339.59</v>
      </c>
      <c r="H105" s="101">
        <f t="shared" si="82"/>
        <v>0.74631123213656259</v>
      </c>
      <c r="I105" s="102">
        <v>92909</v>
      </c>
      <c r="J105" s="1112">
        <v>94000</v>
      </c>
      <c r="K105" s="58">
        <v>-1892.27</v>
      </c>
      <c r="L105" s="59">
        <f t="shared" si="85"/>
        <v>92107.73</v>
      </c>
      <c r="M105" s="280">
        <f t="shared" si="61"/>
        <v>0.99136775203894101</v>
      </c>
      <c r="N105" s="399" t="s">
        <v>182</v>
      </c>
      <c r="O105" s="392"/>
      <c r="P105" s="392"/>
      <c r="Q105" s="393"/>
      <c r="R105" s="56"/>
      <c r="S105" s="56">
        <v>92107.73</v>
      </c>
      <c r="T105" s="393"/>
      <c r="U105" s="393"/>
      <c r="V105" s="393"/>
      <c r="W105" s="393"/>
      <c r="X105" s="393"/>
      <c r="Y105" s="393">
        <f t="shared" si="71"/>
        <v>92107.73</v>
      </c>
    </row>
    <row r="106" spans="1:25" ht="22.5" x14ac:dyDescent="0.2">
      <c r="A106" s="52"/>
      <c r="B106" s="52"/>
      <c r="C106" s="53"/>
      <c r="D106" s="398">
        <v>4230</v>
      </c>
      <c r="E106" s="25" t="s">
        <v>183</v>
      </c>
      <c r="F106" s="92">
        <v>1200</v>
      </c>
      <c r="G106" s="56">
        <v>0</v>
      </c>
      <c r="H106" s="101">
        <f t="shared" si="82"/>
        <v>0</v>
      </c>
      <c r="I106" s="58">
        <v>1200</v>
      </c>
      <c r="J106" s="1108">
        <v>200</v>
      </c>
      <c r="K106" s="58"/>
      <c r="L106" s="59">
        <f t="shared" ref="L106:L121" si="87">J106+K106</f>
        <v>200</v>
      </c>
      <c r="M106" s="280">
        <f t="shared" si="61"/>
        <v>0.16666666666666666</v>
      </c>
      <c r="N106" s="399"/>
      <c r="O106" s="392"/>
      <c r="P106" s="392"/>
      <c r="Q106" s="393"/>
      <c r="R106" s="56"/>
      <c r="S106" s="56">
        <v>200</v>
      </c>
      <c r="T106" s="393"/>
      <c r="U106" s="393"/>
      <c r="V106" s="393"/>
      <c r="W106" s="393"/>
      <c r="X106" s="393"/>
      <c r="Y106" s="393">
        <f t="shared" si="71"/>
        <v>200</v>
      </c>
    </row>
    <row r="107" spans="1:25" ht="22.5" x14ac:dyDescent="0.2">
      <c r="A107" s="52"/>
      <c r="B107" s="52"/>
      <c r="C107" s="203"/>
      <c r="D107" s="402">
        <v>4240</v>
      </c>
      <c r="E107" s="119" t="s">
        <v>184</v>
      </c>
      <c r="F107" s="120">
        <v>10000</v>
      </c>
      <c r="G107" s="56">
        <v>2846.15</v>
      </c>
      <c r="H107" s="101">
        <f t="shared" si="82"/>
        <v>0.28461500000000001</v>
      </c>
      <c r="I107" s="58">
        <v>10000</v>
      </c>
      <c r="J107" s="1108">
        <v>10000</v>
      </c>
      <c r="K107" s="58"/>
      <c r="L107" s="59">
        <f t="shared" si="87"/>
        <v>10000</v>
      </c>
      <c r="M107" s="280">
        <f t="shared" si="61"/>
        <v>1</v>
      </c>
      <c r="N107" s="399"/>
      <c r="O107" s="392"/>
      <c r="P107" s="392"/>
      <c r="Q107" s="393"/>
      <c r="R107" s="56"/>
      <c r="S107" s="56">
        <v>10000</v>
      </c>
      <c r="T107" s="393"/>
      <c r="U107" s="393"/>
      <c r="V107" s="393"/>
      <c r="W107" s="393"/>
      <c r="X107" s="393"/>
      <c r="Y107" s="393">
        <f t="shared" ref="Y107:Y132" si="88">SUM(O107:X107)</f>
        <v>10000</v>
      </c>
    </row>
    <row r="108" spans="1:25" x14ac:dyDescent="0.2">
      <c r="A108" s="52"/>
      <c r="B108" s="52"/>
      <c r="C108" s="240"/>
      <c r="D108" s="446">
        <v>4260</v>
      </c>
      <c r="E108" s="199" t="s">
        <v>149</v>
      </c>
      <c r="F108" s="445">
        <v>78000</v>
      </c>
      <c r="G108" s="100">
        <v>51535.69</v>
      </c>
      <c r="H108" s="101">
        <f t="shared" si="82"/>
        <v>0.66071397435897439</v>
      </c>
      <c r="I108" s="102">
        <v>78000</v>
      </c>
      <c r="J108" s="1112">
        <v>78000</v>
      </c>
      <c r="K108" s="58"/>
      <c r="L108" s="59">
        <f t="shared" si="87"/>
        <v>78000</v>
      </c>
      <c r="M108" s="280">
        <f t="shared" si="61"/>
        <v>1</v>
      </c>
      <c r="N108" s="399"/>
      <c r="O108" s="392"/>
      <c r="P108" s="392"/>
      <c r="Q108" s="393"/>
      <c r="R108" s="100"/>
      <c r="S108" s="100">
        <v>78000</v>
      </c>
      <c r="T108" s="393"/>
      <c r="U108" s="393"/>
      <c r="V108" s="393"/>
      <c r="W108" s="393"/>
      <c r="X108" s="393"/>
      <c r="Y108" s="393">
        <f t="shared" si="88"/>
        <v>78000</v>
      </c>
    </row>
    <row r="109" spans="1:25" x14ac:dyDescent="0.2">
      <c r="A109" s="52"/>
      <c r="B109" s="52"/>
      <c r="C109" s="79"/>
      <c r="D109" s="400">
        <v>4270</v>
      </c>
      <c r="E109" s="81" t="s">
        <v>154</v>
      </c>
      <c r="F109" s="82">
        <v>27000</v>
      </c>
      <c r="G109" s="56">
        <v>12931.65</v>
      </c>
      <c r="H109" s="101">
        <f t="shared" si="82"/>
        <v>0.47894999999999999</v>
      </c>
      <c r="I109" s="58">
        <v>27000</v>
      </c>
      <c r="J109" s="1108">
        <v>57000</v>
      </c>
      <c r="K109" s="1216">
        <v>-30000</v>
      </c>
      <c r="L109" s="59">
        <f t="shared" si="87"/>
        <v>27000</v>
      </c>
      <c r="M109" s="280">
        <f t="shared" si="61"/>
        <v>1</v>
      </c>
      <c r="N109" s="399"/>
      <c r="O109" s="392"/>
      <c r="P109" s="392"/>
      <c r="Q109" s="393"/>
      <c r="R109" s="56"/>
      <c r="S109" s="56">
        <f>L109</f>
        <v>27000</v>
      </c>
      <c r="T109" s="393"/>
      <c r="U109" s="393"/>
      <c r="V109" s="393"/>
      <c r="W109" s="393"/>
      <c r="X109" s="393"/>
      <c r="Y109" s="393">
        <f t="shared" si="88"/>
        <v>27000</v>
      </c>
    </row>
    <row r="110" spans="1:25" x14ac:dyDescent="0.2">
      <c r="A110" s="52"/>
      <c r="B110" s="52"/>
      <c r="C110" s="203"/>
      <c r="D110" s="402">
        <v>4280</v>
      </c>
      <c r="E110" s="119" t="s">
        <v>185</v>
      </c>
      <c r="F110" s="491">
        <v>7000</v>
      </c>
      <c r="G110" s="56">
        <v>1725</v>
      </c>
      <c r="H110" s="101">
        <f t="shared" si="82"/>
        <v>0.24642857142857144</v>
      </c>
      <c r="I110" s="58">
        <v>7000</v>
      </c>
      <c r="J110" s="1108">
        <v>2500</v>
      </c>
      <c r="K110" s="58"/>
      <c r="L110" s="59">
        <f t="shared" si="87"/>
        <v>2500</v>
      </c>
      <c r="M110" s="280">
        <f t="shared" si="61"/>
        <v>0.35714285714285715</v>
      </c>
      <c r="N110" s="399"/>
      <c r="O110" s="392"/>
      <c r="P110" s="392"/>
      <c r="Q110" s="393"/>
      <c r="R110" s="56"/>
      <c r="S110" s="56">
        <v>2500</v>
      </c>
      <c r="T110" s="393"/>
      <c r="U110" s="393"/>
      <c r="V110" s="393"/>
      <c r="W110" s="393"/>
      <c r="X110" s="393"/>
      <c r="Y110" s="393">
        <f t="shared" si="88"/>
        <v>2500</v>
      </c>
    </row>
    <row r="111" spans="1:25" x14ac:dyDescent="0.2">
      <c r="A111" s="52"/>
      <c r="B111" s="52"/>
      <c r="C111" s="240"/>
      <c r="D111" s="446">
        <v>4300</v>
      </c>
      <c r="E111" s="199" t="s">
        <v>143</v>
      </c>
      <c r="F111" s="200">
        <v>168500</v>
      </c>
      <c r="G111" s="100">
        <v>120026.12</v>
      </c>
      <c r="H111" s="101">
        <f t="shared" si="82"/>
        <v>0.71232118694362012</v>
      </c>
      <c r="I111" s="102">
        <v>168034.83</v>
      </c>
      <c r="J111" s="1112">
        <v>253000</v>
      </c>
      <c r="K111" s="58">
        <v>-3931</v>
      </c>
      <c r="L111" s="59">
        <f t="shared" si="87"/>
        <v>249069</v>
      </c>
      <c r="M111" s="280">
        <f t="shared" si="61"/>
        <v>1.4781543026706232</v>
      </c>
      <c r="N111" s="399" t="s">
        <v>186</v>
      </c>
      <c r="O111" s="392"/>
      <c r="P111" s="392"/>
      <c r="Q111" s="393"/>
      <c r="R111" s="100"/>
      <c r="S111" s="100">
        <f>L111</f>
        <v>249069</v>
      </c>
      <c r="T111" s="393"/>
      <c r="U111" s="393"/>
      <c r="V111" s="393"/>
      <c r="W111" s="393"/>
      <c r="X111" s="393"/>
      <c r="Y111" s="393">
        <f t="shared" si="88"/>
        <v>249069</v>
      </c>
    </row>
    <row r="112" spans="1:25" ht="33.75" x14ac:dyDescent="0.2">
      <c r="A112" s="52"/>
      <c r="B112" s="52"/>
      <c r="C112" s="159"/>
      <c r="D112" s="309">
        <v>4360</v>
      </c>
      <c r="E112" s="122" t="s">
        <v>187</v>
      </c>
      <c r="F112" s="123">
        <v>31000</v>
      </c>
      <c r="G112" s="100">
        <v>21009.84</v>
      </c>
      <c r="H112" s="101">
        <f t="shared" si="82"/>
        <v>0.67773677419354839</v>
      </c>
      <c r="I112" s="102">
        <v>29013.119999999999</v>
      </c>
      <c r="J112" s="1112">
        <v>31000</v>
      </c>
      <c r="K112" s="58"/>
      <c r="L112" s="59">
        <f t="shared" si="87"/>
        <v>31000</v>
      </c>
      <c r="M112" s="280">
        <f t="shared" si="61"/>
        <v>1</v>
      </c>
      <c r="N112" s="466"/>
      <c r="O112" s="392"/>
      <c r="P112" s="392"/>
      <c r="Q112" s="393"/>
      <c r="R112" s="100"/>
      <c r="S112" s="100">
        <v>31000</v>
      </c>
      <c r="T112" s="393"/>
      <c r="U112" s="393"/>
      <c r="V112" s="393"/>
      <c r="W112" s="393"/>
      <c r="X112" s="393"/>
      <c r="Y112" s="393">
        <f t="shared" si="88"/>
        <v>31000</v>
      </c>
    </row>
    <row r="113" spans="1:25" x14ac:dyDescent="0.2">
      <c r="A113" s="52"/>
      <c r="B113" s="52"/>
      <c r="C113" s="203"/>
      <c r="D113" s="402">
        <v>4380</v>
      </c>
      <c r="E113" s="119" t="s">
        <v>188</v>
      </c>
      <c r="F113" s="491">
        <v>1000</v>
      </c>
      <c r="G113" s="56">
        <v>0</v>
      </c>
      <c r="H113" s="101">
        <f t="shared" si="82"/>
        <v>0</v>
      </c>
      <c r="I113" s="58">
        <v>0</v>
      </c>
      <c r="J113" s="1108">
        <v>1000</v>
      </c>
      <c r="K113" s="58"/>
      <c r="L113" s="59">
        <f t="shared" si="87"/>
        <v>1000</v>
      </c>
      <c r="M113" s="280">
        <f t="shared" si="61"/>
        <v>1</v>
      </c>
      <c r="N113" s="399"/>
      <c r="O113" s="392"/>
      <c r="P113" s="392"/>
      <c r="Q113" s="393"/>
      <c r="R113" s="56"/>
      <c r="S113" s="56">
        <v>1000</v>
      </c>
      <c r="T113" s="393"/>
      <c r="U113" s="393"/>
      <c r="V113" s="393"/>
      <c r="W113" s="393"/>
      <c r="X113" s="393"/>
      <c r="Y113" s="393">
        <f t="shared" si="88"/>
        <v>1000</v>
      </c>
    </row>
    <row r="114" spans="1:25" ht="22.5" x14ac:dyDescent="0.2">
      <c r="A114" s="52"/>
      <c r="B114" s="52"/>
      <c r="C114" s="52"/>
      <c r="D114" s="474">
        <v>4390</v>
      </c>
      <c r="E114" s="128" t="s">
        <v>189</v>
      </c>
      <c r="F114" s="260">
        <v>55000</v>
      </c>
      <c r="G114" s="100">
        <v>34541.599999999999</v>
      </c>
      <c r="H114" s="101">
        <f t="shared" si="82"/>
        <v>0.62802909090909087</v>
      </c>
      <c r="I114" s="102">
        <v>42659.6</v>
      </c>
      <c r="J114" s="1112">
        <v>50000</v>
      </c>
      <c r="K114" s="58"/>
      <c r="L114" s="59">
        <f t="shared" si="87"/>
        <v>50000</v>
      </c>
      <c r="M114" s="280">
        <f t="shared" si="61"/>
        <v>0.90909090909090906</v>
      </c>
      <c r="N114" s="466"/>
      <c r="O114" s="392"/>
      <c r="P114" s="392"/>
      <c r="Q114" s="393"/>
      <c r="R114" s="100"/>
      <c r="S114" s="100">
        <v>50000</v>
      </c>
      <c r="T114" s="393"/>
      <c r="U114" s="393"/>
      <c r="V114" s="393"/>
      <c r="W114" s="393"/>
      <c r="X114" s="393"/>
      <c r="Y114" s="393">
        <f t="shared" si="88"/>
        <v>50000</v>
      </c>
    </row>
    <row r="115" spans="1:25" x14ac:dyDescent="0.2">
      <c r="A115" s="52"/>
      <c r="B115" s="52"/>
      <c r="C115" s="79"/>
      <c r="D115" s="400">
        <v>4410</v>
      </c>
      <c r="E115" s="81" t="s">
        <v>144</v>
      </c>
      <c r="F115" s="82">
        <v>45000</v>
      </c>
      <c r="G115" s="56">
        <v>28073.25</v>
      </c>
      <c r="H115" s="101">
        <f t="shared" si="82"/>
        <v>0.62385000000000002</v>
      </c>
      <c r="I115" s="58">
        <v>42633.53</v>
      </c>
      <c r="J115" s="1108">
        <v>45000</v>
      </c>
      <c r="K115" s="58">
        <f>-(1293.87+5000)</f>
        <v>-6293.87</v>
      </c>
      <c r="L115" s="59">
        <f t="shared" si="87"/>
        <v>38706.129999999997</v>
      </c>
      <c r="M115" s="280">
        <f t="shared" si="61"/>
        <v>0.86013622222222219</v>
      </c>
      <c r="N115" s="399" t="s">
        <v>190</v>
      </c>
      <c r="O115" s="392"/>
      <c r="P115" s="392"/>
      <c r="Q115" s="393"/>
      <c r="R115" s="56"/>
      <c r="S115" s="56">
        <f>L115</f>
        <v>38706.129999999997</v>
      </c>
      <c r="T115" s="393"/>
      <c r="U115" s="393"/>
      <c r="V115" s="393"/>
      <c r="W115" s="393"/>
      <c r="X115" s="393"/>
      <c r="Y115" s="393">
        <f t="shared" si="88"/>
        <v>38706.129999999997</v>
      </c>
    </row>
    <row r="116" spans="1:25" x14ac:dyDescent="0.2">
      <c r="A116" s="52"/>
      <c r="B116" s="52"/>
      <c r="C116" s="203"/>
      <c r="D116" s="402">
        <v>4420</v>
      </c>
      <c r="E116" s="212" t="s">
        <v>173</v>
      </c>
      <c r="F116" s="120">
        <v>500</v>
      </c>
      <c r="G116" s="56">
        <v>0</v>
      </c>
      <c r="H116" s="101">
        <v>0</v>
      </c>
      <c r="I116" s="58">
        <v>0</v>
      </c>
      <c r="J116" s="1108">
        <v>2000</v>
      </c>
      <c r="K116" s="58"/>
      <c r="L116" s="59">
        <f t="shared" si="87"/>
        <v>2000</v>
      </c>
      <c r="M116" s="280">
        <f t="shared" si="61"/>
        <v>4</v>
      </c>
      <c r="N116" s="399" t="s">
        <v>129</v>
      </c>
      <c r="O116" s="392"/>
      <c r="P116" s="392"/>
      <c r="Q116" s="393"/>
      <c r="R116" s="56"/>
      <c r="S116" s="56">
        <v>0</v>
      </c>
      <c r="T116" s="393">
        <v>2000</v>
      </c>
      <c r="U116" s="393"/>
      <c r="V116" s="393"/>
      <c r="W116" s="393"/>
      <c r="X116" s="393"/>
      <c r="Y116" s="393">
        <f t="shared" si="88"/>
        <v>2000</v>
      </c>
    </row>
    <row r="117" spans="1:25" ht="29.25" x14ac:dyDescent="0.2">
      <c r="A117" s="52"/>
      <c r="B117" s="52"/>
      <c r="C117" s="333"/>
      <c r="D117" s="468">
        <v>4430</v>
      </c>
      <c r="E117" s="125" t="s">
        <v>145</v>
      </c>
      <c r="F117" s="126">
        <v>78000</v>
      </c>
      <c r="G117" s="56">
        <v>76221.17</v>
      </c>
      <c r="H117" s="57">
        <f t="shared" si="82"/>
        <v>0.9771944871794872</v>
      </c>
      <c r="I117" s="58">
        <v>76221.17</v>
      </c>
      <c r="J117" s="1108">
        <v>13000</v>
      </c>
      <c r="K117" s="58"/>
      <c r="L117" s="59">
        <f t="shared" si="87"/>
        <v>13000</v>
      </c>
      <c r="M117" s="280">
        <f t="shared" si="61"/>
        <v>0.16666666666666666</v>
      </c>
      <c r="N117" s="466" t="s">
        <v>381</v>
      </c>
      <c r="O117" s="392"/>
      <c r="P117" s="392"/>
      <c r="Q117" s="393"/>
      <c r="R117" s="100"/>
      <c r="S117" s="100">
        <v>13000</v>
      </c>
      <c r="T117" s="393"/>
      <c r="U117" s="393"/>
      <c r="V117" s="393"/>
      <c r="W117" s="393"/>
      <c r="X117" s="393"/>
      <c r="Y117" s="393">
        <f t="shared" si="88"/>
        <v>13000</v>
      </c>
    </row>
    <row r="118" spans="1:25" ht="29.25" x14ac:dyDescent="0.2">
      <c r="A118" s="52"/>
      <c r="B118" s="52"/>
      <c r="C118" s="159"/>
      <c r="D118" s="309">
        <v>4440</v>
      </c>
      <c r="E118" s="122" t="s">
        <v>191</v>
      </c>
      <c r="F118" s="123">
        <v>70764</v>
      </c>
      <c r="G118" s="100">
        <v>70764</v>
      </c>
      <c r="H118" s="101">
        <f t="shared" si="82"/>
        <v>1</v>
      </c>
      <c r="I118" s="102">
        <v>70764</v>
      </c>
      <c r="J118" s="1112">
        <v>70400</v>
      </c>
      <c r="K118" s="102">
        <v>-3555</v>
      </c>
      <c r="L118" s="103">
        <f t="shared" si="87"/>
        <v>66845</v>
      </c>
      <c r="M118" s="259">
        <f t="shared" si="61"/>
        <v>0.94461873268893792</v>
      </c>
      <c r="N118" s="399" t="s">
        <v>388</v>
      </c>
      <c r="O118" s="392"/>
      <c r="P118" s="392"/>
      <c r="Q118" s="393"/>
      <c r="R118" s="56"/>
      <c r="S118" s="56"/>
      <c r="T118" s="393">
        <f>L118</f>
        <v>66845</v>
      </c>
      <c r="U118" s="393"/>
      <c r="V118" s="393"/>
      <c r="W118" s="393"/>
      <c r="X118" s="393"/>
      <c r="Y118" s="393">
        <f t="shared" si="88"/>
        <v>66845</v>
      </c>
    </row>
    <row r="119" spans="1:25" ht="22.5" x14ac:dyDescent="0.2">
      <c r="A119" s="52"/>
      <c r="B119" s="52"/>
      <c r="C119" s="52"/>
      <c r="D119" s="474">
        <v>4610</v>
      </c>
      <c r="E119" s="128" t="s">
        <v>163</v>
      </c>
      <c r="F119" s="260">
        <v>14000</v>
      </c>
      <c r="G119" s="100">
        <v>6924.33</v>
      </c>
      <c r="H119" s="101">
        <f t="shared" si="82"/>
        <v>0.49459500000000001</v>
      </c>
      <c r="I119" s="102">
        <v>11424.33</v>
      </c>
      <c r="J119" s="1112">
        <v>14000</v>
      </c>
      <c r="K119" s="58"/>
      <c r="L119" s="59">
        <f t="shared" si="87"/>
        <v>14000</v>
      </c>
      <c r="M119" s="280">
        <f t="shared" si="61"/>
        <v>1</v>
      </c>
      <c r="N119" s="399" t="s">
        <v>129</v>
      </c>
      <c r="O119" s="392"/>
      <c r="P119" s="392"/>
      <c r="Q119" s="393"/>
      <c r="R119" s="56"/>
      <c r="S119" s="56"/>
      <c r="T119" s="393">
        <f>L119</f>
        <v>14000</v>
      </c>
      <c r="U119" s="393"/>
      <c r="V119" s="393"/>
      <c r="W119" s="393"/>
      <c r="X119" s="393"/>
      <c r="Y119" s="393">
        <f t="shared" si="88"/>
        <v>14000</v>
      </c>
    </row>
    <row r="120" spans="1:25" ht="22.5" x14ac:dyDescent="0.2">
      <c r="A120" s="52"/>
      <c r="B120" s="52"/>
      <c r="C120" s="203"/>
      <c r="D120" s="402">
        <v>4700</v>
      </c>
      <c r="E120" s="119" t="s">
        <v>146</v>
      </c>
      <c r="F120" s="120">
        <v>24000</v>
      </c>
      <c r="G120" s="56">
        <v>19369.099999999999</v>
      </c>
      <c r="H120" s="101">
        <f t="shared" si="82"/>
        <v>0.80704583333333324</v>
      </c>
      <c r="I120" s="58">
        <v>24000</v>
      </c>
      <c r="J120" s="1108">
        <v>24000</v>
      </c>
      <c r="K120" s="58">
        <f xml:space="preserve"> 5000-3400.45</f>
        <v>1599.5500000000002</v>
      </c>
      <c r="L120" s="59">
        <f t="shared" si="87"/>
        <v>25599.55</v>
      </c>
      <c r="M120" s="280">
        <f t="shared" si="61"/>
        <v>1.0666479166666667</v>
      </c>
      <c r="N120" s="399"/>
      <c r="O120" s="392"/>
      <c r="P120" s="392"/>
      <c r="Q120" s="393"/>
      <c r="R120" s="56"/>
      <c r="S120" s="56">
        <f>L120</f>
        <v>25599.55</v>
      </c>
      <c r="T120" s="393"/>
      <c r="U120" s="393"/>
      <c r="V120" s="393"/>
      <c r="W120" s="393"/>
      <c r="X120" s="393"/>
      <c r="Y120" s="393">
        <f t="shared" si="88"/>
        <v>25599.55</v>
      </c>
    </row>
    <row r="121" spans="1:25" ht="22.5" x14ac:dyDescent="0.2">
      <c r="A121" s="52"/>
      <c r="B121" s="159"/>
      <c r="C121" s="159"/>
      <c r="D121" s="309">
        <v>6060</v>
      </c>
      <c r="E121" s="122" t="s">
        <v>164</v>
      </c>
      <c r="F121" s="123">
        <v>0</v>
      </c>
      <c r="G121" s="100">
        <v>0</v>
      </c>
      <c r="H121" s="101">
        <v>0</v>
      </c>
      <c r="I121" s="102">
        <v>0</v>
      </c>
      <c r="J121" s="1112">
        <v>20000</v>
      </c>
      <c r="K121" s="1206"/>
      <c r="L121" s="59">
        <f t="shared" si="87"/>
        <v>20000</v>
      </c>
      <c r="M121" s="280">
        <v>0</v>
      </c>
      <c r="N121" s="466" t="s">
        <v>382</v>
      </c>
      <c r="O121" s="392"/>
      <c r="P121" s="392"/>
      <c r="Q121" s="393"/>
      <c r="R121" s="100"/>
      <c r="S121" s="100">
        <f>L121</f>
        <v>20000</v>
      </c>
      <c r="T121" s="393"/>
      <c r="U121" s="393"/>
      <c r="V121" s="393"/>
      <c r="W121" s="393"/>
      <c r="X121" s="393"/>
      <c r="Y121" s="393">
        <f t="shared" si="88"/>
        <v>20000</v>
      </c>
    </row>
    <row r="122" spans="1:25" x14ac:dyDescent="0.2">
      <c r="A122" s="52"/>
      <c r="B122" s="90">
        <v>75075</v>
      </c>
      <c r="C122" s="44"/>
      <c r="D122" s="75"/>
      <c r="E122" s="46" t="s">
        <v>192</v>
      </c>
      <c r="F122" s="250">
        <f>SUM(F123:F125)</f>
        <v>37000</v>
      </c>
      <c r="G122" s="250">
        <f t="shared" ref="G122:I122" si="89">SUM(G123:G125)</f>
        <v>28467.03</v>
      </c>
      <c r="H122" s="578">
        <f>G122/F122</f>
        <v>0.76937918918918913</v>
      </c>
      <c r="I122" s="250">
        <f t="shared" si="89"/>
        <v>37000</v>
      </c>
      <c r="J122" s="1131">
        <f>SUM(J123:J125)</f>
        <v>69000</v>
      </c>
      <c r="K122" s="1226">
        <f t="shared" ref="K122:L122" si="90">SUM(K123:K125)</f>
        <v>-20000</v>
      </c>
      <c r="L122" s="307">
        <f t="shared" si="90"/>
        <v>49000</v>
      </c>
      <c r="M122" s="78">
        <f t="shared" si="61"/>
        <v>1.3243243243243243</v>
      </c>
      <c r="N122" s="800"/>
      <c r="O122" s="397">
        <f t="shared" ref="O122:X122" si="91">SUM(O123:O125)</f>
        <v>0</v>
      </c>
      <c r="P122" s="397">
        <f t="shared" si="91"/>
        <v>0</v>
      </c>
      <c r="Q122" s="397">
        <f t="shared" si="91"/>
        <v>0</v>
      </c>
      <c r="R122" s="397">
        <f t="shared" si="91"/>
        <v>0</v>
      </c>
      <c r="S122" s="397">
        <f t="shared" si="91"/>
        <v>0</v>
      </c>
      <c r="T122" s="397">
        <f t="shared" si="91"/>
        <v>0</v>
      </c>
      <c r="U122" s="397">
        <f t="shared" si="91"/>
        <v>0</v>
      </c>
      <c r="V122" s="397">
        <f t="shared" si="91"/>
        <v>49000</v>
      </c>
      <c r="W122" s="397">
        <f t="shared" si="91"/>
        <v>0</v>
      </c>
      <c r="X122" s="397">
        <f t="shared" si="91"/>
        <v>0</v>
      </c>
      <c r="Y122" s="397">
        <f t="shared" si="88"/>
        <v>49000</v>
      </c>
    </row>
    <row r="123" spans="1:25" x14ac:dyDescent="0.2">
      <c r="A123" s="52"/>
      <c r="B123" s="52"/>
      <c r="C123" s="79"/>
      <c r="D123" s="400">
        <v>4170</v>
      </c>
      <c r="E123" s="81" t="s">
        <v>148</v>
      </c>
      <c r="F123" s="415">
        <v>2000</v>
      </c>
      <c r="G123" s="100">
        <v>0</v>
      </c>
      <c r="H123" s="101">
        <f t="shared" si="82"/>
        <v>0</v>
      </c>
      <c r="I123" s="102">
        <v>2000</v>
      </c>
      <c r="J123" s="1112">
        <v>4000</v>
      </c>
      <c r="K123" s="58"/>
      <c r="L123" s="59">
        <f>J123+K123</f>
        <v>4000</v>
      </c>
      <c r="M123" s="280">
        <f t="shared" si="61"/>
        <v>2</v>
      </c>
      <c r="N123" s="399"/>
      <c r="O123" s="392"/>
      <c r="P123" s="392"/>
      <c r="Q123" s="393"/>
      <c r="R123" s="392"/>
      <c r="S123" s="392"/>
      <c r="T123" s="393"/>
      <c r="U123" s="393"/>
      <c r="V123" s="392">
        <v>4000</v>
      </c>
      <c r="W123" s="393"/>
      <c r="X123" s="393"/>
      <c r="Y123" s="393">
        <f t="shared" si="88"/>
        <v>4000</v>
      </c>
    </row>
    <row r="124" spans="1:25" x14ac:dyDescent="0.2">
      <c r="A124" s="52"/>
      <c r="B124" s="52"/>
      <c r="C124" s="203"/>
      <c r="D124" s="402">
        <v>4210</v>
      </c>
      <c r="E124" s="119" t="s">
        <v>142</v>
      </c>
      <c r="F124" s="120">
        <v>15000</v>
      </c>
      <c r="G124" s="56">
        <v>12116.86</v>
      </c>
      <c r="H124" s="57">
        <f t="shared" si="82"/>
        <v>0.80779066666666666</v>
      </c>
      <c r="I124" s="58">
        <v>15000</v>
      </c>
      <c r="J124" s="1108">
        <v>25000</v>
      </c>
      <c r="K124" s="1216">
        <v>-5000</v>
      </c>
      <c r="L124" s="59">
        <f t="shared" ref="L124:L125" si="92">J124+K124</f>
        <v>20000</v>
      </c>
      <c r="M124" s="280">
        <f t="shared" si="61"/>
        <v>1.3333333333333333</v>
      </c>
      <c r="N124" s="399"/>
      <c r="O124" s="392"/>
      <c r="P124" s="392"/>
      <c r="Q124" s="393"/>
      <c r="R124" s="392"/>
      <c r="S124" s="392"/>
      <c r="T124" s="393"/>
      <c r="U124" s="393"/>
      <c r="V124" s="392">
        <f>L124</f>
        <v>20000</v>
      </c>
      <c r="W124" s="393"/>
      <c r="X124" s="393"/>
      <c r="Y124" s="393">
        <f t="shared" si="88"/>
        <v>20000</v>
      </c>
    </row>
    <row r="125" spans="1:25" x14ac:dyDescent="0.2">
      <c r="A125" s="52"/>
      <c r="B125" s="52"/>
      <c r="C125" s="240"/>
      <c r="D125" s="446">
        <v>4300</v>
      </c>
      <c r="E125" s="199" t="s">
        <v>143</v>
      </c>
      <c r="F125" s="445">
        <v>20000</v>
      </c>
      <c r="G125" s="100">
        <v>16350.17</v>
      </c>
      <c r="H125" s="101">
        <f t="shared" si="82"/>
        <v>0.81750849999999997</v>
      </c>
      <c r="I125" s="102">
        <v>20000</v>
      </c>
      <c r="J125" s="1112">
        <v>40000</v>
      </c>
      <c r="K125" s="1217">
        <v>-15000</v>
      </c>
      <c r="L125" s="103">
        <f t="shared" si="92"/>
        <v>25000</v>
      </c>
      <c r="M125" s="259">
        <f t="shared" si="61"/>
        <v>1.25</v>
      </c>
      <c r="N125" s="399"/>
      <c r="O125" s="392"/>
      <c r="P125" s="392"/>
      <c r="Q125" s="393"/>
      <c r="R125" s="392"/>
      <c r="S125" s="392"/>
      <c r="T125" s="393"/>
      <c r="U125" s="393"/>
      <c r="V125" s="392">
        <f>L125</f>
        <v>25000</v>
      </c>
      <c r="W125" s="393"/>
      <c r="X125" s="393"/>
      <c r="Y125" s="393">
        <f t="shared" si="88"/>
        <v>25000</v>
      </c>
    </row>
    <row r="126" spans="1:25" x14ac:dyDescent="0.2">
      <c r="A126" s="52"/>
      <c r="B126" s="90">
        <v>75095</v>
      </c>
      <c r="C126" s="44"/>
      <c r="D126" s="75"/>
      <c r="E126" s="46" t="s">
        <v>14</v>
      </c>
      <c r="F126" s="77">
        <f>SUM(F127:F129)</f>
        <v>118500</v>
      </c>
      <c r="G126" s="77">
        <f t="shared" ref="G126:I126" si="93">SUM(G127:G129)</f>
        <v>85808.06</v>
      </c>
      <c r="H126" s="176">
        <f t="shared" si="82"/>
        <v>0.72411864978902951</v>
      </c>
      <c r="I126" s="77">
        <f t="shared" si="93"/>
        <v>117444.06</v>
      </c>
      <c r="J126" s="1107">
        <f>SUM(J127:J129)</f>
        <v>180144</v>
      </c>
      <c r="K126" s="1230">
        <f t="shared" ref="K126:L126" si="94">SUM(K127:K129)</f>
        <v>0</v>
      </c>
      <c r="L126" s="194">
        <f t="shared" si="94"/>
        <v>180144</v>
      </c>
      <c r="M126" s="78">
        <f t="shared" si="61"/>
        <v>1.5202025316455696</v>
      </c>
      <c r="N126" s="800"/>
      <c r="O126" s="397">
        <f t="shared" ref="O126:X126" si="95">SUM(O127:O129)</f>
        <v>0</v>
      </c>
      <c r="P126" s="397">
        <f t="shared" si="95"/>
        <v>0</v>
      </c>
      <c r="Q126" s="397">
        <f t="shared" si="95"/>
        <v>0</v>
      </c>
      <c r="R126" s="397">
        <f t="shared" si="95"/>
        <v>0</v>
      </c>
      <c r="S126" s="397">
        <f t="shared" si="95"/>
        <v>99144</v>
      </c>
      <c r="T126" s="397">
        <f t="shared" si="95"/>
        <v>81000</v>
      </c>
      <c r="U126" s="397">
        <f t="shared" si="95"/>
        <v>0</v>
      </c>
      <c r="V126" s="397">
        <f t="shared" si="95"/>
        <v>0</v>
      </c>
      <c r="W126" s="397">
        <f t="shared" si="95"/>
        <v>0</v>
      </c>
      <c r="X126" s="397">
        <f t="shared" si="95"/>
        <v>0</v>
      </c>
      <c r="Y126" s="397">
        <f t="shared" si="88"/>
        <v>180144</v>
      </c>
    </row>
    <row r="127" spans="1:25" x14ac:dyDescent="0.2">
      <c r="A127" s="52"/>
      <c r="B127" s="52"/>
      <c r="C127" s="79"/>
      <c r="D127" s="400">
        <v>3030</v>
      </c>
      <c r="E127" s="81" t="s">
        <v>172</v>
      </c>
      <c r="F127" s="82">
        <v>92820</v>
      </c>
      <c r="G127" s="56">
        <v>61880</v>
      </c>
      <c r="H127" s="57">
        <f t="shared" si="82"/>
        <v>0.66666666666666663</v>
      </c>
      <c r="I127" s="58">
        <v>92820</v>
      </c>
      <c r="J127" s="1108">
        <v>98124</v>
      </c>
      <c r="K127" s="58"/>
      <c r="L127" s="59">
        <f>J127+K127</f>
        <v>98124</v>
      </c>
      <c r="M127" s="280">
        <f t="shared" si="61"/>
        <v>1.0571428571428572</v>
      </c>
      <c r="N127" s="399"/>
      <c r="O127" s="392"/>
      <c r="P127" s="392"/>
      <c r="Q127" s="393"/>
      <c r="R127" s="392"/>
      <c r="S127" s="392">
        <f>J127</f>
        <v>98124</v>
      </c>
      <c r="T127" s="393"/>
      <c r="U127" s="393"/>
      <c r="V127" s="393"/>
      <c r="W127" s="393"/>
      <c r="X127" s="393"/>
      <c r="Y127" s="393">
        <f t="shared" si="88"/>
        <v>98124</v>
      </c>
    </row>
    <row r="128" spans="1:25" ht="29.25" x14ac:dyDescent="0.2">
      <c r="A128" s="52"/>
      <c r="B128" s="52"/>
      <c r="C128" s="79"/>
      <c r="D128" s="400">
        <v>4100</v>
      </c>
      <c r="E128" s="81" t="s">
        <v>193</v>
      </c>
      <c r="F128" s="82">
        <v>24660</v>
      </c>
      <c r="G128" s="56">
        <v>22908.06</v>
      </c>
      <c r="H128" s="57">
        <f t="shared" si="82"/>
        <v>0.92895620437956206</v>
      </c>
      <c r="I128" s="58">
        <v>23604.06</v>
      </c>
      <c r="J128" s="1108">
        <v>16000</v>
      </c>
      <c r="K128" s="58"/>
      <c r="L128" s="59">
        <f t="shared" ref="L128:L129" si="96">J128+K128</f>
        <v>16000</v>
      </c>
      <c r="M128" s="280">
        <f t="shared" si="61"/>
        <v>0.64882400648824001</v>
      </c>
      <c r="N128" s="399" t="s">
        <v>194</v>
      </c>
      <c r="O128" s="392"/>
      <c r="P128" s="392"/>
      <c r="Q128" s="393"/>
      <c r="R128" s="392"/>
      <c r="S128" s="392"/>
      <c r="T128" s="393">
        <v>16000</v>
      </c>
      <c r="U128" s="393"/>
      <c r="V128" s="393"/>
      <c r="W128" s="393"/>
      <c r="X128" s="393"/>
      <c r="Y128" s="393">
        <f t="shared" si="88"/>
        <v>16000</v>
      </c>
    </row>
    <row r="129" spans="1:25" ht="58.5" x14ac:dyDescent="0.2">
      <c r="A129" s="52"/>
      <c r="B129" s="52"/>
      <c r="C129" s="79"/>
      <c r="D129" s="400">
        <v>4430</v>
      </c>
      <c r="E129" s="81" t="s">
        <v>145</v>
      </c>
      <c r="F129" s="144">
        <v>1020</v>
      </c>
      <c r="G129" s="56">
        <v>1020</v>
      </c>
      <c r="H129" s="57">
        <f t="shared" si="82"/>
        <v>1</v>
      </c>
      <c r="I129" s="58">
        <v>1020</v>
      </c>
      <c r="J129" s="1108">
        <f>1020+65000</f>
        <v>66020</v>
      </c>
      <c r="K129" s="58"/>
      <c r="L129" s="59">
        <f t="shared" si="96"/>
        <v>66020</v>
      </c>
      <c r="M129" s="280">
        <f t="shared" si="61"/>
        <v>64.725490196078425</v>
      </c>
      <c r="N129" s="399" t="s">
        <v>380</v>
      </c>
      <c r="O129" s="392"/>
      <c r="P129" s="392"/>
      <c r="Q129" s="393"/>
      <c r="R129" s="392"/>
      <c r="S129" s="392">
        <v>1020</v>
      </c>
      <c r="T129" s="393">
        <v>65000</v>
      </c>
      <c r="U129" s="393"/>
      <c r="V129" s="393"/>
      <c r="W129" s="393"/>
      <c r="X129" s="393"/>
      <c r="Y129" s="393">
        <f t="shared" si="88"/>
        <v>66020</v>
      </c>
    </row>
    <row r="130" spans="1:25" ht="33.75" x14ac:dyDescent="0.2">
      <c r="A130" s="416">
        <v>751</v>
      </c>
      <c r="B130" s="104"/>
      <c r="C130" s="104"/>
      <c r="D130" s="145"/>
      <c r="E130" s="146" t="s">
        <v>45</v>
      </c>
      <c r="F130" s="147">
        <f>F131+F153+F161+F135+F144</f>
        <v>116247</v>
      </c>
      <c r="G130" s="147">
        <f>G131+G153+G161+G135+G144</f>
        <v>92408.87</v>
      </c>
      <c r="H130" s="148">
        <f t="shared" si="82"/>
        <v>0.79493552521785504</v>
      </c>
      <c r="I130" s="149">
        <f>I131+I153+I161+I144+I135</f>
        <v>114872.44999999998</v>
      </c>
      <c r="J130" s="1121">
        <f>J131+J153+J161</f>
        <v>0</v>
      </c>
      <c r="K130" s="1218">
        <f t="shared" ref="K130:L130" si="97">K131+K153+K161</f>
        <v>3481.0000000000005</v>
      </c>
      <c r="L130" s="150">
        <f t="shared" si="97"/>
        <v>3481.0000000000005</v>
      </c>
      <c r="M130" s="171">
        <f t="shared" si="61"/>
        <v>2.9944858792054854E-2</v>
      </c>
      <c r="N130" s="809"/>
      <c r="O130" s="448">
        <f t="shared" ref="O130:X130" si="98">O131+O153+O161</f>
        <v>0</v>
      </c>
      <c r="P130" s="448">
        <f t="shared" si="98"/>
        <v>0</v>
      </c>
      <c r="Q130" s="448">
        <f t="shared" si="98"/>
        <v>0</v>
      </c>
      <c r="R130" s="448">
        <f t="shared" si="98"/>
        <v>0</v>
      </c>
      <c r="S130" s="448">
        <f t="shared" si="98"/>
        <v>0</v>
      </c>
      <c r="T130" s="448">
        <f t="shared" si="98"/>
        <v>3481.0000000000005</v>
      </c>
      <c r="U130" s="448">
        <f t="shared" si="98"/>
        <v>0</v>
      </c>
      <c r="V130" s="448">
        <f t="shared" si="98"/>
        <v>0</v>
      </c>
      <c r="W130" s="448">
        <f t="shared" si="98"/>
        <v>0</v>
      </c>
      <c r="X130" s="448">
        <f t="shared" si="98"/>
        <v>0</v>
      </c>
      <c r="Y130" s="448">
        <f t="shared" si="88"/>
        <v>3481.0000000000005</v>
      </c>
    </row>
    <row r="131" spans="1:25" ht="22.5" x14ac:dyDescent="0.2">
      <c r="A131" s="52"/>
      <c r="B131" s="188">
        <v>75101</v>
      </c>
      <c r="C131" s="232"/>
      <c r="D131" s="233"/>
      <c r="E131" s="234" t="s">
        <v>46</v>
      </c>
      <c r="F131" s="518">
        <f>SUM(F132:F134)</f>
        <v>2949</v>
      </c>
      <c r="G131" s="518">
        <f t="shared" ref="G131:I131" si="99">SUM(G132:G134)</f>
        <v>2214</v>
      </c>
      <c r="H131" s="1177">
        <f t="shared" si="82"/>
        <v>0.75076297049847407</v>
      </c>
      <c r="I131" s="518">
        <f t="shared" si="99"/>
        <v>2949</v>
      </c>
      <c r="J131" s="1122">
        <f>SUM(J132:J134)</f>
        <v>0</v>
      </c>
      <c r="K131" s="1006">
        <f t="shared" ref="K131:L131" si="100">SUM(K132:K134)</f>
        <v>3481.0000000000005</v>
      </c>
      <c r="L131" s="238">
        <f t="shared" si="100"/>
        <v>3481.0000000000005</v>
      </c>
      <c r="M131" s="78">
        <f t="shared" si="61"/>
        <v>1.1804001356392</v>
      </c>
      <c r="N131" s="802"/>
      <c r="O131" s="443">
        <f t="shared" ref="O131:X131" si="101">SUM(O132:O134)</f>
        <v>0</v>
      </c>
      <c r="P131" s="443">
        <f t="shared" si="101"/>
        <v>0</v>
      </c>
      <c r="Q131" s="443">
        <f t="shared" si="101"/>
        <v>0</v>
      </c>
      <c r="R131" s="443">
        <f t="shared" si="101"/>
        <v>0</v>
      </c>
      <c r="S131" s="443">
        <f t="shared" si="101"/>
        <v>0</v>
      </c>
      <c r="T131" s="443">
        <f t="shared" si="101"/>
        <v>3481.0000000000005</v>
      </c>
      <c r="U131" s="443">
        <f t="shared" si="101"/>
        <v>0</v>
      </c>
      <c r="V131" s="443">
        <f t="shared" si="101"/>
        <v>0</v>
      </c>
      <c r="W131" s="443">
        <f t="shared" si="101"/>
        <v>0</v>
      </c>
      <c r="X131" s="443">
        <f t="shared" si="101"/>
        <v>0</v>
      </c>
      <c r="Y131" s="443">
        <f t="shared" si="88"/>
        <v>3481.0000000000005</v>
      </c>
    </row>
    <row r="132" spans="1:25" x14ac:dyDescent="0.2">
      <c r="A132" s="52"/>
      <c r="B132" s="52"/>
      <c r="C132" s="240"/>
      <c r="D132" s="446">
        <v>4010</v>
      </c>
      <c r="E132" s="199" t="s">
        <v>139</v>
      </c>
      <c r="F132" s="415">
        <v>2464.9</v>
      </c>
      <c r="G132" s="100">
        <v>1850.58</v>
      </c>
      <c r="H132" s="101">
        <f t="shared" si="82"/>
        <v>0.7507728508255912</v>
      </c>
      <c r="I132" s="415">
        <v>2464.9</v>
      </c>
      <c r="J132" s="1138">
        <v>0</v>
      </c>
      <c r="K132" s="1231">
        <v>2909.57</v>
      </c>
      <c r="L132" s="1260">
        <f>J132+K132</f>
        <v>2909.57</v>
      </c>
      <c r="M132" s="280">
        <f t="shared" si="61"/>
        <v>1.1804008276197817</v>
      </c>
      <c r="N132" s="466"/>
      <c r="O132" s="392"/>
      <c r="P132" s="392"/>
      <c r="Q132" s="393"/>
      <c r="R132" s="392"/>
      <c r="S132" s="392"/>
      <c r="T132" s="415">
        <f>L132</f>
        <v>2909.57</v>
      </c>
      <c r="U132" s="393"/>
      <c r="V132" s="393"/>
      <c r="W132" s="393"/>
      <c r="X132" s="393"/>
      <c r="Y132" s="393">
        <f t="shared" si="88"/>
        <v>2909.57</v>
      </c>
    </row>
    <row r="133" spans="1:25" x14ac:dyDescent="0.2">
      <c r="A133" s="52"/>
      <c r="B133" s="52"/>
      <c r="C133" s="203"/>
      <c r="D133" s="402">
        <v>4110</v>
      </c>
      <c r="E133" s="119" t="s">
        <v>140</v>
      </c>
      <c r="F133" s="519">
        <v>423.71</v>
      </c>
      <c r="G133" s="56">
        <v>318.07</v>
      </c>
      <c r="H133" s="101">
        <f t="shared" si="82"/>
        <v>0.75067853012673769</v>
      </c>
      <c r="I133" s="519">
        <v>423.71</v>
      </c>
      <c r="J133" s="1139">
        <v>0</v>
      </c>
      <c r="K133" s="1232">
        <v>500.15</v>
      </c>
      <c r="L133" s="1260">
        <f t="shared" ref="L133:L134" si="102">J133+K133</f>
        <v>500.15</v>
      </c>
      <c r="M133" s="280">
        <f t="shared" ref="M133:M198" si="103">L133/F133</f>
        <v>1.1804064100446059</v>
      </c>
      <c r="N133" s="399"/>
      <c r="O133" s="392"/>
      <c r="P133" s="392"/>
      <c r="Q133" s="393"/>
      <c r="R133" s="392"/>
      <c r="S133" s="392"/>
      <c r="T133" s="415">
        <f t="shared" ref="T133:T134" si="104">L133</f>
        <v>500.15</v>
      </c>
      <c r="U133" s="393"/>
      <c r="V133" s="393"/>
      <c r="W133" s="393"/>
      <c r="X133" s="393"/>
      <c r="Y133" s="393">
        <f t="shared" ref="Y133:Y134" si="105">SUM(O133:X133)</f>
        <v>500.15</v>
      </c>
    </row>
    <row r="134" spans="1:25" x14ac:dyDescent="0.2">
      <c r="A134" s="520"/>
      <c r="B134" s="159"/>
      <c r="C134" s="159"/>
      <c r="D134" s="309">
        <v>4120</v>
      </c>
      <c r="E134" s="122" t="s">
        <v>141</v>
      </c>
      <c r="F134" s="521">
        <v>60.39</v>
      </c>
      <c r="G134" s="100">
        <v>45.35</v>
      </c>
      <c r="H134" s="101">
        <f t="shared" si="82"/>
        <v>0.75095214439476732</v>
      </c>
      <c r="I134" s="521">
        <v>60.39</v>
      </c>
      <c r="J134" s="1140">
        <v>0</v>
      </c>
      <c r="K134" s="1233">
        <v>71.28</v>
      </c>
      <c r="L134" s="1260">
        <f t="shared" si="102"/>
        <v>71.28</v>
      </c>
      <c r="M134" s="280">
        <f t="shared" si="103"/>
        <v>1.180327868852459</v>
      </c>
      <c r="N134" s="399"/>
      <c r="O134" s="392"/>
      <c r="P134" s="392"/>
      <c r="Q134" s="393"/>
      <c r="R134" s="392"/>
      <c r="S134" s="392"/>
      <c r="T134" s="415">
        <f t="shared" si="104"/>
        <v>71.28</v>
      </c>
      <c r="U134" s="393"/>
      <c r="V134" s="393"/>
      <c r="W134" s="393"/>
      <c r="X134" s="393"/>
      <c r="Y134" s="393">
        <f t="shared" si="105"/>
        <v>71.28</v>
      </c>
    </row>
    <row r="135" spans="1:25" x14ac:dyDescent="0.2">
      <c r="A135" s="52"/>
      <c r="B135" s="188">
        <v>75107</v>
      </c>
      <c r="C135" s="232"/>
      <c r="D135" s="233"/>
      <c r="E135" s="46" t="s">
        <v>362</v>
      </c>
      <c r="F135" s="518">
        <f>SUM(F136:F143)</f>
        <v>57682</v>
      </c>
      <c r="G135" s="518">
        <f t="shared" ref="G135:I135" si="106">SUM(G136:G143)</f>
        <v>57571.899999999994</v>
      </c>
      <c r="H135" s="578">
        <f t="shared" si="82"/>
        <v>0.99809125897160278</v>
      </c>
      <c r="I135" s="518">
        <f t="shared" si="106"/>
        <v>57571.899999999994</v>
      </c>
      <c r="J135" s="1122">
        <f>SUM(J136:J143)</f>
        <v>0</v>
      </c>
      <c r="K135" s="1006">
        <f t="shared" ref="K135:L135" si="107">SUM(K136:K143)</f>
        <v>0</v>
      </c>
      <c r="L135" s="238">
        <f t="shared" si="107"/>
        <v>0</v>
      </c>
      <c r="M135" s="78">
        <f t="shared" si="103"/>
        <v>0</v>
      </c>
      <c r="N135" s="802"/>
      <c r="O135" s="443">
        <f t="shared" ref="O135:X135" si="108">SUM(O136:O143)</f>
        <v>0</v>
      </c>
      <c r="P135" s="443">
        <f t="shared" si="108"/>
        <v>0</v>
      </c>
      <c r="Q135" s="443">
        <f t="shared" si="108"/>
        <v>0</v>
      </c>
      <c r="R135" s="443">
        <f t="shared" si="108"/>
        <v>0</v>
      </c>
      <c r="S135" s="443">
        <f t="shared" si="108"/>
        <v>0</v>
      </c>
      <c r="T135" s="443">
        <f t="shared" si="108"/>
        <v>0</v>
      </c>
      <c r="U135" s="443">
        <f t="shared" si="108"/>
        <v>0</v>
      </c>
      <c r="V135" s="443">
        <f t="shared" si="108"/>
        <v>0</v>
      </c>
      <c r="W135" s="443">
        <f t="shared" si="108"/>
        <v>0</v>
      </c>
      <c r="X135" s="443">
        <f t="shared" si="108"/>
        <v>0</v>
      </c>
      <c r="Y135" s="443">
        <f>SUM(O135:X135)</f>
        <v>0</v>
      </c>
    </row>
    <row r="136" spans="1:25" x14ac:dyDescent="0.2">
      <c r="A136" s="52"/>
      <c r="B136" s="274"/>
      <c r="C136" s="432"/>
      <c r="D136" s="402">
        <v>3030</v>
      </c>
      <c r="E136" s="119" t="s">
        <v>172</v>
      </c>
      <c r="F136" s="522">
        <v>32142.81</v>
      </c>
      <c r="G136" s="364">
        <v>32100.84</v>
      </c>
      <c r="H136" s="256">
        <f>G136/F136</f>
        <v>0.99869426475158829</v>
      </c>
      <c r="I136" s="1188">
        <v>32100.84</v>
      </c>
      <c r="J136" s="1141">
        <v>0</v>
      </c>
      <c r="K136" s="1234"/>
      <c r="L136" s="279">
        <f>J136+K136</f>
        <v>0</v>
      </c>
      <c r="M136" s="280">
        <f t="shared" si="103"/>
        <v>0</v>
      </c>
      <c r="N136" s="523"/>
      <c r="O136" s="392"/>
      <c r="P136" s="392"/>
      <c r="Q136" s="393"/>
      <c r="R136" s="392"/>
      <c r="S136" s="392"/>
      <c r="T136" s="393"/>
      <c r="U136" s="393"/>
      <c r="V136" s="393"/>
      <c r="W136" s="393"/>
      <c r="X136" s="393"/>
      <c r="Y136" s="393">
        <f>SUM(O136:X136)</f>
        <v>0</v>
      </c>
    </row>
    <row r="137" spans="1:25" x14ac:dyDescent="0.2">
      <c r="A137" s="52"/>
      <c r="B137" s="52"/>
      <c r="C137" s="240"/>
      <c r="D137" s="309">
        <v>4110</v>
      </c>
      <c r="E137" s="122" t="s">
        <v>140</v>
      </c>
      <c r="F137" s="415">
        <v>1658.89</v>
      </c>
      <c r="G137" s="100">
        <v>1658.89</v>
      </c>
      <c r="H137" s="101">
        <f t="shared" ref="H137:H144" si="109">G137/F137</f>
        <v>1</v>
      </c>
      <c r="I137" s="102">
        <v>1658.89</v>
      </c>
      <c r="J137" s="1112">
        <v>0</v>
      </c>
      <c r="K137" s="102"/>
      <c r="L137" s="279">
        <f t="shared" ref="L137:L143" si="110">J137+K137</f>
        <v>0</v>
      </c>
      <c r="M137" s="280">
        <f t="shared" si="103"/>
        <v>0</v>
      </c>
      <c r="N137" s="466"/>
      <c r="O137" s="392"/>
      <c r="P137" s="392"/>
      <c r="Q137" s="393"/>
      <c r="R137" s="392"/>
      <c r="S137" s="392"/>
      <c r="T137" s="393"/>
      <c r="U137" s="393"/>
      <c r="V137" s="393"/>
      <c r="W137" s="393"/>
      <c r="X137" s="393"/>
      <c r="Y137" s="393">
        <f t="shared" ref="Y137:Y143" si="111">SUM(O137:X137)</f>
        <v>0</v>
      </c>
    </row>
    <row r="138" spans="1:25" x14ac:dyDescent="0.2">
      <c r="A138" s="52"/>
      <c r="B138" s="52"/>
      <c r="C138" s="203"/>
      <c r="D138" s="309">
        <v>4120</v>
      </c>
      <c r="E138" s="122" t="s">
        <v>141</v>
      </c>
      <c r="F138" s="519">
        <v>181.25</v>
      </c>
      <c r="G138" s="56">
        <v>154.85</v>
      </c>
      <c r="H138" s="57">
        <f t="shared" si="109"/>
        <v>0.85434482758620689</v>
      </c>
      <c r="I138" s="58">
        <v>154.85</v>
      </c>
      <c r="J138" s="1108">
        <v>0</v>
      </c>
      <c r="K138" s="102"/>
      <c r="L138" s="279">
        <f t="shared" si="110"/>
        <v>0</v>
      </c>
      <c r="M138" s="280">
        <f t="shared" si="103"/>
        <v>0</v>
      </c>
      <c r="N138" s="399"/>
      <c r="O138" s="392"/>
      <c r="P138" s="392"/>
      <c r="Q138" s="393"/>
      <c r="R138" s="392"/>
      <c r="S138" s="392"/>
      <c r="T138" s="393"/>
      <c r="U138" s="393"/>
      <c r="V138" s="393"/>
      <c r="W138" s="393"/>
      <c r="X138" s="393"/>
      <c r="Y138" s="393">
        <f t="shared" si="111"/>
        <v>0</v>
      </c>
    </row>
    <row r="139" spans="1:25" x14ac:dyDescent="0.2">
      <c r="A139" s="520"/>
      <c r="B139" s="520"/>
      <c r="C139" s="159"/>
      <c r="D139" s="309">
        <v>4170</v>
      </c>
      <c r="E139" s="122" t="s">
        <v>148</v>
      </c>
      <c r="F139" s="524">
        <v>12485</v>
      </c>
      <c r="G139" s="100">
        <v>12485</v>
      </c>
      <c r="H139" s="101">
        <f t="shared" si="109"/>
        <v>1</v>
      </c>
      <c r="I139" s="102">
        <v>12485</v>
      </c>
      <c r="J139" s="1112">
        <v>0</v>
      </c>
      <c r="K139" s="102"/>
      <c r="L139" s="279">
        <f t="shared" si="110"/>
        <v>0</v>
      </c>
      <c r="M139" s="280">
        <f t="shared" si="103"/>
        <v>0</v>
      </c>
      <c r="N139" s="399"/>
      <c r="O139" s="392"/>
      <c r="P139" s="392"/>
      <c r="Q139" s="393"/>
      <c r="R139" s="392"/>
      <c r="S139" s="392"/>
      <c r="T139" s="393"/>
      <c r="U139" s="393"/>
      <c r="V139" s="393"/>
      <c r="W139" s="393"/>
      <c r="X139" s="393"/>
      <c r="Y139" s="393">
        <f t="shared" si="111"/>
        <v>0</v>
      </c>
    </row>
    <row r="140" spans="1:25" x14ac:dyDescent="0.2">
      <c r="A140" s="52"/>
      <c r="B140" s="52"/>
      <c r="C140" s="79"/>
      <c r="D140" s="400">
        <v>4210</v>
      </c>
      <c r="E140" s="81" t="s">
        <v>142</v>
      </c>
      <c r="F140" s="82">
        <v>9476.8799999999992</v>
      </c>
      <c r="G140" s="56">
        <v>9476.8799999999992</v>
      </c>
      <c r="H140" s="57">
        <f t="shared" si="109"/>
        <v>1</v>
      </c>
      <c r="I140" s="58">
        <v>9476.8799999999992</v>
      </c>
      <c r="J140" s="1108">
        <v>0</v>
      </c>
      <c r="K140" s="102"/>
      <c r="L140" s="279">
        <f t="shared" si="110"/>
        <v>0</v>
      </c>
      <c r="M140" s="280">
        <f t="shared" si="103"/>
        <v>0</v>
      </c>
      <c r="N140" s="399"/>
      <c r="O140" s="392"/>
      <c r="P140" s="392"/>
      <c r="Q140" s="393"/>
      <c r="R140" s="392"/>
      <c r="S140" s="392"/>
      <c r="T140" s="393"/>
      <c r="U140" s="393"/>
      <c r="V140" s="393"/>
      <c r="W140" s="393"/>
      <c r="X140" s="393"/>
      <c r="Y140" s="393">
        <f t="shared" si="111"/>
        <v>0</v>
      </c>
    </row>
    <row r="141" spans="1:25" x14ac:dyDescent="0.2">
      <c r="A141" s="52"/>
      <c r="B141" s="52"/>
      <c r="C141" s="53"/>
      <c r="D141" s="398">
        <v>4260</v>
      </c>
      <c r="E141" s="25" t="s">
        <v>149</v>
      </c>
      <c r="F141" s="55">
        <v>73.180000000000007</v>
      </c>
      <c r="G141" s="56">
        <v>73.180000000000007</v>
      </c>
      <c r="H141" s="57">
        <f t="shared" si="109"/>
        <v>1</v>
      </c>
      <c r="I141" s="58">
        <v>73.180000000000007</v>
      </c>
      <c r="J141" s="1108">
        <v>0</v>
      </c>
      <c r="K141" s="102"/>
      <c r="L141" s="279">
        <f t="shared" si="110"/>
        <v>0</v>
      </c>
      <c r="M141" s="280">
        <f t="shared" si="103"/>
        <v>0</v>
      </c>
      <c r="N141" s="399"/>
      <c r="O141" s="392"/>
      <c r="P141" s="392"/>
      <c r="Q141" s="393"/>
      <c r="R141" s="392"/>
      <c r="S141" s="392"/>
      <c r="T141" s="393"/>
      <c r="U141" s="393"/>
      <c r="V141" s="393"/>
      <c r="W141" s="393"/>
      <c r="X141" s="393"/>
      <c r="Y141" s="393">
        <f t="shared" si="111"/>
        <v>0</v>
      </c>
    </row>
    <row r="142" spans="1:25" x14ac:dyDescent="0.2">
      <c r="A142" s="52"/>
      <c r="B142" s="52"/>
      <c r="C142" s="203"/>
      <c r="D142" s="402">
        <v>4300</v>
      </c>
      <c r="E142" s="119" t="s">
        <v>143</v>
      </c>
      <c r="F142" s="120">
        <v>513.99</v>
      </c>
      <c r="G142" s="56">
        <v>513.99</v>
      </c>
      <c r="H142" s="57">
        <f t="shared" si="109"/>
        <v>1</v>
      </c>
      <c r="I142" s="58">
        <v>513.99</v>
      </c>
      <c r="J142" s="1108">
        <v>0</v>
      </c>
      <c r="K142" s="102"/>
      <c r="L142" s="279">
        <f t="shared" si="110"/>
        <v>0</v>
      </c>
      <c r="M142" s="280">
        <f t="shared" si="103"/>
        <v>0</v>
      </c>
      <c r="N142" s="399"/>
      <c r="O142" s="392"/>
      <c r="P142" s="392"/>
      <c r="Q142" s="393"/>
      <c r="R142" s="392"/>
      <c r="S142" s="392"/>
      <c r="T142" s="393"/>
      <c r="U142" s="393"/>
      <c r="V142" s="393"/>
      <c r="W142" s="393"/>
      <c r="X142" s="393"/>
      <c r="Y142" s="393">
        <f t="shared" si="111"/>
        <v>0</v>
      </c>
    </row>
    <row r="143" spans="1:25" x14ac:dyDescent="0.2">
      <c r="A143" s="52"/>
      <c r="B143" s="52"/>
      <c r="C143" s="240"/>
      <c r="D143" s="446">
        <v>4410</v>
      </c>
      <c r="E143" s="199" t="s">
        <v>144</v>
      </c>
      <c r="F143" s="445">
        <v>1150</v>
      </c>
      <c r="G143" s="100">
        <v>1108.27</v>
      </c>
      <c r="H143" s="101">
        <f t="shared" si="109"/>
        <v>0.96371304347826081</v>
      </c>
      <c r="I143" s="102">
        <v>1108.27</v>
      </c>
      <c r="J143" s="1112">
        <v>0</v>
      </c>
      <c r="K143" s="102"/>
      <c r="L143" s="279">
        <f t="shared" si="110"/>
        <v>0</v>
      </c>
      <c r="M143" s="280">
        <f t="shared" si="103"/>
        <v>0</v>
      </c>
      <c r="N143" s="399" t="s">
        <v>190</v>
      </c>
      <c r="O143" s="392"/>
      <c r="P143" s="392"/>
      <c r="Q143" s="393"/>
      <c r="R143" s="392"/>
      <c r="S143" s="392"/>
      <c r="T143" s="393"/>
      <c r="U143" s="393"/>
      <c r="V143" s="393"/>
      <c r="W143" s="393"/>
      <c r="X143" s="393"/>
      <c r="Y143" s="393">
        <f t="shared" si="111"/>
        <v>0</v>
      </c>
    </row>
    <row r="144" spans="1:25" x14ac:dyDescent="0.2">
      <c r="A144" s="52"/>
      <c r="B144" s="188">
        <v>75108</v>
      </c>
      <c r="C144" s="232"/>
      <c r="D144" s="233"/>
      <c r="E144" s="46" t="s">
        <v>347</v>
      </c>
      <c r="F144" s="518">
        <f>SUM(F145:F152)</f>
        <v>18396</v>
      </c>
      <c r="G144" s="518">
        <f t="shared" ref="G144:I144" si="112">SUM(G145:G152)</f>
        <v>0</v>
      </c>
      <c r="H144" s="578">
        <f t="shared" si="109"/>
        <v>0</v>
      </c>
      <c r="I144" s="518">
        <f t="shared" si="112"/>
        <v>18396</v>
      </c>
      <c r="J144" s="1122">
        <f>SUM(J145:J152)</f>
        <v>0</v>
      </c>
      <c r="K144" s="1006">
        <f t="shared" ref="K144:L144" si="113">SUM(K145:K152)</f>
        <v>0</v>
      </c>
      <c r="L144" s="238">
        <f t="shared" si="113"/>
        <v>0</v>
      </c>
      <c r="M144" s="78">
        <f t="shared" si="103"/>
        <v>0</v>
      </c>
      <c r="N144" s="802"/>
      <c r="O144" s="443">
        <f t="shared" ref="O144:X144" si="114">SUM(O145:O152)</f>
        <v>0</v>
      </c>
      <c r="P144" s="443">
        <f t="shared" si="114"/>
        <v>0</v>
      </c>
      <c r="Q144" s="443">
        <f t="shared" si="114"/>
        <v>0</v>
      </c>
      <c r="R144" s="443">
        <f t="shared" si="114"/>
        <v>0</v>
      </c>
      <c r="S144" s="443">
        <f t="shared" si="114"/>
        <v>0</v>
      </c>
      <c r="T144" s="443">
        <f t="shared" si="114"/>
        <v>0</v>
      </c>
      <c r="U144" s="443">
        <f t="shared" si="114"/>
        <v>0</v>
      </c>
      <c r="V144" s="443">
        <f t="shared" si="114"/>
        <v>0</v>
      </c>
      <c r="W144" s="443">
        <f t="shared" si="114"/>
        <v>0</v>
      </c>
      <c r="X144" s="443">
        <f t="shared" si="114"/>
        <v>0</v>
      </c>
      <c r="Y144" s="443">
        <f>SUM(O144:X144)</f>
        <v>0</v>
      </c>
    </row>
    <row r="145" spans="1:25" x14ac:dyDescent="0.2">
      <c r="A145" s="52"/>
      <c r="B145" s="274"/>
      <c r="C145" s="432"/>
      <c r="D145" s="402">
        <v>3030</v>
      </c>
      <c r="E145" s="119" t="s">
        <v>172</v>
      </c>
      <c r="F145" s="522">
        <v>1400</v>
      </c>
      <c r="G145" s="364">
        <v>0</v>
      </c>
      <c r="H145" s="256">
        <f>G145/F145</f>
        <v>0</v>
      </c>
      <c r="I145" s="522">
        <v>1400</v>
      </c>
      <c r="J145" s="1141">
        <v>0</v>
      </c>
      <c r="K145" s="1234"/>
      <c r="L145" s="279">
        <f>J145+K145</f>
        <v>0</v>
      </c>
      <c r="M145" s="280">
        <f t="shared" si="103"/>
        <v>0</v>
      </c>
      <c r="N145" s="523"/>
      <c r="O145" s="392"/>
      <c r="P145" s="392"/>
      <c r="Q145" s="393"/>
      <c r="R145" s="392"/>
      <c r="S145" s="392"/>
      <c r="T145" s="393"/>
      <c r="U145" s="393"/>
      <c r="V145" s="393"/>
      <c r="W145" s="393"/>
      <c r="X145" s="393"/>
      <c r="Y145" s="393">
        <f>SUM(O145:X145)</f>
        <v>0</v>
      </c>
    </row>
    <row r="146" spans="1:25" x14ac:dyDescent="0.2">
      <c r="A146" s="52"/>
      <c r="B146" s="52"/>
      <c r="C146" s="240"/>
      <c r="D146" s="309">
        <v>4110</v>
      </c>
      <c r="E146" s="122" t="s">
        <v>140</v>
      </c>
      <c r="F146" s="415">
        <v>1290.97</v>
      </c>
      <c r="G146" s="100">
        <v>0</v>
      </c>
      <c r="H146" s="101">
        <f t="shared" ref="H146:H153" si="115">G146/F146</f>
        <v>0</v>
      </c>
      <c r="I146" s="415">
        <v>1290.97</v>
      </c>
      <c r="J146" s="1112">
        <v>0</v>
      </c>
      <c r="K146" s="102"/>
      <c r="L146" s="279">
        <f t="shared" ref="L146:L152" si="116">J146+K146</f>
        <v>0</v>
      </c>
      <c r="M146" s="280">
        <f t="shared" si="103"/>
        <v>0</v>
      </c>
      <c r="N146" s="466"/>
      <c r="O146" s="392"/>
      <c r="P146" s="392"/>
      <c r="Q146" s="393"/>
      <c r="R146" s="392"/>
      <c r="S146" s="392"/>
      <c r="T146" s="393"/>
      <c r="U146" s="393"/>
      <c r="V146" s="393"/>
      <c r="W146" s="393"/>
      <c r="X146" s="393"/>
      <c r="Y146" s="393">
        <f t="shared" ref="Y146:Y152" si="117">SUM(O146:X146)</f>
        <v>0</v>
      </c>
    </row>
    <row r="147" spans="1:25" x14ac:dyDescent="0.2">
      <c r="A147" s="52"/>
      <c r="B147" s="52"/>
      <c r="C147" s="203"/>
      <c r="D147" s="309">
        <v>4120</v>
      </c>
      <c r="E147" s="122" t="s">
        <v>141</v>
      </c>
      <c r="F147" s="519">
        <v>169.3</v>
      </c>
      <c r="G147" s="56">
        <v>0</v>
      </c>
      <c r="H147" s="57">
        <f t="shared" si="115"/>
        <v>0</v>
      </c>
      <c r="I147" s="519">
        <v>169.3</v>
      </c>
      <c r="J147" s="1108">
        <v>0</v>
      </c>
      <c r="K147" s="102"/>
      <c r="L147" s="279">
        <f t="shared" si="116"/>
        <v>0</v>
      </c>
      <c r="M147" s="280">
        <f t="shared" si="103"/>
        <v>0</v>
      </c>
      <c r="N147" s="399"/>
      <c r="O147" s="392"/>
      <c r="P147" s="392"/>
      <c r="Q147" s="393"/>
      <c r="R147" s="392"/>
      <c r="S147" s="392"/>
      <c r="T147" s="393"/>
      <c r="U147" s="393"/>
      <c r="V147" s="393"/>
      <c r="W147" s="393"/>
      <c r="X147" s="393"/>
      <c r="Y147" s="393">
        <f t="shared" si="117"/>
        <v>0</v>
      </c>
    </row>
    <row r="148" spans="1:25" x14ac:dyDescent="0.2">
      <c r="A148" s="520"/>
      <c r="B148" s="520"/>
      <c r="C148" s="159"/>
      <c r="D148" s="309">
        <v>4170</v>
      </c>
      <c r="E148" s="122" t="s">
        <v>148</v>
      </c>
      <c r="F148" s="524">
        <v>10060</v>
      </c>
      <c r="G148" s="100">
        <v>0</v>
      </c>
      <c r="H148" s="101">
        <f t="shared" si="115"/>
        <v>0</v>
      </c>
      <c r="I148" s="524">
        <v>10060</v>
      </c>
      <c r="J148" s="1112">
        <v>0</v>
      </c>
      <c r="K148" s="102"/>
      <c r="L148" s="279">
        <f t="shared" si="116"/>
        <v>0</v>
      </c>
      <c r="M148" s="280">
        <f t="shared" si="103"/>
        <v>0</v>
      </c>
      <c r="N148" s="399"/>
      <c r="O148" s="392"/>
      <c r="P148" s="392"/>
      <c r="Q148" s="393"/>
      <c r="R148" s="392"/>
      <c r="S148" s="392"/>
      <c r="T148" s="393"/>
      <c r="U148" s="393"/>
      <c r="V148" s="393"/>
      <c r="W148" s="393"/>
      <c r="X148" s="393"/>
      <c r="Y148" s="393">
        <f t="shared" si="117"/>
        <v>0</v>
      </c>
    </row>
    <row r="149" spans="1:25" x14ac:dyDescent="0.2">
      <c r="A149" s="52"/>
      <c r="B149" s="52"/>
      <c r="C149" s="79"/>
      <c r="D149" s="400">
        <v>4210</v>
      </c>
      <c r="E149" s="81" t="s">
        <v>142</v>
      </c>
      <c r="F149" s="82">
        <v>3975.73</v>
      </c>
      <c r="G149" s="56">
        <v>0</v>
      </c>
      <c r="H149" s="57">
        <f t="shared" si="115"/>
        <v>0</v>
      </c>
      <c r="I149" s="82">
        <v>3975.73</v>
      </c>
      <c r="J149" s="1108">
        <v>0</v>
      </c>
      <c r="K149" s="102"/>
      <c r="L149" s="279">
        <f t="shared" si="116"/>
        <v>0</v>
      </c>
      <c r="M149" s="280">
        <f t="shared" si="103"/>
        <v>0</v>
      </c>
      <c r="N149" s="399"/>
      <c r="O149" s="392"/>
      <c r="P149" s="392"/>
      <c r="Q149" s="393"/>
      <c r="R149" s="392"/>
      <c r="S149" s="392"/>
      <c r="T149" s="393"/>
      <c r="U149" s="393"/>
      <c r="V149" s="393"/>
      <c r="W149" s="393"/>
      <c r="X149" s="393"/>
      <c r="Y149" s="393">
        <f t="shared" si="117"/>
        <v>0</v>
      </c>
    </row>
    <row r="150" spans="1:25" x14ac:dyDescent="0.2">
      <c r="A150" s="52"/>
      <c r="B150" s="52"/>
      <c r="C150" s="53"/>
      <c r="D150" s="398">
        <v>4260</v>
      </c>
      <c r="E150" s="25" t="s">
        <v>149</v>
      </c>
      <c r="F150" s="55">
        <v>100</v>
      </c>
      <c r="G150" s="56">
        <v>0</v>
      </c>
      <c r="H150" s="57">
        <f t="shared" si="115"/>
        <v>0</v>
      </c>
      <c r="I150" s="55">
        <v>100</v>
      </c>
      <c r="J150" s="1108">
        <v>0</v>
      </c>
      <c r="K150" s="102"/>
      <c r="L150" s="279">
        <f t="shared" si="116"/>
        <v>0</v>
      </c>
      <c r="M150" s="280">
        <f t="shared" si="103"/>
        <v>0</v>
      </c>
      <c r="N150" s="399"/>
      <c r="O150" s="392"/>
      <c r="P150" s="392"/>
      <c r="Q150" s="393"/>
      <c r="R150" s="392"/>
      <c r="S150" s="392"/>
      <c r="T150" s="393"/>
      <c r="U150" s="393"/>
      <c r="V150" s="393"/>
      <c r="W150" s="393"/>
      <c r="X150" s="393"/>
      <c r="Y150" s="393">
        <f t="shared" si="117"/>
        <v>0</v>
      </c>
    </row>
    <row r="151" spans="1:25" x14ac:dyDescent="0.2">
      <c r="A151" s="52"/>
      <c r="B151" s="52"/>
      <c r="C151" s="203"/>
      <c r="D151" s="402">
        <v>4300</v>
      </c>
      <c r="E151" s="119" t="s">
        <v>143</v>
      </c>
      <c r="F151" s="120">
        <v>400</v>
      </c>
      <c r="G151" s="56">
        <v>0</v>
      </c>
      <c r="H151" s="57">
        <f t="shared" si="115"/>
        <v>0</v>
      </c>
      <c r="I151" s="120">
        <v>400</v>
      </c>
      <c r="J151" s="1108">
        <v>0</v>
      </c>
      <c r="K151" s="102"/>
      <c r="L151" s="279">
        <f t="shared" si="116"/>
        <v>0</v>
      </c>
      <c r="M151" s="280">
        <f t="shared" si="103"/>
        <v>0</v>
      </c>
      <c r="N151" s="399"/>
      <c r="O151" s="392"/>
      <c r="P151" s="392"/>
      <c r="Q151" s="393"/>
      <c r="R151" s="392"/>
      <c r="S151" s="392"/>
      <c r="T151" s="393"/>
      <c r="U151" s="393"/>
      <c r="V151" s="393"/>
      <c r="W151" s="393"/>
      <c r="X151" s="393"/>
      <c r="Y151" s="393">
        <f t="shared" si="117"/>
        <v>0</v>
      </c>
    </row>
    <row r="152" spans="1:25" x14ac:dyDescent="0.2">
      <c r="A152" s="52"/>
      <c r="B152" s="159"/>
      <c r="C152" s="159"/>
      <c r="D152" s="309">
        <v>4410</v>
      </c>
      <c r="E152" s="122" t="s">
        <v>144</v>
      </c>
      <c r="F152" s="123">
        <v>1000</v>
      </c>
      <c r="G152" s="100">
        <v>0</v>
      </c>
      <c r="H152" s="101">
        <f t="shared" si="115"/>
        <v>0</v>
      </c>
      <c r="I152" s="123">
        <v>1000</v>
      </c>
      <c r="J152" s="1112">
        <v>0</v>
      </c>
      <c r="K152" s="102"/>
      <c r="L152" s="279">
        <f t="shared" si="116"/>
        <v>0</v>
      </c>
      <c r="M152" s="280">
        <f t="shared" si="103"/>
        <v>0</v>
      </c>
      <c r="N152" s="399" t="s">
        <v>190</v>
      </c>
      <c r="O152" s="392"/>
      <c r="P152" s="392"/>
      <c r="Q152" s="393"/>
      <c r="R152" s="392"/>
      <c r="S152" s="392"/>
      <c r="T152" s="393"/>
      <c r="U152" s="393"/>
      <c r="V152" s="393"/>
      <c r="W152" s="393"/>
      <c r="X152" s="393"/>
      <c r="Y152" s="393">
        <f t="shared" si="117"/>
        <v>0</v>
      </c>
    </row>
    <row r="153" spans="1:25" ht="45" x14ac:dyDescent="0.2">
      <c r="A153" s="52"/>
      <c r="B153" s="606">
        <v>75109</v>
      </c>
      <c r="C153" s="426"/>
      <c r="D153" s="152"/>
      <c r="E153" s="76" t="s">
        <v>47</v>
      </c>
      <c r="F153" s="155">
        <f>SUM(F154:F160)</f>
        <v>5666.0000000000009</v>
      </c>
      <c r="G153" s="155">
        <f t="shared" ref="G153:I153" si="118">SUM(G154:G160)</f>
        <v>4550.63</v>
      </c>
      <c r="H153" s="578">
        <f t="shared" si="115"/>
        <v>0.80314684080480048</v>
      </c>
      <c r="I153" s="155">
        <f t="shared" si="118"/>
        <v>4550.63</v>
      </c>
      <c r="J153" s="1126">
        <f>SUM(J154:J160)</f>
        <v>0</v>
      </c>
      <c r="K153" s="1221">
        <f t="shared" ref="K153:L153" si="119">SUM(K154:K160)</f>
        <v>0</v>
      </c>
      <c r="L153" s="158">
        <f t="shared" si="119"/>
        <v>0</v>
      </c>
      <c r="M153" s="117">
        <f t="shared" si="103"/>
        <v>0</v>
      </c>
      <c r="N153" s="802"/>
      <c r="O153" s="443">
        <f t="shared" ref="O153:X153" si="120">SUM(O154:O160)</f>
        <v>0</v>
      </c>
      <c r="P153" s="443">
        <f t="shared" si="120"/>
        <v>0</v>
      </c>
      <c r="Q153" s="443">
        <f t="shared" si="120"/>
        <v>0</v>
      </c>
      <c r="R153" s="443">
        <f t="shared" si="120"/>
        <v>0</v>
      </c>
      <c r="S153" s="443">
        <f t="shared" si="120"/>
        <v>0</v>
      </c>
      <c r="T153" s="443">
        <f t="shared" si="120"/>
        <v>0</v>
      </c>
      <c r="U153" s="443">
        <f t="shared" si="120"/>
        <v>0</v>
      </c>
      <c r="V153" s="443">
        <f t="shared" si="120"/>
        <v>0</v>
      </c>
      <c r="W153" s="443">
        <f t="shared" si="120"/>
        <v>0</v>
      </c>
      <c r="X153" s="443">
        <f t="shared" si="120"/>
        <v>0</v>
      </c>
      <c r="Y153" s="443">
        <f>SUM(O153:X153)</f>
        <v>0</v>
      </c>
    </row>
    <row r="154" spans="1:25" x14ac:dyDescent="0.2">
      <c r="A154" s="52"/>
      <c r="B154" s="274"/>
      <c r="C154" s="432"/>
      <c r="D154" s="402">
        <v>3030</v>
      </c>
      <c r="E154" s="119" t="s">
        <v>172</v>
      </c>
      <c r="F154" s="522">
        <v>3955</v>
      </c>
      <c r="G154" s="364">
        <v>3208.64</v>
      </c>
      <c r="H154" s="256">
        <f>G154/F154</f>
        <v>0.8112869785082174</v>
      </c>
      <c r="I154" s="1188">
        <v>3208.64</v>
      </c>
      <c r="J154" s="1141">
        <v>0</v>
      </c>
      <c r="K154" s="1234"/>
      <c r="L154" s="279">
        <f>J154+K154</f>
        <v>0</v>
      </c>
      <c r="M154" s="280">
        <f t="shared" si="103"/>
        <v>0</v>
      </c>
      <c r="N154" s="523"/>
      <c r="O154" s="392"/>
      <c r="P154" s="392"/>
      <c r="Q154" s="393"/>
      <c r="R154" s="392"/>
      <c r="S154" s="392"/>
      <c r="T154" s="393"/>
      <c r="U154" s="393"/>
      <c r="V154" s="393"/>
      <c r="W154" s="393"/>
      <c r="X154" s="393"/>
      <c r="Y154" s="393">
        <f>SUM(O154:X154)</f>
        <v>0</v>
      </c>
    </row>
    <row r="155" spans="1:25" x14ac:dyDescent="0.2">
      <c r="A155" s="52"/>
      <c r="B155" s="52"/>
      <c r="C155" s="240"/>
      <c r="D155" s="309">
        <v>4110</v>
      </c>
      <c r="E155" s="122" t="s">
        <v>140</v>
      </c>
      <c r="F155" s="415">
        <v>163.33000000000001</v>
      </c>
      <c r="G155" s="100">
        <v>163.33000000000001</v>
      </c>
      <c r="H155" s="101">
        <f t="shared" si="82"/>
        <v>1</v>
      </c>
      <c r="I155" s="102">
        <v>163.33000000000001</v>
      </c>
      <c r="J155" s="1112">
        <v>0</v>
      </c>
      <c r="K155" s="102"/>
      <c r="L155" s="279">
        <f t="shared" ref="L155:L160" si="121">J155+K155</f>
        <v>0</v>
      </c>
      <c r="M155" s="280">
        <f t="shared" si="103"/>
        <v>0</v>
      </c>
      <c r="N155" s="466"/>
      <c r="O155" s="392"/>
      <c r="P155" s="392"/>
      <c r="Q155" s="393"/>
      <c r="R155" s="392"/>
      <c r="S155" s="392"/>
      <c r="T155" s="393"/>
      <c r="U155" s="393"/>
      <c r="V155" s="393"/>
      <c r="W155" s="393"/>
      <c r="X155" s="393"/>
      <c r="Y155" s="393">
        <f t="shared" ref="Y155:Y160" si="122">SUM(O155:X155)</f>
        <v>0</v>
      </c>
    </row>
    <row r="156" spans="1:25" x14ac:dyDescent="0.2">
      <c r="A156" s="52"/>
      <c r="B156" s="52"/>
      <c r="C156" s="203"/>
      <c r="D156" s="309">
        <v>4120</v>
      </c>
      <c r="E156" s="122" t="s">
        <v>141</v>
      </c>
      <c r="F156" s="519">
        <v>23.3</v>
      </c>
      <c r="G156" s="56">
        <v>15.94</v>
      </c>
      <c r="H156" s="57">
        <f t="shared" si="82"/>
        <v>0.68412017167381967</v>
      </c>
      <c r="I156" s="58">
        <v>15.94</v>
      </c>
      <c r="J156" s="1108">
        <v>0</v>
      </c>
      <c r="K156" s="102"/>
      <c r="L156" s="279">
        <f t="shared" si="121"/>
        <v>0</v>
      </c>
      <c r="M156" s="280">
        <f t="shared" si="103"/>
        <v>0</v>
      </c>
      <c r="N156" s="399"/>
      <c r="O156" s="392"/>
      <c r="P156" s="392"/>
      <c r="Q156" s="393"/>
      <c r="R156" s="392"/>
      <c r="S156" s="392"/>
      <c r="T156" s="393"/>
      <c r="U156" s="393"/>
      <c r="V156" s="393"/>
      <c r="W156" s="393"/>
      <c r="X156" s="393"/>
      <c r="Y156" s="393">
        <f t="shared" si="122"/>
        <v>0</v>
      </c>
    </row>
    <row r="157" spans="1:25" x14ac:dyDescent="0.2">
      <c r="A157" s="520"/>
      <c r="B157" s="520"/>
      <c r="C157" s="159"/>
      <c r="D157" s="309">
        <v>4170</v>
      </c>
      <c r="E157" s="122" t="s">
        <v>148</v>
      </c>
      <c r="F157" s="524">
        <v>950</v>
      </c>
      <c r="G157" s="100">
        <v>950</v>
      </c>
      <c r="H157" s="101">
        <f t="shared" si="82"/>
        <v>1</v>
      </c>
      <c r="I157" s="102">
        <v>950</v>
      </c>
      <c r="J157" s="1112">
        <v>0</v>
      </c>
      <c r="K157" s="102"/>
      <c r="L157" s="279">
        <f t="shared" si="121"/>
        <v>0</v>
      </c>
      <c r="M157" s="280">
        <f t="shared" si="103"/>
        <v>0</v>
      </c>
      <c r="N157" s="399"/>
      <c r="O157" s="392"/>
      <c r="P157" s="392"/>
      <c r="Q157" s="393"/>
      <c r="R157" s="392"/>
      <c r="S157" s="392"/>
      <c r="T157" s="393"/>
      <c r="U157" s="393"/>
      <c r="V157" s="393"/>
      <c r="W157" s="393"/>
      <c r="X157" s="393"/>
      <c r="Y157" s="393">
        <f t="shared" si="122"/>
        <v>0</v>
      </c>
    </row>
    <row r="158" spans="1:25" x14ac:dyDescent="0.2">
      <c r="A158" s="52"/>
      <c r="B158" s="52"/>
      <c r="C158" s="79"/>
      <c r="D158" s="400">
        <v>4210</v>
      </c>
      <c r="E158" s="81" t="s">
        <v>142</v>
      </c>
      <c r="F158" s="82">
        <v>280.63</v>
      </c>
      <c r="G158" s="56">
        <v>182.63</v>
      </c>
      <c r="H158" s="57">
        <f t="shared" si="82"/>
        <v>0.6507857321027688</v>
      </c>
      <c r="I158" s="58">
        <v>182.63</v>
      </c>
      <c r="J158" s="1108">
        <v>0</v>
      </c>
      <c r="K158" s="102"/>
      <c r="L158" s="279">
        <f t="shared" si="121"/>
        <v>0</v>
      </c>
      <c r="M158" s="280">
        <f t="shared" si="103"/>
        <v>0</v>
      </c>
      <c r="N158" s="399"/>
      <c r="O158" s="392"/>
      <c r="P158" s="392"/>
      <c r="Q158" s="393"/>
      <c r="R158" s="392"/>
      <c r="S158" s="392"/>
      <c r="T158" s="393"/>
      <c r="U158" s="393"/>
      <c r="V158" s="393"/>
      <c r="W158" s="393"/>
      <c r="X158" s="393"/>
      <c r="Y158" s="393">
        <f t="shared" si="122"/>
        <v>0</v>
      </c>
    </row>
    <row r="159" spans="1:25" x14ac:dyDescent="0.2">
      <c r="A159" s="52"/>
      <c r="B159" s="52"/>
      <c r="C159" s="203"/>
      <c r="D159" s="402">
        <v>4300</v>
      </c>
      <c r="E159" s="119" t="s">
        <v>143</v>
      </c>
      <c r="F159" s="120">
        <v>163.35</v>
      </c>
      <c r="G159" s="56">
        <v>0</v>
      </c>
      <c r="H159" s="57">
        <f t="shared" si="82"/>
        <v>0</v>
      </c>
      <c r="I159" s="58">
        <v>0</v>
      </c>
      <c r="J159" s="1108">
        <v>0</v>
      </c>
      <c r="K159" s="102"/>
      <c r="L159" s="279">
        <f t="shared" si="121"/>
        <v>0</v>
      </c>
      <c r="M159" s="280">
        <f t="shared" si="103"/>
        <v>0</v>
      </c>
      <c r="N159" s="399"/>
      <c r="O159" s="392"/>
      <c r="P159" s="392"/>
      <c r="Q159" s="393"/>
      <c r="R159" s="392"/>
      <c r="S159" s="392"/>
      <c r="T159" s="393"/>
      <c r="U159" s="393"/>
      <c r="V159" s="393"/>
      <c r="W159" s="393"/>
      <c r="X159" s="393"/>
      <c r="Y159" s="393">
        <f t="shared" si="122"/>
        <v>0</v>
      </c>
    </row>
    <row r="160" spans="1:25" x14ac:dyDescent="0.2">
      <c r="A160" s="52"/>
      <c r="B160" s="52"/>
      <c r="C160" s="240"/>
      <c r="D160" s="446">
        <v>4410</v>
      </c>
      <c r="E160" s="199" t="s">
        <v>144</v>
      </c>
      <c r="F160" s="445">
        <v>130.38999999999999</v>
      </c>
      <c r="G160" s="100">
        <v>30.09</v>
      </c>
      <c r="H160" s="101">
        <f t="shared" si="82"/>
        <v>0.23076923076923078</v>
      </c>
      <c r="I160" s="102">
        <v>30.09</v>
      </c>
      <c r="J160" s="1112">
        <v>0</v>
      </c>
      <c r="K160" s="102"/>
      <c r="L160" s="279">
        <f t="shared" si="121"/>
        <v>0</v>
      </c>
      <c r="M160" s="280">
        <f t="shared" si="103"/>
        <v>0</v>
      </c>
      <c r="N160" s="399" t="s">
        <v>190</v>
      </c>
      <c r="O160" s="392"/>
      <c r="P160" s="392"/>
      <c r="Q160" s="393"/>
      <c r="R160" s="392"/>
      <c r="S160" s="392"/>
      <c r="T160" s="393"/>
      <c r="U160" s="393"/>
      <c r="V160" s="393"/>
      <c r="W160" s="393"/>
      <c r="X160" s="393"/>
      <c r="Y160" s="393">
        <f t="shared" si="122"/>
        <v>0</v>
      </c>
    </row>
    <row r="161" spans="1:25" x14ac:dyDescent="0.2">
      <c r="A161" s="52"/>
      <c r="B161" s="188">
        <v>75110</v>
      </c>
      <c r="C161" s="232"/>
      <c r="D161" s="233"/>
      <c r="E161" s="234" t="s">
        <v>348</v>
      </c>
      <c r="F161" s="518">
        <f>SUM(F162:F169)</f>
        <v>31553.999999999996</v>
      </c>
      <c r="G161" s="518">
        <f t="shared" ref="G161:I161" si="123">SUM(G162:G169)</f>
        <v>28072.34</v>
      </c>
      <c r="H161" s="578">
        <f t="shared" si="82"/>
        <v>0.88966026494263817</v>
      </c>
      <c r="I161" s="518">
        <f t="shared" si="123"/>
        <v>31404.92</v>
      </c>
      <c r="J161" s="1122">
        <f>SUM(J162:J169)</f>
        <v>0</v>
      </c>
      <c r="K161" s="1006">
        <f t="shared" ref="K161:L161" si="124">SUM(K162:K169)</f>
        <v>0</v>
      </c>
      <c r="L161" s="238">
        <f t="shared" si="124"/>
        <v>0</v>
      </c>
      <c r="M161" s="78">
        <f t="shared" si="103"/>
        <v>0</v>
      </c>
      <c r="N161" s="802"/>
      <c r="O161" s="443">
        <f t="shared" ref="O161:X161" si="125">SUM(O162:O169)</f>
        <v>0</v>
      </c>
      <c r="P161" s="443">
        <f t="shared" si="125"/>
        <v>0</v>
      </c>
      <c r="Q161" s="443">
        <f t="shared" si="125"/>
        <v>0</v>
      </c>
      <c r="R161" s="443">
        <f t="shared" si="125"/>
        <v>0</v>
      </c>
      <c r="S161" s="443">
        <f t="shared" si="125"/>
        <v>0</v>
      </c>
      <c r="T161" s="443">
        <f t="shared" si="125"/>
        <v>0</v>
      </c>
      <c r="U161" s="443">
        <f t="shared" si="125"/>
        <v>0</v>
      </c>
      <c r="V161" s="443">
        <f t="shared" si="125"/>
        <v>0</v>
      </c>
      <c r="W161" s="443">
        <f t="shared" si="125"/>
        <v>0</v>
      </c>
      <c r="X161" s="443">
        <f t="shared" si="125"/>
        <v>0</v>
      </c>
      <c r="Y161" s="443">
        <f>SUM(O161:X161)</f>
        <v>0</v>
      </c>
    </row>
    <row r="162" spans="1:25" x14ac:dyDescent="0.2">
      <c r="A162" s="52"/>
      <c r="B162" s="274"/>
      <c r="C162" s="432"/>
      <c r="D162" s="400">
        <v>3030</v>
      </c>
      <c r="E162" s="81" t="s">
        <v>172</v>
      </c>
      <c r="F162" s="522">
        <v>17963.14</v>
      </c>
      <c r="G162" s="364">
        <v>17823.14</v>
      </c>
      <c r="H162" s="256">
        <f>G162/F162</f>
        <v>0.99220626237951715</v>
      </c>
      <c r="I162" s="1188">
        <v>17823.14</v>
      </c>
      <c r="J162" s="1141">
        <v>0</v>
      </c>
      <c r="K162" s="1234"/>
      <c r="L162" s="279">
        <f>J162+K162</f>
        <v>0</v>
      </c>
      <c r="M162" s="280">
        <f t="shared" si="103"/>
        <v>0</v>
      </c>
      <c r="N162" s="523"/>
      <c r="O162" s="392"/>
      <c r="P162" s="392"/>
      <c r="Q162" s="393"/>
      <c r="R162" s="392"/>
      <c r="S162" s="392"/>
      <c r="T162" s="393"/>
      <c r="U162" s="393"/>
      <c r="V162" s="393"/>
      <c r="W162" s="393"/>
      <c r="X162" s="393"/>
      <c r="Y162" s="393">
        <f>SUM(O162:X162)</f>
        <v>0</v>
      </c>
    </row>
    <row r="163" spans="1:25" x14ac:dyDescent="0.2">
      <c r="A163" s="52"/>
      <c r="B163" s="52"/>
      <c r="C163" s="240"/>
      <c r="D163" s="402">
        <v>4110</v>
      </c>
      <c r="E163" s="119" t="s">
        <v>140</v>
      </c>
      <c r="F163" s="415">
        <v>1138.01</v>
      </c>
      <c r="G163" s="100">
        <v>0</v>
      </c>
      <c r="H163" s="256">
        <f t="shared" ref="H163:H169" si="126">G163/F163</f>
        <v>0</v>
      </c>
      <c r="I163" s="102">
        <v>1138.01</v>
      </c>
      <c r="J163" s="1112">
        <v>0</v>
      </c>
      <c r="K163" s="102"/>
      <c r="L163" s="279">
        <f t="shared" ref="L163:L169" si="127">J163+K163</f>
        <v>0</v>
      </c>
      <c r="M163" s="280">
        <f t="shared" si="103"/>
        <v>0</v>
      </c>
      <c r="N163" s="466"/>
      <c r="O163" s="392"/>
      <c r="P163" s="392"/>
      <c r="Q163" s="393"/>
      <c r="R163" s="392"/>
      <c r="S163" s="392"/>
      <c r="T163" s="393"/>
      <c r="U163" s="393"/>
      <c r="V163" s="393"/>
      <c r="W163" s="393"/>
      <c r="X163" s="393"/>
      <c r="Y163" s="393">
        <f t="shared" ref="Y163:Y169" si="128">SUM(O163:X163)</f>
        <v>0</v>
      </c>
    </row>
    <row r="164" spans="1:25" x14ac:dyDescent="0.2">
      <c r="A164" s="52"/>
      <c r="B164" s="52"/>
      <c r="C164" s="203"/>
      <c r="D164" s="309">
        <v>4120</v>
      </c>
      <c r="E164" s="122" t="s">
        <v>141</v>
      </c>
      <c r="F164" s="519">
        <v>86.28</v>
      </c>
      <c r="G164" s="56">
        <v>0</v>
      </c>
      <c r="H164" s="256">
        <f t="shared" si="126"/>
        <v>0</v>
      </c>
      <c r="I164" s="58">
        <v>86.28</v>
      </c>
      <c r="J164" s="1108">
        <v>0</v>
      </c>
      <c r="K164" s="102"/>
      <c r="L164" s="279">
        <f t="shared" si="127"/>
        <v>0</v>
      </c>
      <c r="M164" s="280">
        <f t="shared" si="103"/>
        <v>0</v>
      </c>
      <c r="N164" s="399"/>
      <c r="O164" s="392"/>
      <c r="P164" s="392"/>
      <c r="Q164" s="393"/>
      <c r="R164" s="392"/>
      <c r="S164" s="392"/>
      <c r="T164" s="393"/>
      <c r="U164" s="393"/>
      <c r="V164" s="393"/>
      <c r="W164" s="393"/>
      <c r="X164" s="393"/>
      <c r="Y164" s="393">
        <f t="shared" si="128"/>
        <v>0</v>
      </c>
    </row>
    <row r="165" spans="1:25" x14ac:dyDescent="0.2">
      <c r="A165" s="520"/>
      <c r="B165" s="520"/>
      <c r="C165" s="159"/>
      <c r="D165" s="309">
        <v>4170</v>
      </c>
      <c r="E165" s="122" t="s">
        <v>148</v>
      </c>
      <c r="F165" s="524">
        <v>8630</v>
      </c>
      <c r="G165" s="100">
        <v>6521.71</v>
      </c>
      <c r="H165" s="256">
        <f t="shared" si="126"/>
        <v>0.75570220162224799</v>
      </c>
      <c r="I165" s="102">
        <v>8630</v>
      </c>
      <c r="J165" s="1112">
        <v>0</v>
      </c>
      <c r="K165" s="102"/>
      <c r="L165" s="279">
        <f t="shared" si="127"/>
        <v>0</v>
      </c>
      <c r="M165" s="280">
        <f t="shared" si="103"/>
        <v>0</v>
      </c>
      <c r="N165" s="399"/>
      <c r="O165" s="392"/>
      <c r="P165" s="392"/>
      <c r="Q165" s="393"/>
      <c r="R165" s="392"/>
      <c r="S165" s="392"/>
      <c r="T165" s="393"/>
      <c r="U165" s="393"/>
      <c r="V165" s="393"/>
      <c r="W165" s="393"/>
      <c r="X165" s="393"/>
      <c r="Y165" s="393">
        <f t="shared" si="128"/>
        <v>0</v>
      </c>
    </row>
    <row r="166" spans="1:25" x14ac:dyDescent="0.2">
      <c r="A166" s="52"/>
      <c r="B166" s="52"/>
      <c r="C166" s="79"/>
      <c r="D166" s="400">
        <v>4210</v>
      </c>
      <c r="E166" s="81" t="s">
        <v>142</v>
      </c>
      <c r="F166" s="82">
        <v>2229.11</v>
      </c>
      <c r="G166" s="56">
        <v>2229.11</v>
      </c>
      <c r="H166" s="256">
        <f t="shared" si="126"/>
        <v>1</v>
      </c>
      <c r="I166" s="58">
        <v>2229.11</v>
      </c>
      <c r="J166" s="1108">
        <v>0</v>
      </c>
      <c r="K166" s="102"/>
      <c r="L166" s="279">
        <f t="shared" si="127"/>
        <v>0</v>
      </c>
      <c r="M166" s="280">
        <f t="shared" si="103"/>
        <v>0</v>
      </c>
      <c r="N166" s="399"/>
      <c r="O166" s="392"/>
      <c r="P166" s="392"/>
      <c r="Q166" s="393"/>
      <c r="R166" s="392"/>
      <c r="S166" s="392"/>
      <c r="T166" s="393"/>
      <c r="U166" s="393"/>
      <c r="V166" s="393"/>
      <c r="W166" s="393"/>
      <c r="X166" s="393"/>
      <c r="Y166" s="393">
        <f t="shared" si="128"/>
        <v>0</v>
      </c>
    </row>
    <row r="167" spans="1:25" x14ac:dyDescent="0.2">
      <c r="A167" s="52"/>
      <c r="B167" s="52"/>
      <c r="C167" s="53"/>
      <c r="D167" s="398">
        <v>4260</v>
      </c>
      <c r="E167" s="25" t="s">
        <v>149</v>
      </c>
      <c r="F167" s="55">
        <v>29.05</v>
      </c>
      <c r="G167" s="56">
        <v>29.05</v>
      </c>
      <c r="H167" s="256">
        <f t="shared" si="126"/>
        <v>1</v>
      </c>
      <c r="I167" s="58">
        <v>29.05</v>
      </c>
      <c r="J167" s="1108">
        <v>0</v>
      </c>
      <c r="K167" s="102"/>
      <c r="L167" s="279">
        <f t="shared" si="127"/>
        <v>0</v>
      </c>
      <c r="M167" s="280">
        <f t="shared" si="103"/>
        <v>0</v>
      </c>
      <c r="N167" s="399"/>
      <c r="O167" s="392"/>
      <c r="P167" s="392"/>
      <c r="Q167" s="393"/>
      <c r="R167" s="392"/>
      <c r="S167" s="392"/>
      <c r="T167" s="393"/>
      <c r="U167" s="393"/>
      <c r="V167" s="393"/>
      <c r="W167" s="393"/>
      <c r="X167" s="393"/>
      <c r="Y167" s="393">
        <f t="shared" si="128"/>
        <v>0</v>
      </c>
    </row>
    <row r="168" spans="1:25" x14ac:dyDescent="0.2">
      <c r="A168" s="52"/>
      <c r="B168" s="52"/>
      <c r="C168" s="203"/>
      <c r="D168" s="402">
        <v>4300</v>
      </c>
      <c r="E168" s="119" t="s">
        <v>143</v>
      </c>
      <c r="F168" s="120">
        <v>1168.43</v>
      </c>
      <c r="G168" s="56">
        <v>1168.43</v>
      </c>
      <c r="H168" s="256">
        <f t="shared" si="126"/>
        <v>1</v>
      </c>
      <c r="I168" s="58">
        <v>1168.43</v>
      </c>
      <c r="J168" s="1108">
        <v>0</v>
      </c>
      <c r="K168" s="102"/>
      <c r="L168" s="279">
        <f t="shared" si="127"/>
        <v>0</v>
      </c>
      <c r="M168" s="280">
        <f t="shared" si="103"/>
        <v>0</v>
      </c>
      <c r="N168" s="399"/>
      <c r="O168" s="392"/>
      <c r="P168" s="392"/>
      <c r="Q168" s="393"/>
      <c r="R168" s="392"/>
      <c r="S168" s="392"/>
      <c r="T168" s="393"/>
      <c r="U168" s="393"/>
      <c r="V168" s="393"/>
      <c r="W168" s="393"/>
      <c r="X168" s="393"/>
      <c r="Y168" s="393">
        <f t="shared" si="128"/>
        <v>0</v>
      </c>
    </row>
    <row r="169" spans="1:25" x14ac:dyDescent="0.2">
      <c r="A169" s="52"/>
      <c r="B169" s="52"/>
      <c r="C169" s="240"/>
      <c r="D169" s="446">
        <v>4410</v>
      </c>
      <c r="E169" s="199" t="s">
        <v>144</v>
      </c>
      <c r="F169" s="445">
        <v>309.98</v>
      </c>
      <c r="G169" s="100">
        <v>300.89999999999998</v>
      </c>
      <c r="H169" s="256">
        <f t="shared" si="126"/>
        <v>0.97070778759919985</v>
      </c>
      <c r="I169" s="102">
        <v>300.89999999999998</v>
      </c>
      <c r="J169" s="1112">
        <v>0</v>
      </c>
      <c r="K169" s="102"/>
      <c r="L169" s="279">
        <f t="shared" si="127"/>
        <v>0</v>
      </c>
      <c r="M169" s="280">
        <f t="shared" si="103"/>
        <v>0</v>
      </c>
      <c r="N169" s="466"/>
      <c r="O169" s="392"/>
      <c r="P169" s="392"/>
      <c r="Q169" s="393"/>
      <c r="R169" s="392"/>
      <c r="S169" s="392"/>
      <c r="T169" s="393"/>
      <c r="U169" s="393"/>
      <c r="V169" s="393"/>
      <c r="W169" s="393"/>
      <c r="X169" s="393"/>
      <c r="Y169" s="393">
        <f t="shared" si="128"/>
        <v>0</v>
      </c>
    </row>
    <row r="170" spans="1:25" ht="22.5" x14ac:dyDescent="0.2">
      <c r="A170" s="416">
        <v>754</v>
      </c>
      <c r="B170" s="525"/>
      <c r="C170" s="477"/>
      <c r="D170" s="105"/>
      <c r="E170" s="478" t="s">
        <v>195</v>
      </c>
      <c r="F170" s="526">
        <f>F171+F176+F191+F195+F174</f>
        <v>918164.97</v>
      </c>
      <c r="G170" s="526">
        <f>G171+G176+G191+G195+G174</f>
        <v>717353.16999999993</v>
      </c>
      <c r="H170" s="108">
        <f t="shared" si="82"/>
        <v>0.78129006598890383</v>
      </c>
      <c r="I170" s="109">
        <f>I171+I176+I191+I195+I174</f>
        <v>878837.26</v>
      </c>
      <c r="J170" s="1133">
        <f>J171+J176+J191+J195+J174</f>
        <v>518184</v>
      </c>
      <c r="K170" s="1229">
        <f>K171+K176+K191+K195+K174</f>
        <v>-80000</v>
      </c>
      <c r="L170" s="110">
        <f>L171+L176+L191+L195+L174</f>
        <v>438184</v>
      </c>
      <c r="M170" s="171">
        <f t="shared" si="103"/>
        <v>0.47723885610665367</v>
      </c>
      <c r="N170" s="816"/>
      <c r="O170" s="479">
        <f>O171+O176+O191+O195+O174</f>
        <v>4000</v>
      </c>
      <c r="P170" s="479">
        <f t="shared" ref="P170:X170" si="129">P171+P176+P191+P195+P174</f>
        <v>0</v>
      </c>
      <c r="Q170" s="479">
        <f t="shared" si="129"/>
        <v>0</v>
      </c>
      <c r="R170" s="479">
        <f t="shared" si="129"/>
        <v>364830</v>
      </c>
      <c r="S170" s="479">
        <f t="shared" si="129"/>
        <v>27500</v>
      </c>
      <c r="T170" s="479">
        <f t="shared" si="129"/>
        <v>31854</v>
      </c>
      <c r="U170" s="479">
        <f t="shared" si="129"/>
        <v>10000</v>
      </c>
      <c r="V170" s="479">
        <f t="shared" si="129"/>
        <v>0</v>
      </c>
      <c r="W170" s="479">
        <f t="shared" si="129"/>
        <v>0</v>
      </c>
      <c r="X170" s="479">
        <f t="shared" si="129"/>
        <v>0</v>
      </c>
      <c r="Y170" s="479">
        <f t="shared" ref="Y170:Y196" si="130">SUM(O170:X170)</f>
        <v>438184</v>
      </c>
    </row>
    <row r="171" spans="1:25" x14ac:dyDescent="0.2">
      <c r="A171" s="52"/>
      <c r="B171" s="111">
        <v>75404</v>
      </c>
      <c r="C171" s="186"/>
      <c r="D171" s="45"/>
      <c r="E171" s="76" t="s">
        <v>196</v>
      </c>
      <c r="F171" s="187">
        <f>F172+F173</f>
        <v>46000</v>
      </c>
      <c r="G171" s="115">
        <f>G172+G173</f>
        <v>46000</v>
      </c>
      <c r="H171" s="114">
        <f t="shared" si="82"/>
        <v>1</v>
      </c>
      <c r="I171" s="115">
        <f>I172+I173</f>
        <v>46000</v>
      </c>
      <c r="J171" s="1132">
        <f>J172+J173</f>
        <v>0</v>
      </c>
      <c r="K171" s="1235">
        <f t="shared" ref="K171:L171" si="131">K172+K173</f>
        <v>0</v>
      </c>
      <c r="L171" s="210">
        <f t="shared" si="131"/>
        <v>0</v>
      </c>
      <c r="M171" s="78">
        <f t="shared" si="103"/>
        <v>0</v>
      </c>
      <c r="N171" s="817"/>
      <c r="O171" s="444">
        <f t="shared" ref="O171:X171" si="132">O172+O173</f>
        <v>0</v>
      </c>
      <c r="P171" s="444">
        <f t="shared" si="132"/>
        <v>0</v>
      </c>
      <c r="Q171" s="444">
        <f t="shared" si="132"/>
        <v>0</v>
      </c>
      <c r="R171" s="444">
        <f t="shared" si="132"/>
        <v>0</v>
      </c>
      <c r="S171" s="444">
        <f t="shared" si="132"/>
        <v>0</v>
      </c>
      <c r="T171" s="444">
        <f t="shared" si="132"/>
        <v>0</v>
      </c>
      <c r="U171" s="444">
        <f t="shared" si="132"/>
        <v>0</v>
      </c>
      <c r="V171" s="444">
        <f t="shared" si="132"/>
        <v>0</v>
      </c>
      <c r="W171" s="444">
        <f t="shared" si="132"/>
        <v>0</v>
      </c>
      <c r="X171" s="444">
        <f t="shared" si="132"/>
        <v>0</v>
      </c>
      <c r="Y171" s="444">
        <f t="shared" si="130"/>
        <v>0</v>
      </c>
    </row>
    <row r="172" spans="1:25" x14ac:dyDescent="0.2">
      <c r="A172" s="52"/>
      <c r="B172" s="527"/>
      <c r="C172" s="203"/>
      <c r="D172" s="402">
        <v>3000</v>
      </c>
      <c r="E172" s="119" t="s">
        <v>197</v>
      </c>
      <c r="F172" s="120">
        <v>10000</v>
      </c>
      <c r="G172" s="56">
        <v>10000</v>
      </c>
      <c r="H172" s="57">
        <f t="shared" si="82"/>
        <v>1</v>
      </c>
      <c r="I172" s="58">
        <v>10000</v>
      </c>
      <c r="J172" s="1108">
        <v>0</v>
      </c>
      <c r="K172" s="58"/>
      <c r="L172" s="59">
        <f>J172+K172</f>
        <v>0</v>
      </c>
      <c r="M172" s="280">
        <f t="shared" si="103"/>
        <v>0</v>
      </c>
      <c r="N172" s="492"/>
      <c r="O172" s="392"/>
      <c r="P172" s="392"/>
      <c r="Q172" s="393"/>
      <c r="R172" s="392"/>
      <c r="S172" s="392"/>
      <c r="T172" s="393"/>
      <c r="U172" s="65">
        <v>0</v>
      </c>
      <c r="V172" s="393"/>
      <c r="W172" s="393"/>
      <c r="X172" s="393"/>
      <c r="Y172" s="393">
        <f t="shared" si="130"/>
        <v>0</v>
      </c>
    </row>
    <row r="173" spans="1:25" ht="33.75" x14ac:dyDescent="0.2">
      <c r="A173" s="52"/>
      <c r="B173" s="368"/>
      <c r="C173" s="266"/>
      <c r="D173" s="309">
        <v>6170</v>
      </c>
      <c r="E173" s="122" t="s">
        <v>318</v>
      </c>
      <c r="F173" s="1283">
        <v>36000</v>
      </c>
      <c r="G173" s="100">
        <v>36000</v>
      </c>
      <c r="H173" s="101">
        <f t="shared" si="82"/>
        <v>1</v>
      </c>
      <c r="I173" s="102">
        <v>36000</v>
      </c>
      <c r="J173" s="1112">
        <v>0</v>
      </c>
      <c r="K173" s="102"/>
      <c r="L173" s="103">
        <f>J173+K173</f>
        <v>0</v>
      </c>
      <c r="M173" s="259">
        <f t="shared" si="103"/>
        <v>0</v>
      </c>
      <c r="N173" s="399"/>
      <c r="O173" s="392"/>
      <c r="P173" s="392"/>
      <c r="Q173" s="393"/>
      <c r="R173" s="392"/>
      <c r="S173" s="392"/>
      <c r="T173" s="393"/>
      <c r="U173" s="393"/>
      <c r="V173" s="393"/>
      <c r="W173" s="393"/>
      <c r="X173" s="393"/>
      <c r="Y173" s="393">
        <f t="shared" si="130"/>
        <v>0</v>
      </c>
    </row>
    <row r="174" spans="1:25" x14ac:dyDescent="0.2">
      <c r="A174" s="52"/>
      <c r="B174" s="111">
        <v>75405</v>
      </c>
      <c r="C174" s="186"/>
      <c r="D174" s="45"/>
      <c r="E174" s="76" t="s">
        <v>429</v>
      </c>
      <c r="F174" s="187">
        <f>F175</f>
        <v>0</v>
      </c>
      <c r="G174" s="115">
        <f>G175</f>
        <v>0</v>
      </c>
      <c r="H174" s="114">
        <v>0</v>
      </c>
      <c r="I174" s="115">
        <f>I175</f>
        <v>0</v>
      </c>
      <c r="J174" s="1132">
        <f>J175</f>
        <v>10000</v>
      </c>
      <c r="K174" s="1235">
        <f>K175</f>
        <v>0</v>
      </c>
      <c r="L174" s="210">
        <f>L175</f>
        <v>10000</v>
      </c>
      <c r="M174" s="78" t="e">
        <f t="shared" ref="M174:M175" si="133">L174/F174</f>
        <v>#DIV/0!</v>
      </c>
      <c r="N174" s="817"/>
      <c r="O174" s="444">
        <f>O175</f>
        <v>0</v>
      </c>
      <c r="P174" s="444">
        <f t="shared" ref="P174:Y174" si="134">P175</f>
        <v>0</v>
      </c>
      <c r="Q174" s="444">
        <f t="shared" si="134"/>
        <v>0</v>
      </c>
      <c r="R174" s="444">
        <f t="shared" si="134"/>
        <v>0</v>
      </c>
      <c r="S174" s="444">
        <f t="shared" si="134"/>
        <v>0</v>
      </c>
      <c r="T174" s="444">
        <f t="shared" si="134"/>
        <v>0</v>
      </c>
      <c r="U174" s="444">
        <f t="shared" si="134"/>
        <v>10000</v>
      </c>
      <c r="V174" s="444">
        <f t="shared" si="134"/>
        <v>0</v>
      </c>
      <c r="W174" s="444">
        <f t="shared" si="134"/>
        <v>0</v>
      </c>
      <c r="X174" s="444">
        <f t="shared" si="134"/>
        <v>0</v>
      </c>
      <c r="Y174" s="444">
        <f t="shared" si="134"/>
        <v>10000</v>
      </c>
    </row>
    <row r="175" spans="1:25" x14ac:dyDescent="0.2">
      <c r="A175" s="52"/>
      <c r="B175" s="527"/>
      <c r="C175" s="53"/>
      <c r="D175" s="398">
        <v>2300</v>
      </c>
      <c r="E175" s="25" t="s">
        <v>197</v>
      </c>
      <c r="F175" s="120">
        <v>0</v>
      </c>
      <c r="G175" s="480">
        <v>0</v>
      </c>
      <c r="H175" s="481">
        <v>0</v>
      </c>
      <c r="I175" s="543">
        <v>0</v>
      </c>
      <c r="J175" s="1135">
        <v>10000</v>
      </c>
      <c r="K175" s="58"/>
      <c r="L175" s="59">
        <f>J175+K175</f>
        <v>10000</v>
      </c>
      <c r="M175" s="280" t="e">
        <f t="shared" si="133"/>
        <v>#DIV/0!</v>
      </c>
      <c r="N175" s="492"/>
      <c r="O175" s="392"/>
      <c r="P175" s="392"/>
      <c r="Q175" s="393"/>
      <c r="R175" s="392"/>
      <c r="S175" s="392"/>
      <c r="T175" s="393"/>
      <c r="U175" s="65">
        <v>10000</v>
      </c>
      <c r="V175" s="393"/>
      <c r="W175" s="393"/>
      <c r="X175" s="393"/>
      <c r="Y175" s="393">
        <f t="shared" ref="Y175" si="135">SUM(O175:X175)</f>
        <v>10000</v>
      </c>
    </row>
    <row r="176" spans="1:25" x14ac:dyDescent="0.2">
      <c r="A176" s="52"/>
      <c r="B176" s="246">
        <v>75412</v>
      </c>
      <c r="C176" s="247"/>
      <c r="D176" s="248"/>
      <c r="E176" s="249" t="s">
        <v>198</v>
      </c>
      <c r="F176" s="305">
        <f>SUM(F177:F190)</f>
        <v>824064.97</v>
      </c>
      <c r="G176" s="305">
        <f t="shared" ref="G176:I176" si="136">SUM(G177:G190)</f>
        <v>643851.69999999995</v>
      </c>
      <c r="H176" s="1181">
        <f>G176/F176</f>
        <v>0.78131181816889994</v>
      </c>
      <c r="I176" s="305">
        <f t="shared" si="136"/>
        <v>787079.22</v>
      </c>
      <c r="J176" s="1131">
        <f>SUM(J177:J190)</f>
        <v>433854</v>
      </c>
      <c r="K176" s="1226">
        <f t="shared" ref="K176:L176" si="137">SUM(K177:K190)</f>
        <v>-60000</v>
      </c>
      <c r="L176" s="307">
        <f t="shared" si="137"/>
        <v>373854</v>
      </c>
      <c r="M176" s="78">
        <f t="shared" si="103"/>
        <v>0.45367054007889696</v>
      </c>
      <c r="N176" s="803"/>
      <c r="O176" s="475">
        <f t="shared" ref="O176:X176" si="138">SUM(O177:O190)</f>
        <v>4000</v>
      </c>
      <c r="P176" s="475">
        <f t="shared" si="138"/>
        <v>0</v>
      </c>
      <c r="Q176" s="475">
        <f t="shared" si="138"/>
        <v>0</v>
      </c>
      <c r="R176" s="475">
        <f t="shared" si="138"/>
        <v>338000</v>
      </c>
      <c r="S176" s="475">
        <f t="shared" si="138"/>
        <v>0</v>
      </c>
      <c r="T176" s="475">
        <f t="shared" si="138"/>
        <v>31854</v>
      </c>
      <c r="U176" s="475">
        <f t="shared" si="138"/>
        <v>0</v>
      </c>
      <c r="V176" s="475">
        <f t="shared" si="138"/>
        <v>0</v>
      </c>
      <c r="W176" s="475">
        <f t="shared" si="138"/>
        <v>0</v>
      </c>
      <c r="X176" s="475">
        <f t="shared" si="138"/>
        <v>0</v>
      </c>
      <c r="Y176" s="475">
        <f t="shared" si="130"/>
        <v>373854</v>
      </c>
    </row>
    <row r="177" spans="1:25" ht="33.75" x14ac:dyDescent="0.2">
      <c r="A177" s="52"/>
      <c r="B177" s="274"/>
      <c r="C177" s="312"/>
      <c r="D177" s="468">
        <v>2820</v>
      </c>
      <c r="E177" s="125" t="s">
        <v>199</v>
      </c>
      <c r="F177" s="445">
        <v>30000</v>
      </c>
      <c r="G177" s="255">
        <v>30000</v>
      </c>
      <c r="H177" s="256">
        <f>G177/F177</f>
        <v>1</v>
      </c>
      <c r="I177" s="257">
        <v>30000</v>
      </c>
      <c r="J177" s="1120">
        <v>30000</v>
      </c>
      <c r="K177" s="353"/>
      <c r="L177" s="258">
        <f>J177+K177</f>
        <v>30000</v>
      </c>
      <c r="M177" s="280">
        <f t="shared" si="103"/>
        <v>1</v>
      </c>
      <c r="N177" s="523"/>
      <c r="O177" s="392"/>
      <c r="P177" s="392"/>
      <c r="Q177" s="393"/>
      <c r="R177" s="392">
        <v>30000</v>
      </c>
      <c r="S177" s="392"/>
      <c r="T177" s="393"/>
      <c r="U177" s="393"/>
      <c r="V177" s="393"/>
      <c r="W177" s="393"/>
      <c r="X177" s="393"/>
      <c r="Y177" s="393">
        <f t="shared" si="130"/>
        <v>30000</v>
      </c>
    </row>
    <row r="178" spans="1:25" x14ac:dyDescent="0.2">
      <c r="A178" s="52"/>
      <c r="B178" s="52"/>
      <c r="C178" s="240"/>
      <c r="D178" s="446">
        <v>3030</v>
      </c>
      <c r="E178" s="199" t="s">
        <v>172</v>
      </c>
      <c r="F178" s="82">
        <v>55000</v>
      </c>
      <c r="G178" s="100">
        <v>43630.5</v>
      </c>
      <c r="H178" s="256">
        <f t="shared" ref="H178:H190" si="139">G178/F178</f>
        <v>0.7932818181818182</v>
      </c>
      <c r="I178" s="102">
        <v>55000</v>
      </c>
      <c r="J178" s="1112">
        <v>55000</v>
      </c>
      <c r="K178" s="102"/>
      <c r="L178" s="258">
        <f t="shared" ref="L178:L190" si="140">J178+K178</f>
        <v>55000</v>
      </c>
      <c r="M178" s="280">
        <f t="shared" si="103"/>
        <v>1</v>
      </c>
      <c r="N178" s="466"/>
      <c r="O178" s="392"/>
      <c r="P178" s="386"/>
      <c r="Q178" s="393"/>
      <c r="R178" s="392">
        <v>55000</v>
      </c>
      <c r="S178" s="392"/>
      <c r="T178" s="393"/>
      <c r="U178" s="393"/>
      <c r="V178" s="393"/>
      <c r="W178" s="393"/>
      <c r="X178" s="393"/>
      <c r="Y178" s="393">
        <f t="shared" si="130"/>
        <v>55000</v>
      </c>
    </row>
    <row r="179" spans="1:25" x14ac:dyDescent="0.2">
      <c r="A179" s="52"/>
      <c r="B179" s="52"/>
      <c r="C179" s="240"/>
      <c r="D179" s="446">
        <v>4110</v>
      </c>
      <c r="E179" s="199" t="s">
        <v>140</v>
      </c>
      <c r="F179" s="553">
        <v>4860.3</v>
      </c>
      <c r="G179" s="100">
        <v>2935.74</v>
      </c>
      <c r="H179" s="256">
        <f t="shared" si="139"/>
        <v>0.60402444293562119</v>
      </c>
      <c r="I179" s="102">
        <v>4366.26</v>
      </c>
      <c r="J179" s="1112">
        <v>4674</v>
      </c>
      <c r="K179" s="102"/>
      <c r="L179" s="258">
        <f t="shared" si="140"/>
        <v>4674</v>
      </c>
      <c r="M179" s="280">
        <f t="shared" si="103"/>
        <v>0.96166903277575455</v>
      </c>
      <c r="N179" s="466"/>
      <c r="O179" s="392"/>
      <c r="P179" s="386"/>
      <c r="Q179" s="393"/>
      <c r="R179" s="392"/>
      <c r="S179" s="392"/>
      <c r="T179" s="393">
        <f>J179</f>
        <v>4674</v>
      </c>
      <c r="U179" s="393"/>
      <c r="V179" s="393"/>
      <c r="W179" s="393"/>
      <c r="X179" s="393"/>
      <c r="Y179" s="393">
        <f t="shared" si="130"/>
        <v>4674</v>
      </c>
    </row>
    <row r="180" spans="1:25" x14ac:dyDescent="0.2">
      <c r="A180" s="52"/>
      <c r="B180" s="52"/>
      <c r="C180" s="79"/>
      <c r="D180" s="400">
        <v>4120</v>
      </c>
      <c r="E180" s="81" t="s">
        <v>141</v>
      </c>
      <c r="F180" s="144">
        <v>636.6</v>
      </c>
      <c r="G180" s="56">
        <v>324.66000000000003</v>
      </c>
      <c r="H180" s="256">
        <f t="shared" si="139"/>
        <v>0.50999057492931199</v>
      </c>
      <c r="I180" s="58">
        <v>622.29999999999995</v>
      </c>
      <c r="J180" s="1108">
        <v>606</v>
      </c>
      <c r="K180" s="58"/>
      <c r="L180" s="258">
        <f t="shared" si="140"/>
        <v>606</v>
      </c>
      <c r="M180" s="280">
        <f t="shared" si="103"/>
        <v>0.95193213949104616</v>
      </c>
      <c r="N180" s="399"/>
      <c r="O180" s="392"/>
      <c r="P180" s="386"/>
      <c r="Q180" s="393"/>
      <c r="R180" s="392"/>
      <c r="S180" s="392"/>
      <c r="T180" s="393">
        <f>J180</f>
        <v>606</v>
      </c>
      <c r="U180" s="393"/>
      <c r="V180" s="393"/>
      <c r="W180" s="393"/>
      <c r="X180" s="393"/>
      <c r="Y180" s="393">
        <f t="shared" si="130"/>
        <v>606</v>
      </c>
    </row>
    <row r="181" spans="1:25" x14ac:dyDescent="0.2">
      <c r="A181" s="52"/>
      <c r="B181" s="52"/>
      <c r="C181" s="203"/>
      <c r="D181" s="402">
        <v>4170</v>
      </c>
      <c r="E181" s="119" t="s">
        <v>200</v>
      </c>
      <c r="F181" s="140">
        <v>28200</v>
      </c>
      <c r="G181" s="56">
        <v>18407.23</v>
      </c>
      <c r="H181" s="256">
        <f t="shared" si="139"/>
        <v>0.65273865248226948</v>
      </c>
      <c r="I181" s="58">
        <v>25400</v>
      </c>
      <c r="J181" s="1108">
        <v>26574</v>
      </c>
      <c r="K181" s="58"/>
      <c r="L181" s="258">
        <f t="shared" si="140"/>
        <v>26574</v>
      </c>
      <c r="M181" s="280">
        <f t="shared" si="103"/>
        <v>0.94234042553191488</v>
      </c>
      <c r="N181" s="399"/>
      <c r="O181" s="392"/>
      <c r="P181" s="386"/>
      <c r="Q181" s="393"/>
      <c r="R181" s="392"/>
      <c r="S181" s="392"/>
      <c r="T181" s="393">
        <f>J181</f>
        <v>26574</v>
      </c>
      <c r="U181" s="393"/>
      <c r="V181" s="393"/>
      <c r="W181" s="393"/>
      <c r="X181" s="393"/>
      <c r="Y181" s="393">
        <f t="shared" si="130"/>
        <v>26574</v>
      </c>
    </row>
    <row r="182" spans="1:25" ht="19.5" x14ac:dyDescent="0.2">
      <c r="A182" s="52"/>
      <c r="B182" s="52"/>
      <c r="C182" s="240"/>
      <c r="D182" s="446">
        <v>4210</v>
      </c>
      <c r="E182" s="199" t="s">
        <v>142</v>
      </c>
      <c r="F182" s="445">
        <v>161813.07</v>
      </c>
      <c r="G182" s="100">
        <v>98262.5</v>
      </c>
      <c r="H182" s="595">
        <f t="shared" si="139"/>
        <v>0.60725935179401758</v>
      </c>
      <c r="I182" s="102">
        <v>151740.67000000001</v>
      </c>
      <c r="J182" s="1112">
        <f>150000+4000</f>
        <v>154000</v>
      </c>
      <c r="K182" s="1217">
        <v>-30000</v>
      </c>
      <c r="L182" s="279">
        <f t="shared" si="140"/>
        <v>124000</v>
      </c>
      <c r="M182" s="259">
        <f t="shared" si="103"/>
        <v>0.76631634267862292</v>
      </c>
      <c r="N182" s="399" t="s">
        <v>409</v>
      </c>
      <c r="O182" s="392">
        <v>4000</v>
      </c>
      <c r="P182" s="386"/>
      <c r="Q182" s="393"/>
      <c r="R182" s="392">
        <v>120000</v>
      </c>
      <c r="S182" s="392"/>
      <c r="T182" s="393"/>
      <c r="U182" s="393"/>
      <c r="V182" s="393"/>
      <c r="W182" s="393"/>
      <c r="X182" s="393"/>
      <c r="Y182" s="393">
        <f t="shared" si="130"/>
        <v>124000</v>
      </c>
    </row>
    <row r="183" spans="1:25" x14ac:dyDescent="0.2">
      <c r="A183" s="52"/>
      <c r="B183" s="52"/>
      <c r="C183" s="79"/>
      <c r="D183" s="400">
        <v>4260</v>
      </c>
      <c r="E183" s="81" t="s">
        <v>149</v>
      </c>
      <c r="F183" s="82">
        <v>50000</v>
      </c>
      <c r="G183" s="56">
        <v>25109.57</v>
      </c>
      <c r="H183" s="256">
        <f t="shared" si="139"/>
        <v>0.50219139999999995</v>
      </c>
      <c r="I183" s="58">
        <v>46608.03</v>
      </c>
      <c r="J183" s="1108">
        <v>50000</v>
      </c>
      <c r="K183" s="1216">
        <v>-3000</v>
      </c>
      <c r="L183" s="258">
        <f t="shared" si="140"/>
        <v>47000</v>
      </c>
      <c r="M183" s="280">
        <f t="shared" si="103"/>
        <v>0.94</v>
      </c>
      <c r="N183" s="399"/>
      <c r="O183" s="392"/>
      <c r="P183" s="386"/>
      <c r="Q183" s="393"/>
      <c r="R183" s="392">
        <v>47000</v>
      </c>
      <c r="S183" s="392"/>
      <c r="T183" s="393"/>
      <c r="U183" s="393"/>
      <c r="V183" s="393"/>
      <c r="W183" s="393"/>
      <c r="X183" s="393"/>
      <c r="Y183" s="393">
        <f t="shared" si="130"/>
        <v>47000</v>
      </c>
    </row>
    <row r="184" spans="1:25" x14ac:dyDescent="0.2">
      <c r="A184" s="52"/>
      <c r="B184" s="52"/>
      <c r="C184" s="79"/>
      <c r="D184" s="400">
        <v>4270</v>
      </c>
      <c r="E184" s="81" t="s">
        <v>201</v>
      </c>
      <c r="F184" s="82">
        <v>45000</v>
      </c>
      <c r="G184" s="56">
        <v>29941.11</v>
      </c>
      <c r="H184" s="256">
        <f t="shared" si="139"/>
        <v>0.665358</v>
      </c>
      <c r="I184" s="58">
        <v>45000</v>
      </c>
      <c r="J184" s="1108">
        <v>0</v>
      </c>
      <c r="K184" s="1216"/>
      <c r="L184" s="258">
        <f t="shared" si="140"/>
        <v>0</v>
      </c>
      <c r="M184" s="280">
        <f t="shared" si="103"/>
        <v>0</v>
      </c>
      <c r="N184" s="399"/>
      <c r="O184" s="392"/>
      <c r="P184" s="386"/>
      <c r="Q184" s="393"/>
      <c r="R184" s="392"/>
      <c r="S184" s="392"/>
      <c r="T184" s="393"/>
      <c r="U184" s="393"/>
      <c r="V184" s="393"/>
      <c r="W184" s="393"/>
      <c r="X184" s="393"/>
      <c r="Y184" s="393">
        <f t="shared" si="130"/>
        <v>0</v>
      </c>
    </row>
    <row r="185" spans="1:25" x14ac:dyDescent="0.2">
      <c r="A185" s="52"/>
      <c r="B185" s="52"/>
      <c r="C185" s="79"/>
      <c r="D185" s="400">
        <v>4280</v>
      </c>
      <c r="E185" s="81" t="s">
        <v>185</v>
      </c>
      <c r="F185" s="82">
        <v>22000</v>
      </c>
      <c r="G185" s="56">
        <v>9550</v>
      </c>
      <c r="H185" s="256">
        <f t="shared" si="139"/>
        <v>0.43409090909090908</v>
      </c>
      <c r="I185" s="58">
        <v>9550</v>
      </c>
      <c r="J185" s="1108">
        <v>22000</v>
      </c>
      <c r="K185" s="1216">
        <v>-10000</v>
      </c>
      <c r="L185" s="258">
        <f t="shared" si="140"/>
        <v>12000</v>
      </c>
      <c r="M185" s="280">
        <f t="shared" si="103"/>
        <v>0.54545454545454541</v>
      </c>
      <c r="N185" s="399"/>
      <c r="O185" s="392"/>
      <c r="P185" s="386"/>
      <c r="Q185" s="393"/>
      <c r="R185" s="392">
        <v>12000</v>
      </c>
      <c r="S185" s="392"/>
      <c r="T185" s="393"/>
      <c r="U185" s="393"/>
      <c r="V185" s="393"/>
      <c r="W185" s="393"/>
      <c r="X185" s="393"/>
      <c r="Y185" s="393">
        <f t="shared" si="130"/>
        <v>12000</v>
      </c>
    </row>
    <row r="186" spans="1:25" x14ac:dyDescent="0.2">
      <c r="A186" s="52"/>
      <c r="B186" s="52"/>
      <c r="C186" s="79"/>
      <c r="D186" s="400">
        <v>4300</v>
      </c>
      <c r="E186" s="81" t="s">
        <v>143</v>
      </c>
      <c r="F186" s="82">
        <v>45275</v>
      </c>
      <c r="G186" s="56">
        <v>30598.01</v>
      </c>
      <c r="H186" s="256">
        <f t="shared" si="139"/>
        <v>0.67582573163997783</v>
      </c>
      <c r="I186" s="58">
        <v>41470.43</v>
      </c>
      <c r="J186" s="1108">
        <v>50000</v>
      </c>
      <c r="K186" s="1216">
        <v>-5000</v>
      </c>
      <c r="L186" s="258">
        <f t="shared" si="140"/>
        <v>45000</v>
      </c>
      <c r="M186" s="280">
        <f t="shared" si="103"/>
        <v>0.99392600773053563</v>
      </c>
      <c r="N186" s="399" t="s">
        <v>424</v>
      </c>
      <c r="O186" s="392"/>
      <c r="P186" s="386"/>
      <c r="Q186" s="393"/>
      <c r="R186" s="392">
        <v>45000</v>
      </c>
      <c r="S186" s="392"/>
      <c r="T186" s="393"/>
      <c r="U186" s="393"/>
      <c r="V186" s="393"/>
      <c r="W186" s="393"/>
      <c r="X186" s="393"/>
      <c r="Y186" s="393">
        <f t="shared" si="130"/>
        <v>45000</v>
      </c>
    </row>
    <row r="187" spans="1:25" x14ac:dyDescent="0.2">
      <c r="A187" s="52"/>
      <c r="B187" s="52"/>
      <c r="C187" s="159"/>
      <c r="D187" s="309">
        <v>4360</v>
      </c>
      <c r="E187" s="122" t="s">
        <v>363</v>
      </c>
      <c r="F187" s="161">
        <v>4000</v>
      </c>
      <c r="G187" s="100">
        <v>1146.02</v>
      </c>
      <c r="H187" s="256">
        <f t="shared" si="139"/>
        <v>0.28650500000000001</v>
      </c>
      <c r="I187" s="102">
        <v>1528.03</v>
      </c>
      <c r="J187" s="1112">
        <v>4000</v>
      </c>
      <c r="K187" s="1217">
        <v>-2000</v>
      </c>
      <c r="L187" s="258">
        <f t="shared" si="140"/>
        <v>2000</v>
      </c>
      <c r="M187" s="280">
        <f t="shared" si="103"/>
        <v>0.5</v>
      </c>
      <c r="N187" s="466"/>
      <c r="O187" s="392"/>
      <c r="P187" s="386"/>
      <c r="Q187" s="393"/>
      <c r="R187" s="392">
        <v>2000</v>
      </c>
      <c r="S187" s="392"/>
      <c r="T187" s="393"/>
      <c r="U187" s="393"/>
      <c r="V187" s="393"/>
      <c r="W187" s="393"/>
      <c r="X187" s="393"/>
      <c r="Y187" s="393">
        <f t="shared" si="130"/>
        <v>2000</v>
      </c>
    </row>
    <row r="188" spans="1:25" x14ac:dyDescent="0.2">
      <c r="A188" s="52"/>
      <c r="B188" s="52"/>
      <c r="C188" s="333"/>
      <c r="D188" s="468">
        <v>4430</v>
      </c>
      <c r="E188" s="125" t="s">
        <v>145</v>
      </c>
      <c r="F188" s="126">
        <v>23000</v>
      </c>
      <c r="G188" s="56">
        <v>18832.5</v>
      </c>
      <c r="H188" s="256">
        <f t="shared" si="139"/>
        <v>0.81880434782608691</v>
      </c>
      <c r="I188" s="58">
        <v>21513.5</v>
      </c>
      <c r="J188" s="1108">
        <v>37000</v>
      </c>
      <c r="K188" s="1216">
        <v>-10000</v>
      </c>
      <c r="L188" s="258">
        <f t="shared" si="140"/>
        <v>27000</v>
      </c>
      <c r="M188" s="280">
        <f t="shared" si="103"/>
        <v>1.173913043478261</v>
      </c>
      <c r="N188" s="399"/>
      <c r="O188" s="392"/>
      <c r="P188" s="386"/>
      <c r="Q188" s="393"/>
      <c r="R188" s="392">
        <v>27000</v>
      </c>
      <c r="S188" s="392"/>
      <c r="T188" s="393"/>
      <c r="U188" s="393"/>
      <c r="V188" s="393"/>
      <c r="W188" s="393"/>
      <c r="X188" s="393"/>
      <c r="Y188" s="393">
        <f t="shared" si="130"/>
        <v>27000</v>
      </c>
    </row>
    <row r="189" spans="1:25" x14ac:dyDescent="0.2">
      <c r="A189" s="52"/>
      <c r="B189" s="52"/>
      <c r="C189" s="333"/>
      <c r="D189" s="468">
        <v>6050</v>
      </c>
      <c r="E189" s="213" t="s">
        <v>147</v>
      </c>
      <c r="F189" s="516">
        <v>65000</v>
      </c>
      <c r="G189" s="100">
        <v>45833.86</v>
      </c>
      <c r="H189" s="256">
        <f t="shared" si="139"/>
        <v>0.70513630769230773</v>
      </c>
      <c r="I189" s="162">
        <v>65000</v>
      </c>
      <c r="J189" s="1112">
        <v>0</v>
      </c>
      <c r="K189" s="102"/>
      <c r="L189" s="258">
        <f t="shared" si="140"/>
        <v>0</v>
      </c>
      <c r="M189" s="280">
        <f t="shared" si="103"/>
        <v>0</v>
      </c>
      <c r="N189" s="466"/>
      <c r="O189" s="392"/>
      <c r="P189" s="386"/>
      <c r="Q189" s="393"/>
      <c r="R189" s="392"/>
      <c r="S189" s="392"/>
      <c r="T189" s="393"/>
      <c r="U189" s="393"/>
      <c r="V189" s="393"/>
      <c r="W189" s="393"/>
      <c r="X189" s="393"/>
      <c r="Y189" s="393">
        <f t="shared" si="130"/>
        <v>0</v>
      </c>
    </row>
    <row r="190" spans="1:25" ht="45" x14ac:dyDescent="0.2">
      <c r="A190" s="52"/>
      <c r="B190" s="52"/>
      <c r="C190" s="52"/>
      <c r="D190" s="474">
        <v>6230</v>
      </c>
      <c r="E190" s="128" t="s">
        <v>202</v>
      </c>
      <c r="F190" s="260">
        <v>289280</v>
      </c>
      <c r="G190" s="100">
        <v>289280</v>
      </c>
      <c r="H190" s="256">
        <f t="shared" si="139"/>
        <v>1</v>
      </c>
      <c r="I190" s="162">
        <v>289280</v>
      </c>
      <c r="J190" s="1112">
        <v>0</v>
      </c>
      <c r="K190" s="102"/>
      <c r="L190" s="258">
        <f t="shared" si="140"/>
        <v>0</v>
      </c>
      <c r="M190" s="280">
        <f t="shared" si="103"/>
        <v>0</v>
      </c>
      <c r="N190" s="466" t="s">
        <v>203</v>
      </c>
      <c r="O190" s="392"/>
      <c r="P190" s="386"/>
      <c r="Q190" s="393"/>
      <c r="R190" s="392"/>
      <c r="S190" s="392"/>
      <c r="T190" s="393"/>
      <c r="U190" s="393"/>
      <c r="V190" s="393"/>
      <c r="W190" s="393"/>
      <c r="X190" s="393"/>
      <c r="Y190" s="393">
        <f t="shared" si="130"/>
        <v>0</v>
      </c>
    </row>
    <row r="191" spans="1:25" x14ac:dyDescent="0.2">
      <c r="A191" s="52"/>
      <c r="B191" s="246">
        <v>75414</v>
      </c>
      <c r="C191" s="247"/>
      <c r="D191" s="248"/>
      <c r="E191" s="249" t="s">
        <v>204</v>
      </c>
      <c r="F191" s="250">
        <f>SUM(F192:F194)</f>
        <v>14000</v>
      </c>
      <c r="G191" s="156">
        <f>SUM(G192:G194)</f>
        <v>9213.75</v>
      </c>
      <c r="H191" s="157">
        <f t="shared" si="82"/>
        <v>0.65812499999999996</v>
      </c>
      <c r="I191" s="306">
        <f>SUM(I192:I194)</f>
        <v>13485.04</v>
      </c>
      <c r="J191" s="1131">
        <f>SUM(J192:J194)</f>
        <v>42500</v>
      </c>
      <c r="K191" s="1226">
        <f t="shared" ref="K191:L191" si="141">SUM(K192:K194)</f>
        <v>-15000</v>
      </c>
      <c r="L191" s="307">
        <f t="shared" si="141"/>
        <v>27500</v>
      </c>
      <c r="M191" s="78">
        <f t="shared" si="103"/>
        <v>1.9642857142857142</v>
      </c>
      <c r="N191" s="803"/>
      <c r="O191" s="475">
        <f t="shared" ref="O191:X191" si="142">SUM(O192:O194)</f>
        <v>0</v>
      </c>
      <c r="P191" s="528">
        <f t="shared" si="142"/>
        <v>0</v>
      </c>
      <c r="Q191" s="475">
        <f t="shared" si="142"/>
        <v>0</v>
      </c>
      <c r="R191" s="475">
        <f t="shared" si="142"/>
        <v>0</v>
      </c>
      <c r="S191" s="475">
        <f t="shared" si="142"/>
        <v>27500</v>
      </c>
      <c r="T191" s="475">
        <f t="shared" si="142"/>
        <v>0</v>
      </c>
      <c r="U191" s="475">
        <f t="shared" si="142"/>
        <v>0</v>
      </c>
      <c r="V191" s="475">
        <f t="shared" si="142"/>
        <v>0</v>
      </c>
      <c r="W191" s="475">
        <f t="shared" si="142"/>
        <v>0</v>
      </c>
      <c r="X191" s="475">
        <f t="shared" si="142"/>
        <v>0</v>
      </c>
      <c r="Y191" s="475">
        <f t="shared" si="130"/>
        <v>27500</v>
      </c>
    </row>
    <row r="192" spans="1:25" x14ac:dyDescent="0.2">
      <c r="A192" s="52"/>
      <c r="B192" s="52"/>
      <c r="C192" s="240"/>
      <c r="D192" s="446">
        <v>4210</v>
      </c>
      <c r="E192" s="199" t="s">
        <v>142</v>
      </c>
      <c r="F192" s="415">
        <v>11500</v>
      </c>
      <c r="G192" s="100">
        <v>8381.83</v>
      </c>
      <c r="H192" s="101">
        <f t="shared" si="82"/>
        <v>0.72885478260869563</v>
      </c>
      <c r="I192" s="102">
        <v>11175.77</v>
      </c>
      <c r="J192" s="1112">
        <v>20000</v>
      </c>
      <c r="K192" s="1216">
        <v>-5000</v>
      </c>
      <c r="L192" s="59">
        <f>J192+K192</f>
        <v>15000</v>
      </c>
      <c r="M192" s="280">
        <f t="shared" si="103"/>
        <v>1.3043478260869565</v>
      </c>
      <c r="N192" s="466"/>
      <c r="O192" s="392"/>
      <c r="P192" s="392"/>
      <c r="Q192" s="393"/>
      <c r="R192" s="100"/>
      <c r="S192" s="100">
        <v>15000</v>
      </c>
      <c r="T192" s="393"/>
      <c r="U192" s="393"/>
      <c r="V192" s="393"/>
      <c r="W192" s="393"/>
      <c r="X192" s="393"/>
      <c r="Y192" s="393">
        <f>SUM(O192:X192)</f>
        <v>15000</v>
      </c>
    </row>
    <row r="193" spans="1:25" x14ac:dyDescent="0.2">
      <c r="A193" s="52"/>
      <c r="B193" s="52"/>
      <c r="C193" s="203"/>
      <c r="D193" s="402">
        <v>4260</v>
      </c>
      <c r="E193" s="119" t="s">
        <v>149</v>
      </c>
      <c r="F193" s="491">
        <v>1500</v>
      </c>
      <c r="G193" s="56">
        <v>831.92</v>
      </c>
      <c r="H193" s="101">
        <f t="shared" si="82"/>
        <v>0.55461333333333329</v>
      </c>
      <c r="I193" s="58">
        <v>1309.27</v>
      </c>
      <c r="J193" s="1108">
        <v>1500</v>
      </c>
      <c r="K193" s="1216"/>
      <c r="L193" s="59">
        <f t="shared" ref="L193:L194" si="143">J193+K193</f>
        <v>1500</v>
      </c>
      <c r="M193" s="280">
        <f t="shared" si="103"/>
        <v>1</v>
      </c>
      <c r="N193" s="399"/>
      <c r="O193" s="392"/>
      <c r="P193" s="392"/>
      <c r="Q193" s="393"/>
      <c r="R193" s="56"/>
      <c r="S193" s="56">
        <v>1500</v>
      </c>
      <c r="T193" s="393"/>
      <c r="U193" s="393"/>
      <c r="V193" s="393"/>
      <c r="W193" s="393"/>
      <c r="X193" s="393"/>
      <c r="Y193" s="393">
        <f>SUM(O193:X193)</f>
        <v>1500</v>
      </c>
    </row>
    <row r="194" spans="1:25" x14ac:dyDescent="0.2">
      <c r="A194" s="52"/>
      <c r="B194" s="52"/>
      <c r="C194" s="240"/>
      <c r="D194" s="446">
        <v>4300</v>
      </c>
      <c r="E194" s="199" t="s">
        <v>143</v>
      </c>
      <c r="F194" s="415">
        <v>1000</v>
      </c>
      <c r="G194" s="100">
        <v>0</v>
      </c>
      <c r="H194" s="101">
        <f t="shared" ref="H194:H195" si="144">G194/F194</f>
        <v>0</v>
      </c>
      <c r="I194" s="102">
        <v>1000</v>
      </c>
      <c r="J194" s="1112">
        <v>21000</v>
      </c>
      <c r="K194" s="1216">
        <v>-10000</v>
      </c>
      <c r="L194" s="59">
        <f t="shared" si="143"/>
        <v>11000</v>
      </c>
      <c r="M194" s="280">
        <f t="shared" si="103"/>
        <v>11</v>
      </c>
      <c r="N194" s="399"/>
      <c r="O194" s="392"/>
      <c r="P194" s="392"/>
      <c r="Q194" s="393"/>
      <c r="R194" s="100"/>
      <c r="S194" s="100">
        <v>11000</v>
      </c>
      <c r="T194" s="393"/>
      <c r="U194" s="393"/>
      <c r="V194" s="393"/>
      <c r="W194" s="393"/>
      <c r="X194" s="393"/>
      <c r="Y194" s="393">
        <f t="shared" si="130"/>
        <v>11000</v>
      </c>
    </row>
    <row r="195" spans="1:25" x14ac:dyDescent="0.2">
      <c r="A195" s="52"/>
      <c r="B195" s="228">
        <v>75416</v>
      </c>
      <c r="C195" s="232"/>
      <c r="D195" s="233"/>
      <c r="E195" s="234" t="s">
        <v>205</v>
      </c>
      <c r="F195" s="269">
        <f>SUM(F196:F201)</f>
        <v>34100</v>
      </c>
      <c r="G195" s="269">
        <f t="shared" ref="G195:I195" si="145">SUM(G196:G201)</f>
        <v>18287.72</v>
      </c>
      <c r="H195" s="578">
        <f t="shared" si="144"/>
        <v>0.53629677419354838</v>
      </c>
      <c r="I195" s="269">
        <f t="shared" si="145"/>
        <v>32273</v>
      </c>
      <c r="J195" s="1122">
        <f>SUM(J196:J201)</f>
        <v>31830</v>
      </c>
      <c r="K195" s="1006">
        <f t="shared" ref="K195:L195" si="146">SUM(K196:K201)</f>
        <v>-5000</v>
      </c>
      <c r="L195" s="238">
        <f t="shared" si="146"/>
        <v>26830</v>
      </c>
      <c r="M195" s="78">
        <f t="shared" si="103"/>
        <v>0.78680351906158352</v>
      </c>
      <c r="N195" s="802"/>
      <c r="O195" s="443">
        <f t="shared" ref="O195:X195" si="147">SUM(O196:O201)</f>
        <v>0</v>
      </c>
      <c r="P195" s="443">
        <f t="shared" si="147"/>
        <v>0</v>
      </c>
      <c r="Q195" s="443">
        <f t="shared" si="147"/>
        <v>0</v>
      </c>
      <c r="R195" s="443">
        <f t="shared" si="147"/>
        <v>26830</v>
      </c>
      <c r="S195" s="443">
        <f t="shared" si="147"/>
        <v>0</v>
      </c>
      <c r="T195" s="443">
        <f t="shared" si="147"/>
        <v>0</v>
      </c>
      <c r="U195" s="443">
        <f t="shared" si="147"/>
        <v>0</v>
      </c>
      <c r="V195" s="443">
        <f t="shared" si="147"/>
        <v>0</v>
      </c>
      <c r="W195" s="443">
        <f t="shared" si="147"/>
        <v>0</v>
      </c>
      <c r="X195" s="443">
        <f t="shared" si="147"/>
        <v>0</v>
      </c>
      <c r="Y195" s="443">
        <f t="shared" si="130"/>
        <v>26830</v>
      </c>
    </row>
    <row r="196" spans="1:25" x14ac:dyDescent="0.2">
      <c r="A196" s="52"/>
      <c r="B196" s="52"/>
      <c r="C196" s="240"/>
      <c r="D196" s="446">
        <v>3020</v>
      </c>
      <c r="E196" s="199" t="s">
        <v>174</v>
      </c>
      <c r="F196" s="415">
        <v>1600</v>
      </c>
      <c r="G196" s="100">
        <v>1526.4</v>
      </c>
      <c r="H196" s="101">
        <f t="shared" ref="H196:H233" si="148">G196/F196</f>
        <v>0.95400000000000007</v>
      </c>
      <c r="I196" s="102">
        <v>1526.4</v>
      </c>
      <c r="J196" s="1112">
        <v>2830</v>
      </c>
      <c r="K196" s="58"/>
      <c r="L196" s="59">
        <f>J196+K196</f>
        <v>2830</v>
      </c>
      <c r="M196" s="280">
        <f t="shared" si="103"/>
        <v>1.76875</v>
      </c>
      <c r="N196" s="466"/>
      <c r="O196" s="392"/>
      <c r="P196" s="392"/>
      <c r="Q196" s="393"/>
      <c r="R196" s="392">
        <v>2830</v>
      </c>
      <c r="S196" s="392"/>
      <c r="T196" s="393"/>
      <c r="U196" s="393"/>
      <c r="V196" s="393"/>
      <c r="W196" s="393"/>
      <c r="X196" s="393"/>
      <c r="Y196" s="393">
        <f t="shared" si="130"/>
        <v>2830</v>
      </c>
    </row>
    <row r="197" spans="1:25" x14ac:dyDescent="0.2">
      <c r="A197" s="52"/>
      <c r="B197" s="52"/>
      <c r="C197" s="203"/>
      <c r="D197" s="402">
        <v>4210</v>
      </c>
      <c r="E197" s="119" t="s">
        <v>142</v>
      </c>
      <c r="F197" s="120">
        <v>18500</v>
      </c>
      <c r="G197" s="56">
        <v>11795.62</v>
      </c>
      <c r="H197" s="101">
        <f t="shared" si="148"/>
        <v>0.63760108108108116</v>
      </c>
      <c r="I197" s="58">
        <v>18500</v>
      </c>
      <c r="J197" s="1108">
        <v>25000</v>
      </c>
      <c r="K197" s="1216">
        <v>-5000</v>
      </c>
      <c r="L197" s="59">
        <f t="shared" ref="L197:L201" si="149">J197+K197</f>
        <v>20000</v>
      </c>
      <c r="M197" s="280">
        <f t="shared" si="103"/>
        <v>1.0810810810810811</v>
      </c>
      <c r="N197" s="399"/>
      <c r="O197" s="392"/>
      <c r="P197" s="392"/>
      <c r="Q197" s="393"/>
      <c r="R197" s="392">
        <v>20000</v>
      </c>
      <c r="S197" s="392"/>
      <c r="T197" s="393"/>
      <c r="U197" s="393"/>
      <c r="V197" s="393"/>
      <c r="W197" s="393"/>
      <c r="X197" s="393"/>
      <c r="Y197" s="393">
        <f t="shared" ref="Y197:Y201" si="150">SUM(O197:X197)</f>
        <v>20000</v>
      </c>
    </row>
    <row r="198" spans="1:25" x14ac:dyDescent="0.2">
      <c r="A198" s="52"/>
      <c r="B198" s="52"/>
      <c r="C198" s="333"/>
      <c r="D198" s="468">
        <v>4270</v>
      </c>
      <c r="E198" s="125" t="s">
        <v>154</v>
      </c>
      <c r="F198" s="516">
        <v>10000</v>
      </c>
      <c r="G198" s="100">
        <v>3942.7</v>
      </c>
      <c r="H198" s="101">
        <f t="shared" si="148"/>
        <v>0.39427000000000001</v>
      </c>
      <c r="I198" s="102">
        <v>9423.6</v>
      </c>
      <c r="J198" s="1112">
        <v>0</v>
      </c>
      <c r="K198" s="58"/>
      <c r="L198" s="59">
        <f t="shared" si="149"/>
        <v>0</v>
      </c>
      <c r="M198" s="280">
        <f t="shared" si="103"/>
        <v>0</v>
      </c>
      <c r="N198" s="466"/>
      <c r="O198" s="392"/>
      <c r="P198" s="392"/>
      <c r="Q198" s="393"/>
      <c r="R198" s="392"/>
      <c r="S198" s="392"/>
      <c r="T198" s="393"/>
      <c r="U198" s="393"/>
      <c r="V198" s="393"/>
      <c r="W198" s="393"/>
      <c r="X198" s="393"/>
      <c r="Y198" s="393">
        <f t="shared" si="150"/>
        <v>0</v>
      </c>
    </row>
    <row r="199" spans="1:25" x14ac:dyDescent="0.2">
      <c r="A199" s="52"/>
      <c r="B199" s="52"/>
      <c r="C199" s="333"/>
      <c r="D199" s="468">
        <v>4300</v>
      </c>
      <c r="E199" s="125" t="s">
        <v>143</v>
      </c>
      <c r="F199" s="270">
        <v>2000</v>
      </c>
      <c r="G199" s="56">
        <v>0</v>
      </c>
      <c r="H199" s="57">
        <f t="shared" si="148"/>
        <v>0</v>
      </c>
      <c r="I199" s="58">
        <v>1800</v>
      </c>
      <c r="J199" s="1108">
        <v>2000</v>
      </c>
      <c r="K199" s="58"/>
      <c r="L199" s="59">
        <f t="shared" si="149"/>
        <v>2000</v>
      </c>
      <c r="M199" s="280">
        <f t="shared" ref="M199:M262" si="151">L199/F199</f>
        <v>1</v>
      </c>
      <c r="N199" s="466"/>
      <c r="O199" s="392"/>
      <c r="P199" s="392"/>
      <c r="Q199" s="393"/>
      <c r="R199" s="392">
        <v>2000</v>
      </c>
      <c r="S199" s="392"/>
      <c r="T199" s="393"/>
      <c r="U199" s="393"/>
      <c r="V199" s="393"/>
      <c r="W199" s="393"/>
      <c r="X199" s="393"/>
      <c r="Y199" s="393">
        <f t="shared" si="150"/>
        <v>2000</v>
      </c>
    </row>
    <row r="200" spans="1:25" x14ac:dyDescent="0.2">
      <c r="A200" s="52"/>
      <c r="B200" s="52"/>
      <c r="C200" s="240"/>
      <c r="D200" s="446">
        <v>4430</v>
      </c>
      <c r="E200" s="199" t="s">
        <v>145</v>
      </c>
      <c r="F200" s="129">
        <v>2000</v>
      </c>
      <c r="G200" s="261">
        <v>1023</v>
      </c>
      <c r="H200" s="101">
        <f t="shared" si="148"/>
        <v>0.51149999999999995</v>
      </c>
      <c r="I200" s="102">
        <v>1023</v>
      </c>
      <c r="J200" s="1112">
        <v>2000</v>
      </c>
      <c r="K200" s="102"/>
      <c r="L200" s="103">
        <f t="shared" si="149"/>
        <v>2000</v>
      </c>
      <c r="M200" s="259">
        <f t="shared" si="151"/>
        <v>1</v>
      </c>
      <c r="N200" s="399"/>
      <c r="O200" s="392"/>
      <c r="P200" s="392"/>
      <c r="Q200" s="393"/>
      <c r="R200" s="392">
        <v>2000</v>
      </c>
      <c r="S200" s="392"/>
      <c r="T200" s="393"/>
      <c r="U200" s="393"/>
      <c r="V200" s="393"/>
      <c r="W200" s="393"/>
      <c r="X200" s="393"/>
      <c r="Y200" s="393">
        <f t="shared" si="150"/>
        <v>2000</v>
      </c>
    </row>
    <row r="201" spans="1:25" ht="22.5" x14ac:dyDescent="0.2">
      <c r="A201" s="159"/>
      <c r="B201" s="159"/>
      <c r="C201" s="203"/>
      <c r="D201" s="402">
        <v>6060</v>
      </c>
      <c r="E201" s="310" t="s">
        <v>164</v>
      </c>
      <c r="F201" s="93">
        <v>0</v>
      </c>
      <c r="G201" s="56">
        <v>0</v>
      </c>
      <c r="H201" s="101">
        <v>0</v>
      </c>
      <c r="I201" s="162">
        <v>0</v>
      </c>
      <c r="J201" s="1112">
        <v>0</v>
      </c>
      <c r="K201" s="58"/>
      <c r="L201" s="59">
        <f t="shared" si="149"/>
        <v>0</v>
      </c>
      <c r="M201" s="280">
        <v>0</v>
      </c>
      <c r="N201" s="403"/>
      <c r="O201" s="392"/>
      <c r="P201" s="392"/>
      <c r="Q201" s="393"/>
      <c r="R201" s="392"/>
      <c r="S201" s="392"/>
      <c r="T201" s="393"/>
      <c r="U201" s="393"/>
      <c r="V201" s="393"/>
      <c r="W201" s="393"/>
      <c r="X201" s="393"/>
      <c r="Y201" s="393">
        <f t="shared" si="150"/>
        <v>0</v>
      </c>
    </row>
    <row r="202" spans="1:25" x14ac:dyDescent="0.2">
      <c r="A202" s="476">
        <v>757</v>
      </c>
      <c r="B202" s="1158"/>
      <c r="C202" s="1159"/>
      <c r="D202" s="1160"/>
      <c r="E202" s="1161" t="s">
        <v>206</v>
      </c>
      <c r="F202" s="529">
        <f>F203</f>
        <v>397200</v>
      </c>
      <c r="G202" s="530">
        <f t="shared" ref="G202:X203" si="152">G203</f>
        <v>246196.93</v>
      </c>
      <c r="H202" s="531">
        <f t="shared" si="148"/>
        <v>0.61983114300100706</v>
      </c>
      <c r="I202" s="530">
        <f t="shared" si="152"/>
        <v>370582.28</v>
      </c>
      <c r="J202" s="1162">
        <f t="shared" si="152"/>
        <v>362475</v>
      </c>
      <c r="K202" s="1236">
        <f t="shared" si="152"/>
        <v>0</v>
      </c>
      <c r="L202" s="928">
        <f t="shared" si="152"/>
        <v>362475</v>
      </c>
      <c r="M202" s="1163">
        <f t="shared" si="151"/>
        <v>0.9125755287009063</v>
      </c>
      <c r="N202" s="819" t="str">
        <f t="shared" si="152"/>
        <v>WF</v>
      </c>
      <c r="O202" s="532">
        <f t="shared" si="152"/>
        <v>0</v>
      </c>
      <c r="P202" s="532">
        <f t="shared" si="152"/>
        <v>0</v>
      </c>
      <c r="Q202" s="532">
        <f t="shared" si="152"/>
        <v>0</v>
      </c>
      <c r="R202" s="532">
        <f t="shared" si="152"/>
        <v>0</v>
      </c>
      <c r="S202" s="532">
        <f t="shared" si="152"/>
        <v>0</v>
      </c>
      <c r="T202" s="532">
        <f t="shared" si="152"/>
        <v>362475</v>
      </c>
      <c r="U202" s="532">
        <f t="shared" si="152"/>
        <v>0</v>
      </c>
      <c r="V202" s="532">
        <f t="shared" si="152"/>
        <v>0</v>
      </c>
      <c r="W202" s="532">
        <f t="shared" si="152"/>
        <v>0</v>
      </c>
      <c r="X202" s="532">
        <f t="shared" si="152"/>
        <v>0</v>
      </c>
      <c r="Y202" s="532">
        <f>SUM(O202:X202)</f>
        <v>362475</v>
      </c>
    </row>
    <row r="203" spans="1:25" ht="22.5" x14ac:dyDescent="0.2">
      <c r="A203" s="52"/>
      <c r="B203" s="188">
        <v>75702</v>
      </c>
      <c r="C203" s="247"/>
      <c r="D203" s="248"/>
      <c r="E203" s="249" t="s">
        <v>207</v>
      </c>
      <c r="F203" s="317">
        <f>F204</f>
        <v>397200</v>
      </c>
      <c r="G203" s="306">
        <f t="shared" si="152"/>
        <v>246196.93</v>
      </c>
      <c r="H203" s="251">
        <f t="shared" si="148"/>
        <v>0.61983114300100706</v>
      </c>
      <c r="I203" s="306">
        <f t="shared" si="152"/>
        <v>370582.28</v>
      </c>
      <c r="J203" s="1131">
        <f t="shared" si="152"/>
        <v>362475</v>
      </c>
      <c r="K203" s="1226">
        <f t="shared" si="152"/>
        <v>0</v>
      </c>
      <c r="L203" s="307">
        <f t="shared" si="152"/>
        <v>362475</v>
      </c>
      <c r="M203" s="78">
        <f t="shared" si="151"/>
        <v>0.9125755287009063</v>
      </c>
      <c r="N203" s="803" t="str">
        <f t="shared" si="152"/>
        <v>WF</v>
      </c>
      <c r="O203" s="475">
        <f t="shared" si="152"/>
        <v>0</v>
      </c>
      <c r="P203" s="475">
        <f t="shared" si="152"/>
        <v>0</v>
      </c>
      <c r="Q203" s="475">
        <f t="shared" si="152"/>
        <v>0</v>
      </c>
      <c r="R203" s="475">
        <f t="shared" si="152"/>
        <v>0</v>
      </c>
      <c r="S203" s="475">
        <f t="shared" si="152"/>
        <v>0</v>
      </c>
      <c r="T203" s="475">
        <f t="shared" si="152"/>
        <v>362475</v>
      </c>
      <c r="U203" s="475">
        <f t="shared" si="152"/>
        <v>0</v>
      </c>
      <c r="V203" s="475">
        <f t="shared" si="152"/>
        <v>0</v>
      </c>
      <c r="W203" s="475">
        <f t="shared" si="152"/>
        <v>0</v>
      </c>
      <c r="X203" s="475">
        <f t="shared" si="152"/>
        <v>0</v>
      </c>
      <c r="Y203" s="475">
        <f>SUM(O203:X203)</f>
        <v>362475</v>
      </c>
    </row>
    <row r="204" spans="1:25" ht="33.75" x14ac:dyDescent="0.2">
      <c r="A204" s="52"/>
      <c r="B204" s="52"/>
      <c r="C204" s="52"/>
      <c r="D204" s="474">
        <v>8110</v>
      </c>
      <c r="E204" s="128" t="s">
        <v>208</v>
      </c>
      <c r="F204" s="271">
        <v>397200</v>
      </c>
      <c r="G204" s="100">
        <v>246196.93</v>
      </c>
      <c r="H204" s="101">
        <f t="shared" si="148"/>
        <v>0.61983114300100706</v>
      </c>
      <c r="I204" s="102">
        <v>370582.28</v>
      </c>
      <c r="J204" s="1112">
        <v>362475</v>
      </c>
      <c r="K204" s="263"/>
      <c r="L204" s="138">
        <f>J204+K204</f>
        <v>362475</v>
      </c>
      <c r="M204" s="280">
        <f t="shared" si="151"/>
        <v>0.9125755287009063</v>
      </c>
      <c r="N204" s="466" t="s">
        <v>129</v>
      </c>
      <c r="O204" s="392"/>
      <c r="P204" s="392"/>
      <c r="Q204" s="393"/>
      <c r="R204" s="392"/>
      <c r="S204" s="392"/>
      <c r="T204" s="393">
        <f>J204</f>
        <v>362475</v>
      </c>
      <c r="U204" s="393"/>
      <c r="V204" s="393"/>
      <c r="W204" s="393"/>
      <c r="X204" s="393"/>
      <c r="Y204" s="393">
        <f>SUM(O204:X204)</f>
        <v>362475</v>
      </c>
    </row>
    <row r="205" spans="1:25" x14ac:dyDescent="0.2">
      <c r="A205" s="416">
        <v>758</v>
      </c>
      <c r="B205" s="72"/>
      <c r="C205" s="72"/>
      <c r="D205" s="84"/>
      <c r="E205" s="85" t="s">
        <v>69</v>
      </c>
      <c r="F205" s="245">
        <f>F206</f>
        <v>200000</v>
      </c>
      <c r="G205" s="87">
        <f t="shared" ref="G205:X206" si="153">G206</f>
        <v>0</v>
      </c>
      <c r="H205" s="88">
        <v>0</v>
      </c>
      <c r="I205" s="87">
        <f t="shared" si="153"/>
        <v>0</v>
      </c>
      <c r="J205" s="1110">
        <f t="shared" si="153"/>
        <v>220000</v>
      </c>
      <c r="K205" s="1207">
        <f t="shared" si="153"/>
        <v>0</v>
      </c>
      <c r="L205" s="89">
        <f t="shared" si="153"/>
        <v>220000</v>
      </c>
      <c r="M205" s="171">
        <f t="shared" si="151"/>
        <v>1.1000000000000001</v>
      </c>
      <c r="N205" s="811"/>
      <c r="O205" s="405">
        <f t="shared" si="153"/>
        <v>0</v>
      </c>
      <c r="P205" s="405">
        <f t="shared" si="153"/>
        <v>0</v>
      </c>
      <c r="Q205" s="405">
        <f t="shared" si="153"/>
        <v>0</v>
      </c>
      <c r="R205" s="405">
        <f t="shared" si="153"/>
        <v>0</v>
      </c>
      <c r="S205" s="405">
        <f t="shared" si="153"/>
        <v>0</v>
      </c>
      <c r="T205" s="405">
        <f t="shared" si="153"/>
        <v>220000</v>
      </c>
      <c r="U205" s="405">
        <f t="shared" si="153"/>
        <v>0</v>
      </c>
      <c r="V205" s="405">
        <f t="shared" si="153"/>
        <v>0</v>
      </c>
      <c r="W205" s="405">
        <f t="shared" si="153"/>
        <v>0</v>
      </c>
      <c r="X205" s="405">
        <f t="shared" si="153"/>
        <v>0</v>
      </c>
      <c r="Y205" s="405">
        <f>SUM(O205:X205)</f>
        <v>220000</v>
      </c>
    </row>
    <row r="206" spans="1:25" x14ac:dyDescent="0.2">
      <c r="A206" s="23"/>
      <c r="B206" s="90">
        <v>75818</v>
      </c>
      <c r="C206" s="44"/>
      <c r="D206" s="75"/>
      <c r="E206" s="46" t="s">
        <v>209</v>
      </c>
      <c r="F206" s="47">
        <f>F207</f>
        <v>200000</v>
      </c>
      <c r="G206" s="47">
        <f t="shared" si="153"/>
        <v>0</v>
      </c>
      <c r="H206" s="1180">
        <v>0</v>
      </c>
      <c r="I206" s="47">
        <f t="shared" si="153"/>
        <v>0</v>
      </c>
      <c r="J206" s="1107">
        <f t="shared" si="153"/>
        <v>220000</v>
      </c>
      <c r="K206" s="1205">
        <f t="shared" si="153"/>
        <v>0</v>
      </c>
      <c r="L206" s="50">
        <f t="shared" si="153"/>
        <v>220000</v>
      </c>
      <c r="M206" s="78">
        <f t="shared" si="151"/>
        <v>1.1000000000000001</v>
      </c>
      <c r="N206" s="800"/>
      <c r="O206" s="397">
        <f t="shared" si="153"/>
        <v>0</v>
      </c>
      <c r="P206" s="397">
        <f t="shared" si="153"/>
        <v>0</v>
      </c>
      <c r="Q206" s="397">
        <f t="shared" si="153"/>
        <v>0</v>
      </c>
      <c r="R206" s="397">
        <f t="shared" si="153"/>
        <v>0</v>
      </c>
      <c r="S206" s="397">
        <f t="shared" si="153"/>
        <v>0</v>
      </c>
      <c r="T206" s="397">
        <f t="shared" si="153"/>
        <v>220000</v>
      </c>
      <c r="U206" s="397">
        <f t="shared" si="153"/>
        <v>0</v>
      </c>
      <c r="V206" s="397">
        <f t="shared" si="153"/>
        <v>0</v>
      </c>
      <c r="W206" s="397">
        <f t="shared" si="153"/>
        <v>0</v>
      </c>
      <c r="X206" s="397">
        <f t="shared" si="153"/>
        <v>0</v>
      </c>
      <c r="Y206" s="397">
        <f>SUM(O207:X207)</f>
        <v>220000</v>
      </c>
    </row>
    <row r="207" spans="1:25" x14ac:dyDescent="0.2">
      <c r="A207" s="52"/>
      <c r="B207" s="52"/>
      <c r="C207" s="53"/>
      <c r="D207" s="398">
        <v>4810</v>
      </c>
      <c r="E207" s="25" t="s">
        <v>210</v>
      </c>
      <c r="F207" s="533">
        <f>F209+F210</f>
        <v>200000</v>
      </c>
      <c r="G207" s="65">
        <v>0</v>
      </c>
      <c r="H207" s="66">
        <v>0</v>
      </c>
      <c r="I207" s="67">
        <v>0</v>
      </c>
      <c r="J207" s="1142">
        <f>J209+J210</f>
        <v>220000</v>
      </c>
      <c r="K207" s="1237">
        <f>K209+K210</f>
        <v>0</v>
      </c>
      <c r="L207" s="138">
        <f>J207+K207</f>
        <v>220000</v>
      </c>
      <c r="M207" s="999">
        <f t="shared" si="151"/>
        <v>1.1000000000000001</v>
      </c>
      <c r="N207" s="399"/>
      <c r="O207" s="392"/>
      <c r="P207" s="392"/>
      <c r="Q207" s="393"/>
      <c r="R207" s="392"/>
      <c r="S207" s="392"/>
      <c r="T207" s="393">
        <f>L207</f>
        <v>220000</v>
      </c>
      <c r="U207" s="393"/>
      <c r="V207" s="393"/>
      <c r="W207" s="393"/>
      <c r="X207" s="393"/>
      <c r="Y207" s="393">
        <f>SUM(O207:X207)</f>
        <v>220000</v>
      </c>
    </row>
    <row r="208" spans="1:25" x14ac:dyDescent="0.2">
      <c r="A208" s="52"/>
      <c r="B208" s="52"/>
      <c r="C208" s="52"/>
      <c r="D208" s="474"/>
      <c r="E208" s="345" t="s">
        <v>123</v>
      </c>
      <c r="F208" s="534"/>
      <c r="G208" s="261"/>
      <c r="H208" s="262"/>
      <c r="I208" s="137"/>
      <c r="J208" s="1109"/>
      <c r="K208" s="263"/>
      <c r="L208" s="138">
        <f t="shared" ref="L208:L210" si="154">J208+K208</f>
        <v>0</v>
      </c>
      <c r="M208" s="1103"/>
      <c r="N208" s="466"/>
      <c r="O208" s="392"/>
      <c r="P208" s="392"/>
      <c r="Q208" s="393"/>
      <c r="R208" s="392"/>
      <c r="S208" s="392"/>
      <c r="T208" s="393"/>
      <c r="U208" s="393"/>
      <c r="V208" s="393"/>
      <c r="W208" s="393"/>
      <c r="X208" s="393"/>
      <c r="Y208" s="393">
        <f t="shared" ref="Y208:Y210" si="155">SUM(O208:X208)</f>
        <v>0</v>
      </c>
    </row>
    <row r="209" spans="1:25" x14ac:dyDescent="0.2">
      <c r="A209" s="538"/>
      <c r="B209" s="52"/>
      <c r="C209" s="52"/>
      <c r="D209" s="474"/>
      <c r="E209" s="535" t="s">
        <v>211</v>
      </c>
      <c r="F209" s="536">
        <v>130000</v>
      </c>
      <c r="G209" s="495">
        <v>0</v>
      </c>
      <c r="H209" s="496">
        <v>0</v>
      </c>
      <c r="I209" s="263">
        <v>0</v>
      </c>
      <c r="J209" s="1136">
        <v>135000</v>
      </c>
      <c r="K209" s="497"/>
      <c r="L209" s="138">
        <f t="shared" si="154"/>
        <v>135000</v>
      </c>
      <c r="M209" s="1103">
        <f t="shared" si="151"/>
        <v>1.0384615384615385</v>
      </c>
      <c r="N209" s="403"/>
      <c r="O209" s="392"/>
      <c r="P209" s="392"/>
      <c r="Q209" s="393"/>
      <c r="R209" s="392"/>
      <c r="S209" s="392"/>
      <c r="T209" s="393"/>
      <c r="U209" s="393"/>
      <c r="V209" s="393"/>
      <c r="W209" s="393"/>
      <c r="X209" s="393"/>
      <c r="Y209" s="393">
        <f t="shared" si="155"/>
        <v>0</v>
      </c>
    </row>
    <row r="210" spans="1:25" x14ac:dyDescent="0.2">
      <c r="A210" s="159"/>
      <c r="B210" s="159"/>
      <c r="C210" s="159"/>
      <c r="D210" s="309"/>
      <c r="E210" s="539" t="s">
        <v>212</v>
      </c>
      <c r="F210" s="537">
        <v>70000</v>
      </c>
      <c r="G210" s="504">
        <v>0</v>
      </c>
      <c r="H210" s="505">
        <v>0</v>
      </c>
      <c r="I210" s="162">
        <v>0</v>
      </c>
      <c r="J210" s="1137">
        <v>85000</v>
      </c>
      <c r="K210" s="1238"/>
      <c r="L210" s="103">
        <f t="shared" si="154"/>
        <v>85000</v>
      </c>
      <c r="M210" s="259">
        <f t="shared" si="151"/>
        <v>1.2142857142857142</v>
      </c>
      <c r="N210" s="403"/>
      <c r="O210" s="392"/>
      <c r="P210" s="392"/>
      <c r="Q210" s="393"/>
      <c r="R210" s="392"/>
      <c r="S210" s="392"/>
      <c r="T210" s="393"/>
      <c r="U210" s="393"/>
      <c r="V210" s="393"/>
      <c r="W210" s="393"/>
      <c r="X210" s="393"/>
      <c r="Y210" s="393">
        <f t="shared" si="155"/>
        <v>0</v>
      </c>
    </row>
    <row r="211" spans="1:25" x14ac:dyDescent="0.2">
      <c r="A211" s="416">
        <v>801</v>
      </c>
      <c r="B211" s="180"/>
      <c r="C211" s="180"/>
      <c r="D211" s="181"/>
      <c r="E211" s="106" t="s">
        <v>76</v>
      </c>
      <c r="F211" s="182">
        <f>F212+F233+F248+F282+F304+F308+F324+F328+F365+F352+F340</f>
        <v>23030200.260000002</v>
      </c>
      <c r="G211" s="182">
        <f>G212+G233+G248+G282+G304+G308+G324+G328+G365+G352+G340</f>
        <v>17048600.010000005</v>
      </c>
      <c r="H211" s="184">
        <f t="shared" si="148"/>
        <v>0.74027146171242209</v>
      </c>
      <c r="I211" s="183">
        <f>I212+I233+I248+I282+I304+I308+I324+I328+I365+I340+I352</f>
        <v>22686976.950000003</v>
      </c>
      <c r="J211" s="1125">
        <f>J212+J233+J248+J282+J304+J308+J324+J328+J365+J340+J352</f>
        <v>24220779</v>
      </c>
      <c r="K211" s="1047">
        <f t="shared" ref="K211:L211" si="156">K212+K233+K248+K282+K304+K308+K324+K328+K365+K340+K352</f>
        <v>-1028305.8300000001</v>
      </c>
      <c r="L211" s="185">
        <f t="shared" si="156"/>
        <v>23192473.170000002</v>
      </c>
      <c r="M211" s="171">
        <f t="shared" si="151"/>
        <v>1.0070460920082334</v>
      </c>
      <c r="N211" s="799"/>
      <c r="O211" s="396">
        <f t="shared" ref="O211:X211" si="157">O212+O233+O248+O282+O304+O308+O324+O328+O365</f>
        <v>1800</v>
      </c>
      <c r="P211" s="396">
        <f t="shared" si="157"/>
        <v>0</v>
      </c>
      <c r="Q211" s="396">
        <f t="shared" si="157"/>
        <v>0</v>
      </c>
      <c r="R211" s="396">
        <f t="shared" si="157"/>
        <v>0</v>
      </c>
      <c r="S211" s="396">
        <f t="shared" si="157"/>
        <v>0</v>
      </c>
      <c r="T211" s="396">
        <f>T212+T233+T248+T282+T304+T308+T324+T328+T365+T340+T352</f>
        <v>3210291</v>
      </c>
      <c r="U211" s="396">
        <f t="shared" si="157"/>
        <v>0</v>
      </c>
      <c r="V211" s="396">
        <f t="shared" si="157"/>
        <v>0</v>
      </c>
      <c r="W211" s="396">
        <f t="shared" si="157"/>
        <v>0</v>
      </c>
      <c r="X211" s="396">
        <f t="shared" si="157"/>
        <v>19980382.170000002</v>
      </c>
      <c r="Y211" s="396">
        <f>SUM(O211:X211)</f>
        <v>23192473.170000002</v>
      </c>
    </row>
    <row r="212" spans="1:25" x14ac:dyDescent="0.2">
      <c r="A212" s="23"/>
      <c r="B212" s="151">
        <v>80101</v>
      </c>
      <c r="C212" s="426"/>
      <c r="D212" s="152"/>
      <c r="E212" s="272" t="s">
        <v>77</v>
      </c>
      <c r="F212" s="555">
        <f>SUM(F213:F232)</f>
        <v>9629505.8000000007</v>
      </c>
      <c r="G212" s="555">
        <f t="shared" ref="G212:I212" si="158">SUM(G213:G232)</f>
        <v>7460599.1700000018</v>
      </c>
      <c r="H212" s="1380">
        <f t="shared" si="148"/>
        <v>0.77476449206770315</v>
      </c>
      <c r="I212" s="555">
        <f t="shared" si="158"/>
        <v>9576549.6100000013</v>
      </c>
      <c r="J212" s="1126">
        <f>SUM(J213:J232)</f>
        <v>11140266</v>
      </c>
      <c r="K212" s="1221">
        <f t="shared" ref="K212:L212" si="159">SUM(K213:K232)</f>
        <v>-406799.83</v>
      </c>
      <c r="L212" s="158">
        <f t="shared" si="159"/>
        <v>10733466.17</v>
      </c>
      <c r="M212" s="117">
        <f t="shared" si="151"/>
        <v>1.1146435126504621</v>
      </c>
      <c r="N212" s="800"/>
      <c r="O212" s="397">
        <f>SUM(O213:O232)</f>
        <v>0</v>
      </c>
      <c r="P212" s="397">
        <f t="shared" ref="P212:X212" si="160">SUM(P213:P232)</f>
        <v>0</v>
      </c>
      <c r="Q212" s="397">
        <f t="shared" si="160"/>
        <v>0</v>
      </c>
      <c r="R212" s="397">
        <f t="shared" si="160"/>
        <v>0</v>
      </c>
      <c r="S212" s="397">
        <f t="shared" si="160"/>
        <v>0</v>
      </c>
      <c r="T212" s="397">
        <f t="shared" si="160"/>
        <v>2800</v>
      </c>
      <c r="U212" s="397">
        <f t="shared" si="160"/>
        <v>0</v>
      </c>
      <c r="V212" s="397">
        <f t="shared" si="160"/>
        <v>0</v>
      </c>
      <c r="W212" s="397">
        <f t="shared" si="160"/>
        <v>0</v>
      </c>
      <c r="X212" s="397">
        <f t="shared" si="160"/>
        <v>10730666.17</v>
      </c>
      <c r="Y212" s="397">
        <f>SUM(O212:X212)</f>
        <v>10733466.17</v>
      </c>
    </row>
    <row r="213" spans="1:25" ht="33.75" x14ac:dyDescent="0.2">
      <c r="A213" s="23"/>
      <c r="B213" s="274"/>
      <c r="C213" s="23"/>
      <c r="D213" s="569">
        <v>2310</v>
      </c>
      <c r="E213" s="421" t="s">
        <v>151</v>
      </c>
      <c r="F213" s="599">
        <v>2800</v>
      </c>
      <c r="G213" s="831">
        <v>1349.9</v>
      </c>
      <c r="H213" s="595">
        <f>G213/F213</f>
        <v>0.4821071428571429</v>
      </c>
      <c r="I213" s="410">
        <v>1349.9</v>
      </c>
      <c r="J213" s="1143">
        <v>2800</v>
      </c>
      <c r="K213" s="353"/>
      <c r="L213" s="258">
        <f>J213+K213</f>
        <v>2800</v>
      </c>
      <c r="M213" s="280">
        <f t="shared" si="151"/>
        <v>1</v>
      </c>
      <c r="N213" s="541"/>
      <c r="O213" s="413"/>
      <c r="P213" s="413"/>
      <c r="Q213" s="413"/>
      <c r="R213" s="413"/>
      <c r="S213" s="413"/>
      <c r="T213" s="413">
        <f>J213</f>
        <v>2800</v>
      </c>
      <c r="U213" s="413"/>
      <c r="V213" s="413"/>
      <c r="W213" s="413"/>
      <c r="X213" s="542"/>
      <c r="Y213" s="413">
        <f>SUM(O213:X213)</f>
        <v>2800</v>
      </c>
    </row>
    <row r="214" spans="1:25" x14ac:dyDescent="0.2">
      <c r="A214" s="52"/>
      <c r="B214" s="52"/>
      <c r="C214" s="203"/>
      <c r="D214" s="402">
        <v>3020</v>
      </c>
      <c r="E214" s="119" t="s">
        <v>174</v>
      </c>
      <c r="F214" s="140">
        <v>302209</v>
      </c>
      <c r="G214" s="100">
        <v>214799.52</v>
      </c>
      <c r="H214" s="101">
        <f t="shared" si="148"/>
        <v>0.71076480184243351</v>
      </c>
      <c r="I214" s="543">
        <v>295835.34999999998</v>
      </c>
      <c r="J214" s="1134">
        <v>335216</v>
      </c>
      <c r="K214" s="58">
        <v>-2676</v>
      </c>
      <c r="L214" s="258">
        <f t="shared" ref="L214:L232" si="161">J214+K214</f>
        <v>332540</v>
      </c>
      <c r="M214" s="280">
        <f t="shared" si="151"/>
        <v>1.1003643174094748</v>
      </c>
      <c r="N214" s="399"/>
      <c r="O214" s="392"/>
      <c r="P214" s="392"/>
      <c r="Q214" s="393"/>
      <c r="R214" s="392"/>
      <c r="S214" s="392"/>
      <c r="T214" s="393"/>
      <c r="U214" s="393"/>
      <c r="V214" s="393"/>
      <c r="W214" s="393"/>
      <c r="X214" s="480">
        <f>L214</f>
        <v>332540</v>
      </c>
      <c r="Y214" s="393">
        <f>SUM(O214:X214)</f>
        <v>332540</v>
      </c>
    </row>
    <row r="215" spans="1:25" x14ac:dyDescent="0.2">
      <c r="A215" s="52"/>
      <c r="B215" s="52"/>
      <c r="C215" s="333"/>
      <c r="D215" s="468">
        <v>3240</v>
      </c>
      <c r="E215" s="125" t="s">
        <v>213</v>
      </c>
      <c r="F215" s="270">
        <v>5100</v>
      </c>
      <c r="G215" s="56">
        <v>4200</v>
      </c>
      <c r="H215" s="57">
        <f t="shared" si="148"/>
        <v>0.82352941176470584</v>
      </c>
      <c r="I215" s="58">
        <v>4200</v>
      </c>
      <c r="J215" s="1108">
        <v>6300</v>
      </c>
      <c r="K215" s="58"/>
      <c r="L215" s="258">
        <f t="shared" si="161"/>
        <v>6300</v>
      </c>
      <c r="M215" s="280">
        <f t="shared" si="151"/>
        <v>1.2352941176470589</v>
      </c>
      <c r="N215" s="399"/>
      <c r="O215" s="392"/>
      <c r="P215" s="392"/>
      <c r="Q215" s="393"/>
      <c r="R215" s="392"/>
      <c r="S215" s="392"/>
      <c r="T215" s="393"/>
      <c r="U215" s="393"/>
      <c r="V215" s="393"/>
      <c r="W215" s="393"/>
      <c r="X215" s="480">
        <f t="shared" ref="X215:X232" si="162">L215</f>
        <v>6300</v>
      </c>
      <c r="Y215" s="393">
        <f t="shared" ref="Y215:Y232" si="163">SUM(O215:X215)</f>
        <v>6300</v>
      </c>
    </row>
    <row r="216" spans="1:25" x14ac:dyDescent="0.2">
      <c r="A216" s="52"/>
      <c r="B216" s="52"/>
      <c r="C216" s="240"/>
      <c r="D216" s="446">
        <v>4010</v>
      </c>
      <c r="E216" s="199" t="s">
        <v>139</v>
      </c>
      <c r="F216" s="579">
        <v>5915753</v>
      </c>
      <c r="G216" s="100">
        <v>4563123.53</v>
      </c>
      <c r="H216" s="101">
        <f t="shared" si="148"/>
        <v>0.77135125993259024</v>
      </c>
      <c r="I216" s="102">
        <v>5915753</v>
      </c>
      <c r="J216" s="1112">
        <v>7068512</v>
      </c>
      <c r="K216" s="102">
        <v>-58580</v>
      </c>
      <c r="L216" s="258">
        <f t="shared" si="161"/>
        <v>7009932</v>
      </c>
      <c r="M216" s="280">
        <f t="shared" si="151"/>
        <v>1.1849602239985342</v>
      </c>
      <c r="N216" s="399"/>
      <c r="O216" s="392"/>
      <c r="P216" s="392"/>
      <c r="Q216" s="393"/>
      <c r="R216" s="392"/>
      <c r="S216" s="392"/>
      <c r="T216" s="393"/>
      <c r="U216" s="393"/>
      <c r="V216" s="393"/>
      <c r="W216" s="393"/>
      <c r="X216" s="480">
        <f t="shared" si="162"/>
        <v>7009932</v>
      </c>
      <c r="Y216" s="393">
        <f t="shared" si="163"/>
        <v>7009932</v>
      </c>
    </row>
    <row r="217" spans="1:25" x14ac:dyDescent="0.2">
      <c r="A217" s="52"/>
      <c r="B217" s="52"/>
      <c r="C217" s="79"/>
      <c r="D217" s="400">
        <v>4040</v>
      </c>
      <c r="E217" s="81" t="s">
        <v>169</v>
      </c>
      <c r="F217" s="201">
        <v>499600</v>
      </c>
      <c r="G217" s="56">
        <v>483587.07</v>
      </c>
      <c r="H217" s="101">
        <f t="shared" si="148"/>
        <v>0.96794849879903921</v>
      </c>
      <c r="I217" s="58">
        <v>483587.07</v>
      </c>
      <c r="J217" s="1108">
        <v>559000</v>
      </c>
      <c r="K217" s="102">
        <v>-3000</v>
      </c>
      <c r="L217" s="258">
        <f t="shared" si="161"/>
        <v>556000</v>
      </c>
      <c r="M217" s="280">
        <f t="shared" si="151"/>
        <v>1.1128903122497997</v>
      </c>
      <c r="N217" s="399"/>
      <c r="O217" s="392"/>
      <c r="P217" s="392"/>
      <c r="Q217" s="393"/>
      <c r="R217" s="392"/>
      <c r="S217" s="392"/>
      <c r="T217" s="393"/>
      <c r="U217" s="393"/>
      <c r="V217" s="393"/>
      <c r="W217" s="393"/>
      <c r="X217" s="480">
        <f t="shared" si="162"/>
        <v>556000</v>
      </c>
      <c r="Y217" s="393">
        <f t="shared" si="163"/>
        <v>556000</v>
      </c>
    </row>
    <row r="218" spans="1:25" x14ac:dyDescent="0.2">
      <c r="A218" s="52"/>
      <c r="B218" s="52"/>
      <c r="C218" s="203"/>
      <c r="D218" s="402">
        <v>4110</v>
      </c>
      <c r="E218" s="119" t="s">
        <v>140</v>
      </c>
      <c r="F218" s="140">
        <v>1143552</v>
      </c>
      <c r="G218" s="56">
        <v>877050.77</v>
      </c>
      <c r="H218" s="101">
        <f t="shared" si="148"/>
        <v>0.76695311625531681</v>
      </c>
      <c r="I218" s="58">
        <v>1143552</v>
      </c>
      <c r="J218" s="1108">
        <v>1371596</v>
      </c>
      <c r="K218" s="102">
        <v>-151405</v>
      </c>
      <c r="L218" s="258">
        <f t="shared" si="161"/>
        <v>1220191</v>
      </c>
      <c r="M218" s="280">
        <f t="shared" si="151"/>
        <v>1.0670183778262816</v>
      </c>
      <c r="N218" s="399"/>
      <c r="O218" s="392"/>
      <c r="P218" s="392"/>
      <c r="Q218" s="393"/>
      <c r="R218" s="392"/>
      <c r="S218" s="392"/>
      <c r="T218" s="393"/>
      <c r="U218" s="393"/>
      <c r="V218" s="393"/>
      <c r="W218" s="393"/>
      <c r="X218" s="480">
        <f t="shared" si="162"/>
        <v>1220191</v>
      </c>
      <c r="Y218" s="393">
        <f t="shared" si="163"/>
        <v>1220191</v>
      </c>
    </row>
    <row r="219" spans="1:25" x14ac:dyDescent="0.2">
      <c r="A219" s="52"/>
      <c r="B219" s="52"/>
      <c r="C219" s="240"/>
      <c r="D219" s="446">
        <v>4120</v>
      </c>
      <c r="E219" s="199" t="s">
        <v>141</v>
      </c>
      <c r="F219" s="200">
        <v>155107</v>
      </c>
      <c r="G219" s="100">
        <v>113106.95</v>
      </c>
      <c r="H219" s="101">
        <f t="shared" si="148"/>
        <v>0.7292188618179708</v>
      </c>
      <c r="I219" s="102">
        <v>155107</v>
      </c>
      <c r="J219" s="1112">
        <v>195075</v>
      </c>
      <c r="K219" s="102">
        <v>-31734</v>
      </c>
      <c r="L219" s="258">
        <f t="shared" si="161"/>
        <v>163341</v>
      </c>
      <c r="M219" s="280">
        <f t="shared" si="151"/>
        <v>1.0530859342260503</v>
      </c>
      <c r="N219" s="466"/>
      <c r="O219" s="392"/>
      <c r="P219" s="392"/>
      <c r="Q219" s="393"/>
      <c r="R219" s="392"/>
      <c r="S219" s="392"/>
      <c r="T219" s="393"/>
      <c r="U219" s="393"/>
      <c r="V219" s="393"/>
      <c r="W219" s="393"/>
      <c r="X219" s="480">
        <f t="shared" si="162"/>
        <v>163341</v>
      </c>
      <c r="Y219" s="393">
        <f t="shared" si="163"/>
        <v>163341</v>
      </c>
    </row>
    <row r="220" spans="1:25" x14ac:dyDescent="0.2">
      <c r="A220" s="52"/>
      <c r="B220" s="52"/>
      <c r="C220" s="79"/>
      <c r="D220" s="400">
        <v>4170</v>
      </c>
      <c r="E220" s="81" t="s">
        <v>148</v>
      </c>
      <c r="F220" s="82">
        <v>35282</v>
      </c>
      <c r="G220" s="56">
        <v>15206.4</v>
      </c>
      <c r="H220" s="101">
        <f t="shared" si="148"/>
        <v>0.43099597528484779</v>
      </c>
      <c r="I220" s="58">
        <v>35282</v>
      </c>
      <c r="J220" s="1108">
        <v>47082</v>
      </c>
      <c r="K220" s="102">
        <v>-10800</v>
      </c>
      <c r="L220" s="258">
        <f t="shared" si="161"/>
        <v>36282</v>
      </c>
      <c r="M220" s="280">
        <f t="shared" si="151"/>
        <v>1.0283430644521285</v>
      </c>
      <c r="N220" s="399"/>
      <c r="O220" s="392"/>
      <c r="P220" s="392"/>
      <c r="Q220" s="393"/>
      <c r="R220" s="392"/>
      <c r="S220" s="392"/>
      <c r="T220" s="393"/>
      <c r="U220" s="393"/>
      <c r="V220" s="393"/>
      <c r="W220" s="393"/>
      <c r="X220" s="480">
        <f t="shared" si="162"/>
        <v>36282</v>
      </c>
      <c r="Y220" s="393">
        <f t="shared" si="163"/>
        <v>36282</v>
      </c>
    </row>
    <row r="221" spans="1:25" x14ac:dyDescent="0.2">
      <c r="A221" s="52"/>
      <c r="B221" s="52"/>
      <c r="C221" s="79"/>
      <c r="D221" s="400">
        <v>4210</v>
      </c>
      <c r="E221" s="81" t="s">
        <v>142</v>
      </c>
      <c r="F221" s="201">
        <v>336090.14</v>
      </c>
      <c r="G221" s="56">
        <v>223616.49</v>
      </c>
      <c r="H221" s="101">
        <f t="shared" si="148"/>
        <v>0.66534677274376441</v>
      </c>
      <c r="I221" s="58">
        <v>336090</v>
      </c>
      <c r="J221" s="1108">
        <v>310250</v>
      </c>
      <c r="K221" s="102">
        <v>-13000</v>
      </c>
      <c r="L221" s="258">
        <f t="shared" si="161"/>
        <v>297250</v>
      </c>
      <c r="M221" s="280">
        <f t="shared" si="151"/>
        <v>0.88443534820747782</v>
      </c>
      <c r="N221" s="399"/>
      <c r="O221" s="392"/>
      <c r="P221" s="392"/>
      <c r="Q221" s="393"/>
      <c r="R221" s="392"/>
      <c r="S221" s="392"/>
      <c r="T221" s="393"/>
      <c r="U221" s="393"/>
      <c r="V221" s="393"/>
      <c r="W221" s="393"/>
      <c r="X221" s="480">
        <f t="shared" si="162"/>
        <v>297250</v>
      </c>
      <c r="Y221" s="393">
        <f t="shared" si="163"/>
        <v>297250</v>
      </c>
    </row>
    <row r="222" spans="1:25" ht="22.5" x14ac:dyDescent="0.2">
      <c r="A222" s="52"/>
      <c r="B222" s="52"/>
      <c r="C222" s="203"/>
      <c r="D222" s="402">
        <v>4230</v>
      </c>
      <c r="E222" s="119" t="s">
        <v>183</v>
      </c>
      <c r="F222" s="544">
        <v>1300</v>
      </c>
      <c r="G222" s="56">
        <v>397.26</v>
      </c>
      <c r="H222" s="101">
        <f t="shared" si="148"/>
        <v>0.3055846153846154</v>
      </c>
      <c r="I222" s="58">
        <v>829.68</v>
      </c>
      <c r="J222" s="1108">
        <v>0</v>
      </c>
      <c r="K222" s="102"/>
      <c r="L222" s="258">
        <f t="shared" si="161"/>
        <v>0</v>
      </c>
      <c r="M222" s="280">
        <f t="shared" si="151"/>
        <v>0</v>
      </c>
      <c r="N222" s="399"/>
      <c r="O222" s="392"/>
      <c r="P222" s="392"/>
      <c r="Q222" s="393"/>
      <c r="R222" s="392"/>
      <c r="S222" s="392"/>
      <c r="T222" s="393"/>
      <c r="U222" s="393"/>
      <c r="V222" s="393"/>
      <c r="W222" s="393"/>
      <c r="X222" s="480">
        <f t="shared" si="162"/>
        <v>0</v>
      </c>
      <c r="Y222" s="393">
        <f t="shared" si="163"/>
        <v>0</v>
      </c>
    </row>
    <row r="223" spans="1:25" ht="22.5" x14ac:dyDescent="0.2">
      <c r="A223" s="52"/>
      <c r="B223" s="52"/>
      <c r="C223" s="240"/>
      <c r="D223" s="446">
        <v>4240</v>
      </c>
      <c r="E223" s="199" t="s">
        <v>184</v>
      </c>
      <c r="F223" s="445">
        <v>144854.57999999999</v>
      </c>
      <c r="G223" s="100">
        <v>96283.55</v>
      </c>
      <c r="H223" s="101">
        <f t="shared" si="148"/>
        <v>0.66469109916994007</v>
      </c>
      <c r="I223" s="102">
        <v>144854.57999999999</v>
      </c>
      <c r="J223" s="1112">
        <v>23690</v>
      </c>
      <c r="K223" s="102">
        <v>-700</v>
      </c>
      <c r="L223" s="258">
        <f t="shared" si="161"/>
        <v>22990</v>
      </c>
      <c r="M223" s="280">
        <f t="shared" si="151"/>
        <v>0.15871089474699387</v>
      </c>
      <c r="N223" s="466"/>
      <c r="O223" s="392"/>
      <c r="P223" s="392"/>
      <c r="Q223" s="393"/>
      <c r="R223" s="392"/>
      <c r="S223" s="392"/>
      <c r="T223" s="393"/>
      <c r="U223" s="393"/>
      <c r="V223" s="393"/>
      <c r="W223" s="393"/>
      <c r="X223" s="480">
        <f t="shared" si="162"/>
        <v>22990</v>
      </c>
      <c r="Y223" s="393">
        <f t="shared" si="163"/>
        <v>22990</v>
      </c>
    </row>
    <row r="224" spans="1:25" x14ac:dyDescent="0.2">
      <c r="A224" s="52"/>
      <c r="B224" s="52"/>
      <c r="C224" s="79"/>
      <c r="D224" s="400">
        <v>4260</v>
      </c>
      <c r="E224" s="81" t="s">
        <v>149</v>
      </c>
      <c r="F224" s="201">
        <v>409490</v>
      </c>
      <c r="G224" s="56">
        <v>276984.95</v>
      </c>
      <c r="H224" s="101">
        <f t="shared" si="148"/>
        <v>0.67641444235512471</v>
      </c>
      <c r="I224" s="58">
        <v>395586.82</v>
      </c>
      <c r="J224" s="1108">
        <v>421900</v>
      </c>
      <c r="K224" s="102">
        <v>-13000</v>
      </c>
      <c r="L224" s="258">
        <f t="shared" si="161"/>
        <v>408900</v>
      </c>
      <c r="M224" s="280">
        <f t="shared" si="151"/>
        <v>0.99855918337444138</v>
      </c>
      <c r="N224" s="399"/>
      <c r="O224" s="392"/>
      <c r="P224" s="392"/>
      <c r="Q224" s="393"/>
      <c r="R224" s="392"/>
      <c r="S224" s="392"/>
      <c r="T224" s="393"/>
      <c r="U224" s="393"/>
      <c r="V224" s="393"/>
      <c r="W224" s="393"/>
      <c r="X224" s="480">
        <f t="shared" si="162"/>
        <v>408900</v>
      </c>
      <c r="Y224" s="393">
        <f t="shared" si="163"/>
        <v>408900</v>
      </c>
    </row>
    <row r="225" spans="1:25" x14ac:dyDescent="0.2">
      <c r="A225" s="52"/>
      <c r="B225" s="52"/>
      <c r="C225" s="79"/>
      <c r="D225" s="400">
        <v>4270</v>
      </c>
      <c r="E225" s="81" t="s">
        <v>154</v>
      </c>
      <c r="F225" s="201">
        <v>85616.08</v>
      </c>
      <c r="G225" s="56">
        <v>76717.87</v>
      </c>
      <c r="H225" s="101">
        <f t="shared" si="148"/>
        <v>0.89606847218419705</v>
      </c>
      <c r="I225" s="58">
        <v>81616.08</v>
      </c>
      <c r="J225" s="1108">
        <v>92000</v>
      </c>
      <c r="K225" s="102">
        <v>-63744.83</v>
      </c>
      <c r="L225" s="258">
        <f t="shared" si="161"/>
        <v>28255.17</v>
      </c>
      <c r="M225" s="280">
        <f t="shared" si="151"/>
        <v>0.33002176693910767</v>
      </c>
      <c r="N225" s="399"/>
      <c r="O225" s="392"/>
      <c r="P225" s="392"/>
      <c r="Q225" s="393"/>
      <c r="R225" s="392"/>
      <c r="S225" s="392"/>
      <c r="T225" s="393"/>
      <c r="U225" s="393"/>
      <c r="V225" s="393"/>
      <c r="W225" s="393"/>
      <c r="X225" s="480">
        <f t="shared" si="162"/>
        <v>28255.17</v>
      </c>
      <c r="Y225" s="393">
        <f t="shared" si="163"/>
        <v>28255.17</v>
      </c>
    </row>
    <row r="226" spans="1:25" x14ac:dyDescent="0.2">
      <c r="A226" s="52"/>
      <c r="B226" s="52"/>
      <c r="C226" s="203"/>
      <c r="D226" s="402">
        <v>4280</v>
      </c>
      <c r="E226" s="119" t="s">
        <v>185</v>
      </c>
      <c r="F226" s="120">
        <v>14690</v>
      </c>
      <c r="G226" s="56">
        <v>10158</v>
      </c>
      <c r="H226" s="101">
        <f t="shared" si="148"/>
        <v>0.69149081007488089</v>
      </c>
      <c r="I226" s="58">
        <v>13540</v>
      </c>
      <c r="J226" s="1108">
        <v>18100</v>
      </c>
      <c r="K226" s="102"/>
      <c r="L226" s="258">
        <f t="shared" si="161"/>
        <v>18100</v>
      </c>
      <c r="M226" s="280">
        <f t="shared" si="151"/>
        <v>1.2321307011572498</v>
      </c>
      <c r="N226" s="399"/>
      <c r="O226" s="392"/>
      <c r="P226" s="392"/>
      <c r="Q226" s="393"/>
      <c r="R226" s="392"/>
      <c r="S226" s="392"/>
      <c r="T226" s="393"/>
      <c r="U226" s="393"/>
      <c r="V226" s="393"/>
      <c r="W226" s="393"/>
      <c r="X226" s="480">
        <f t="shared" si="162"/>
        <v>18100</v>
      </c>
      <c r="Y226" s="393">
        <f t="shared" si="163"/>
        <v>18100</v>
      </c>
    </row>
    <row r="227" spans="1:25" x14ac:dyDescent="0.2">
      <c r="A227" s="52"/>
      <c r="B227" s="52"/>
      <c r="C227" s="333"/>
      <c r="D227" s="468">
        <v>4300</v>
      </c>
      <c r="E227" s="125" t="s">
        <v>143</v>
      </c>
      <c r="F227" s="196">
        <v>175264</v>
      </c>
      <c r="G227" s="56">
        <v>116243.45</v>
      </c>
      <c r="H227" s="57">
        <f t="shared" si="148"/>
        <v>0.66324772914004015</v>
      </c>
      <c r="I227" s="58">
        <v>167577.65</v>
      </c>
      <c r="J227" s="1108">
        <v>239292</v>
      </c>
      <c r="K227" s="58">
        <v>-58160</v>
      </c>
      <c r="L227" s="258">
        <f t="shared" si="161"/>
        <v>181132</v>
      </c>
      <c r="M227" s="280">
        <f t="shared" si="151"/>
        <v>1.0334809202117947</v>
      </c>
      <c r="N227" s="466"/>
      <c r="O227" s="392"/>
      <c r="P227" s="392"/>
      <c r="Q227" s="393"/>
      <c r="R227" s="392"/>
      <c r="S227" s="392"/>
      <c r="T227" s="393"/>
      <c r="U227" s="393"/>
      <c r="V227" s="393"/>
      <c r="W227" s="393"/>
      <c r="X227" s="480">
        <f t="shared" si="162"/>
        <v>181132</v>
      </c>
      <c r="Y227" s="393">
        <f t="shared" si="163"/>
        <v>181132</v>
      </c>
    </row>
    <row r="228" spans="1:25" x14ac:dyDescent="0.2">
      <c r="A228" s="52"/>
      <c r="B228" s="52"/>
      <c r="C228" s="159"/>
      <c r="D228" s="309">
        <v>4360</v>
      </c>
      <c r="E228" s="122" t="s">
        <v>364</v>
      </c>
      <c r="F228" s="161">
        <v>24100</v>
      </c>
      <c r="G228" s="100">
        <v>14888.43</v>
      </c>
      <c r="H228" s="101">
        <f t="shared" si="148"/>
        <v>0.61777717842323654</v>
      </c>
      <c r="I228" s="102">
        <v>23907.23</v>
      </c>
      <c r="J228" s="1112">
        <v>23500</v>
      </c>
      <c r="K228" s="102"/>
      <c r="L228" s="279">
        <f t="shared" si="161"/>
        <v>23500</v>
      </c>
      <c r="M228" s="259">
        <f t="shared" si="151"/>
        <v>0.975103734439834</v>
      </c>
      <c r="N228" s="466"/>
      <c r="O228" s="392"/>
      <c r="P228" s="392"/>
      <c r="Q228" s="393"/>
      <c r="R228" s="392"/>
      <c r="S228" s="392"/>
      <c r="T228" s="393"/>
      <c r="U228" s="393"/>
      <c r="V228" s="393"/>
      <c r="W228" s="393"/>
      <c r="X228" s="480">
        <f t="shared" si="162"/>
        <v>23500</v>
      </c>
      <c r="Y228" s="393">
        <f t="shared" si="163"/>
        <v>23500</v>
      </c>
    </row>
    <row r="229" spans="1:25" x14ac:dyDescent="0.2">
      <c r="A229" s="52"/>
      <c r="B229" s="52"/>
      <c r="C229" s="79"/>
      <c r="D229" s="400">
        <v>4410</v>
      </c>
      <c r="E229" s="81" t="s">
        <v>144</v>
      </c>
      <c r="F229" s="82">
        <v>9900</v>
      </c>
      <c r="G229" s="56">
        <v>4972.03</v>
      </c>
      <c r="H229" s="101">
        <f t="shared" si="148"/>
        <v>0.50222525252525252</v>
      </c>
      <c r="I229" s="58">
        <v>8899.25</v>
      </c>
      <c r="J229" s="1108">
        <v>9700</v>
      </c>
      <c r="K229" s="102"/>
      <c r="L229" s="258">
        <f t="shared" si="161"/>
        <v>9700</v>
      </c>
      <c r="M229" s="280">
        <f t="shared" si="151"/>
        <v>0.97979797979797978</v>
      </c>
      <c r="N229" s="399"/>
      <c r="O229" s="392"/>
      <c r="P229" s="392"/>
      <c r="Q229" s="393"/>
      <c r="R229" s="392"/>
      <c r="S229" s="392"/>
      <c r="T229" s="393"/>
      <c r="U229" s="393"/>
      <c r="V229" s="393"/>
      <c r="W229" s="393"/>
      <c r="X229" s="480">
        <f t="shared" si="162"/>
        <v>9700</v>
      </c>
      <c r="Y229" s="393">
        <f t="shared" si="163"/>
        <v>9700</v>
      </c>
    </row>
    <row r="230" spans="1:25" x14ac:dyDescent="0.2">
      <c r="A230" s="52"/>
      <c r="B230" s="52"/>
      <c r="C230" s="79"/>
      <c r="D230" s="400">
        <v>4430</v>
      </c>
      <c r="E230" s="81" t="s">
        <v>145</v>
      </c>
      <c r="F230" s="134">
        <v>5626</v>
      </c>
      <c r="G230" s="56">
        <v>4859</v>
      </c>
      <c r="H230" s="101">
        <f t="shared" si="148"/>
        <v>0.86366868112335582</v>
      </c>
      <c r="I230" s="58">
        <v>5626</v>
      </c>
      <c r="J230" s="1108">
        <v>5910</v>
      </c>
      <c r="K230" s="102"/>
      <c r="L230" s="258">
        <f t="shared" si="161"/>
        <v>5910</v>
      </c>
      <c r="M230" s="280">
        <f t="shared" si="151"/>
        <v>1.0504799146818344</v>
      </c>
      <c r="N230" s="399"/>
      <c r="O230" s="392"/>
      <c r="P230" s="392"/>
      <c r="Q230" s="393"/>
      <c r="R230" s="392"/>
      <c r="S230" s="392"/>
      <c r="T230" s="393"/>
      <c r="U230" s="393"/>
      <c r="V230" s="393"/>
      <c r="W230" s="393"/>
      <c r="X230" s="480">
        <f t="shared" si="162"/>
        <v>5910</v>
      </c>
      <c r="Y230" s="393">
        <f t="shared" si="163"/>
        <v>5910</v>
      </c>
    </row>
    <row r="231" spans="1:25" ht="22.5" x14ac:dyDescent="0.2">
      <c r="A231" s="52"/>
      <c r="B231" s="52"/>
      <c r="C231" s="79"/>
      <c r="D231" s="400">
        <v>4440</v>
      </c>
      <c r="E231" s="81" t="s">
        <v>191</v>
      </c>
      <c r="F231" s="201">
        <v>362147</v>
      </c>
      <c r="G231" s="56">
        <v>362147</v>
      </c>
      <c r="H231" s="101">
        <f t="shared" si="148"/>
        <v>1</v>
      </c>
      <c r="I231" s="58">
        <v>362147</v>
      </c>
      <c r="J231" s="1108">
        <v>409343</v>
      </c>
      <c r="K231" s="102"/>
      <c r="L231" s="258">
        <f t="shared" si="161"/>
        <v>409343</v>
      </c>
      <c r="M231" s="280">
        <f t="shared" si="151"/>
        <v>1.1303227694831104</v>
      </c>
      <c r="N231" s="399"/>
      <c r="O231" s="392"/>
      <c r="P231" s="392"/>
      <c r="Q231" s="393"/>
      <c r="R231" s="392"/>
      <c r="S231" s="392"/>
      <c r="T231" s="393"/>
      <c r="U231" s="393"/>
      <c r="V231" s="393"/>
      <c r="W231" s="393"/>
      <c r="X231" s="480">
        <f t="shared" si="162"/>
        <v>409343</v>
      </c>
      <c r="Y231" s="393">
        <f t="shared" si="163"/>
        <v>409343</v>
      </c>
    </row>
    <row r="232" spans="1:25" x14ac:dyDescent="0.2">
      <c r="A232" s="52"/>
      <c r="B232" s="52"/>
      <c r="C232" s="79"/>
      <c r="D232" s="400">
        <v>4480</v>
      </c>
      <c r="E232" s="81" t="s">
        <v>53</v>
      </c>
      <c r="F232" s="144">
        <v>1025</v>
      </c>
      <c r="G232" s="56">
        <v>907</v>
      </c>
      <c r="H232" s="101">
        <f t="shared" si="148"/>
        <v>0.88487804878048781</v>
      </c>
      <c r="I232" s="58">
        <v>1209</v>
      </c>
      <c r="J232" s="1108">
        <v>1000</v>
      </c>
      <c r="K232" s="102"/>
      <c r="L232" s="258">
        <f t="shared" si="161"/>
        <v>1000</v>
      </c>
      <c r="M232" s="280">
        <f t="shared" si="151"/>
        <v>0.97560975609756095</v>
      </c>
      <c r="N232" s="399"/>
      <c r="O232" s="392"/>
      <c r="P232" s="392"/>
      <c r="Q232" s="393"/>
      <c r="R232" s="392"/>
      <c r="S232" s="392"/>
      <c r="T232" s="393"/>
      <c r="U232" s="393"/>
      <c r="V232" s="393"/>
      <c r="W232" s="393"/>
      <c r="X232" s="480">
        <f t="shared" si="162"/>
        <v>1000</v>
      </c>
      <c r="Y232" s="393">
        <f t="shared" si="163"/>
        <v>1000</v>
      </c>
    </row>
    <row r="233" spans="1:25" x14ac:dyDescent="0.2">
      <c r="A233" s="52"/>
      <c r="B233" s="228">
        <v>80103</v>
      </c>
      <c r="C233" s="232"/>
      <c r="D233" s="233"/>
      <c r="E233" s="234" t="s">
        <v>78</v>
      </c>
      <c r="F233" s="269">
        <f>SUM(F234:F247)</f>
        <v>876006</v>
      </c>
      <c r="G233" s="269">
        <f t="shared" ref="G233:I233" si="164">SUM(G234:G247)</f>
        <v>651660.02999999991</v>
      </c>
      <c r="H233" s="578">
        <f t="shared" si="148"/>
        <v>0.74389904863665313</v>
      </c>
      <c r="I233" s="269">
        <f t="shared" si="164"/>
        <v>869022.6399999999</v>
      </c>
      <c r="J233" s="1122">
        <f>SUM(J234:J247)</f>
        <v>742387</v>
      </c>
      <c r="K233" s="1006">
        <f t="shared" ref="K233:L233" si="165">SUM(K234:K247)</f>
        <v>-14770</v>
      </c>
      <c r="L233" s="238">
        <f t="shared" si="165"/>
        <v>727617</v>
      </c>
      <c r="M233" s="78">
        <f t="shared" si="151"/>
        <v>0.83060732460736575</v>
      </c>
      <c r="N233" s="802"/>
      <c r="O233" s="443">
        <f t="shared" ref="O233:X233" si="166">SUM(O234:O247)</f>
        <v>0</v>
      </c>
      <c r="P233" s="443">
        <f t="shared" si="166"/>
        <v>0</v>
      </c>
      <c r="Q233" s="443">
        <f t="shared" si="166"/>
        <v>0</v>
      </c>
      <c r="R233" s="443">
        <f t="shared" si="166"/>
        <v>0</v>
      </c>
      <c r="S233" s="443">
        <f t="shared" si="166"/>
        <v>0</v>
      </c>
      <c r="T233" s="443">
        <f t="shared" si="166"/>
        <v>5200</v>
      </c>
      <c r="U233" s="443">
        <f t="shared" si="166"/>
        <v>0</v>
      </c>
      <c r="V233" s="443">
        <f t="shared" si="166"/>
        <v>0</v>
      </c>
      <c r="W233" s="443">
        <f t="shared" si="166"/>
        <v>0</v>
      </c>
      <c r="X233" s="443">
        <f t="shared" si="166"/>
        <v>722417</v>
      </c>
      <c r="Y233" s="443">
        <f>SUM(O233:X233)</f>
        <v>727617</v>
      </c>
    </row>
    <row r="234" spans="1:25" ht="33.75" x14ac:dyDescent="0.2">
      <c r="A234" s="52"/>
      <c r="B234" s="545"/>
      <c r="C234" s="312"/>
      <c r="D234" s="540">
        <v>2310</v>
      </c>
      <c r="E234" s="830" t="s">
        <v>151</v>
      </c>
      <c r="F234" s="352">
        <v>4800</v>
      </c>
      <c r="G234" s="257">
        <v>2050.56</v>
      </c>
      <c r="H234" s="366">
        <f>G234/F234</f>
        <v>0.42719999999999997</v>
      </c>
      <c r="I234" s="257">
        <v>4775.84</v>
      </c>
      <c r="J234" s="1120">
        <v>5200</v>
      </c>
      <c r="K234" s="353"/>
      <c r="L234" s="258">
        <f>J234+K234</f>
        <v>5200</v>
      </c>
      <c r="M234" s="280">
        <f t="shared" si="151"/>
        <v>1.0833333333333333</v>
      </c>
      <c r="N234" s="523"/>
      <c r="O234" s="392"/>
      <c r="P234" s="392"/>
      <c r="Q234" s="393"/>
      <c r="R234" s="392"/>
      <c r="S234" s="392"/>
      <c r="T234" s="393">
        <f>J234</f>
        <v>5200</v>
      </c>
      <c r="U234" s="393"/>
      <c r="V234" s="393"/>
      <c r="W234" s="393"/>
      <c r="X234" s="393"/>
      <c r="Y234" s="393">
        <f>SUM(O234:X234)</f>
        <v>5200</v>
      </c>
    </row>
    <row r="235" spans="1:25" x14ac:dyDescent="0.2">
      <c r="A235" s="52"/>
      <c r="B235" s="23"/>
      <c r="C235" s="546"/>
      <c r="D235" s="547">
        <v>3020</v>
      </c>
      <c r="E235" s="548" t="s">
        <v>174</v>
      </c>
      <c r="F235" s="549">
        <v>21886</v>
      </c>
      <c r="G235" s="550">
        <v>17749.169999999998</v>
      </c>
      <c r="H235" s="366">
        <f t="shared" ref="H235:H248" si="167">G235/F235</f>
        <v>0.81098282006762301</v>
      </c>
      <c r="I235" s="552">
        <v>21886</v>
      </c>
      <c r="J235" s="1144">
        <v>29672</v>
      </c>
      <c r="K235" s="552"/>
      <c r="L235" s="258">
        <f t="shared" ref="L235:L247" si="168">J235+K235</f>
        <v>29672</v>
      </c>
      <c r="M235" s="280">
        <f t="shared" si="151"/>
        <v>1.3557525358676781</v>
      </c>
      <c r="N235" s="466"/>
      <c r="O235" s="392"/>
      <c r="P235" s="392"/>
      <c r="Q235" s="393"/>
      <c r="R235" s="392"/>
      <c r="S235" s="392"/>
      <c r="T235" s="393"/>
      <c r="U235" s="393"/>
      <c r="V235" s="393"/>
      <c r="W235" s="393"/>
      <c r="X235" s="550">
        <f>L235</f>
        <v>29672</v>
      </c>
      <c r="Y235" s="393">
        <f>SUM(O235:X235)</f>
        <v>29672</v>
      </c>
    </row>
    <row r="236" spans="1:25" x14ac:dyDescent="0.2">
      <c r="A236" s="52"/>
      <c r="B236" s="52"/>
      <c r="C236" s="203"/>
      <c r="D236" s="402">
        <v>4010</v>
      </c>
      <c r="E236" s="119" t="s">
        <v>139</v>
      </c>
      <c r="F236" s="140">
        <v>580410</v>
      </c>
      <c r="G236" s="56">
        <v>430538.61</v>
      </c>
      <c r="H236" s="366">
        <f t="shared" si="167"/>
        <v>0.741783584018194</v>
      </c>
      <c r="I236" s="58">
        <v>580410</v>
      </c>
      <c r="J236" s="1108">
        <v>481639</v>
      </c>
      <c r="K236" s="58"/>
      <c r="L236" s="258">
        <f t="shared" si="168"/>
        <v>481639</v>
      </c>
      <c r="M236" s="280">
        <f t="shared" si="151"/>
        <v>0.82982546820351133</v>
      </c>
      <c r="N236" s="399"/>
      <c r="O236" s="392"/>
      <c r="P236" s="392"/>
      <c r="Q236" s="393"/>
      <c r="R236" s="392"/>
      <c r="S236" s="392"/>
      <c r="T236" s="393"/>
      <c r="U236" s="393"/>
      <c r="V236" s="393"/>
      <c r="W236" s="393"/>
      <c r="X236" s="550">
        <f t="shared" ref="X236:X247" si="169">L236</f>
        <v>481639</v>
      </c>
      <c r="Y236" s="393">
        <f t="shared" ref="Y236:Y247" si="170">SUM(O236:X236)</f>
        <v>481639</v>
      </c>
    </row>
    <row r="237" spans="1:25" x14ac:dyDescent="0.2">
      <c r="A237" s="52"/>
      <c r="B237" s="52"/>
      <c r="C237" s="240"/>
      <c r="D237" s="446">
        <v>4040</v>
      </c>
      <c r="E237" s="199" t="s">
        <v>169</v>
      </c>
      <c r="F237" s="445">
        <v>49900</v>
      </c>
      <c r="G237" s="100">
        <v>43194.7</v>
      </c>
      <c r="H237" s="366">
        <f t="shared" si="167"/>
        <v>0.86562525050100192</v>
      </c>
      <c r="I237" s="102">
        <v>43194.7</v>
      </c>
      <c r="J237" s="1112">
        <v>41300</v>
      </c>
      <c r="K237" s="102"/>
      <c r="L237" s="258">
        <f t="shared" si="168"/>
        <v>41300</v>
      </c>
      <c r="M237" s="280">
        <f t="shared" si="151"/>
        <v>0.82765531062124253</v>
      </c>
      <c r="N237" s="399"/>
      <c r="O237" s="392"/>
      <c r="P237" s="392"/>
      <c r="Q237" s="393"/>
      <c r="R237" s="392"/>
      <c r="S237" s="392"/>
      <c r="T237" s="393"/>
      <c r="U237" s="393"/>
      <c r="V237" s="393"/>
      <c r="W237" s="393"/>
      <c r="X237" s="550">
        <f t="shared" si="169"/>
        <v>41300</v>
      </c>
      <c r="Y237" s="393">
        <f t="shared" si="170"/>
        <v>41300</v>
      </c>
    </row>
    <row r="238" spans="1:25" x14ac:dyDescent="0.2">
      <c r="A238" s="52"/>
      <c r="B238" s="52"/>
      <c r="C238" s="79"/>
      <c r="D238" s="400">
        <v>4110</v>
      </c>
      <c r="E238" s="81" t="s">
        <v>140</v>
      </c>
      <c r="F238" s="201">
        <v>111083</v>
      </c>
      <c r="G238" s="56">
        <v>78472.710000000006</v>
      </c>
      <c r="H238" s="366">
        <f t="shared" si="167"/>
        <v>0.70643311757874749</v>
      </c>
      <c r="I238" s="58">
        <v>111083</v>
      </c>
      <c r="J238" s="1108">
        <v>94964</v>
      </c>
      <c r="K238" s="58">
        <v>-10900</v>
      </c>
      <c r="L238" s="258">
        <f t="shared" si="168"/>
        <v>84064</v>
      </c>
      <c r="M238" s="280">
        <f t="shared" si="151"/>
        <v>0.75676746216792845</v>
      </c>
      <c r="N238" s="399"/>
      <c r="O238" s="392"/>
      <c r="P238" s="392"/>
      <c r="Q238" s="393"/>
      <c r="R238" s="392"/>
      <c r="S238" s="392"/>
      <c r="T238" s="393"/>
      <c r="U238" s="393"/>
      <c r="V238" s="393"/>
      <c r="W238" s="393"/>
      <c r="X238" s="550">
        <f t="shared" si="169"/>
        <v>84064</v>
      </c>
      <c r="Y238" s="393">
        <f t="shared" si="170"/>
        <v>84064</v>
      </c>
    </row>
    <row r="239" spans="1:25" x14ac:dyDescent="0.2">
      <c r="A239" s="52"/>
      <c r="B239" s="52"/>
      <c r="C239" s="203"/>
      <c r="D239" s="402">
        <v>4120</v>
      </c>
      <c r="E239" s="119" t="s">
        <v>141</v>
      </c>
      <c r="F239" s="120">
        <v>15436</v>
      </c>
      <c r="G239" s="56">
        <v>11340.83</v>
      </c>
      <c r="H239" s="366">
        <f t="shared" si="167"/>
        <v>0.73470005182689813</v>
      </c>
      <c r="I239" s="58">
        <v>15436</v>
      </c>
      <c r="J239" s="1108">
        <v>13500</v>
      </c>
      <c r="K239" s="58">
        <v>-3370</v>
      </c>
      <c r="L239" s="258">
        <f t="shared" si="168"/>
        <v>10130</v>
      </c>
      <c r="M239" s="280">
        <f t="shared" si="151"/>
        <v>0.65625809795283752</v>
      </c>
      <c r="N239" s="399"/>
      <c r="O239" s="392"/>
      <c r="P239" s="392"/>
      <c r="Q239" s="393"/>
      <c r="R239" s="392"/>
      <c r="S239" s="392"/>
      <c r="T239" s="393"/>
      <c r="U239" s="393"/>
      <c r="V239" s="393"/>
      <c r="W239" s="393"/>
      <c r="X239" s="550">
        <f t="shared" si="169"/>
        <v>10130</v>
      </c>
      <c r="Y239" s="393">
        <f t="shared" si="170"/>
        <v>10130</v>
      </c>
    </row>
    <row r="240" spans="1:25" x14ac:dyDescent="0.2">
      <c r="A240" s="52"/>
      <c r="B240" s="52"/>
      <c r="C240" s="333"/>
      <c r="D240" s="468">
        <v>4210</v>
      </c>
      <c r="E240" s="125" t="s">
        <v>142</v>
      </c>
      <c r="F240" s="126">
        <v>19200</v>
      </c>
      <c r="G240" s="56">
        <v>10656.2</v>
      </c>
      <c r="H240" s="366">
        <f t="shared" si="167"/>
        <v>0.55501041666666673</v>
      </c>
      <c r="I240" s="58">
        <v>19200</v>
      </c>
      <c r="J240" s="1108">
        <v>18000</v>
      </c>
      <c r="K240" s="58"/>
      <c r="L240" s="258">
        <f t="shared" si="168"/>
        <v>18000</v>
      </c>
      <c r="M240" s="280">
        <f t="shared" si="151"/>
        <v>0.9375</v>
      </c>
      <c r="N240" s="399"/>
      <c r="O240" s="392"/>
      <c r="P240" s="392"/>
      <c r="Q240" s="393"/>
      <c r="R240" s="392"/>
      <c r="S240" s="392"/>
      <c r="T240" s="393"/>
      <c r="U240" s="393"/>
      <c r="V240" s="393"/>
      <c r="W240" s="393"/>
      <c r="X240" s="550">
        <f t="shared" si="169"/>
        <v>18000</v>
      </c>
      <c r="Y240" s="393">
        <f t="shared" si="170"/>
        <v>18000</v>
      </c>
    </row>
    <row r="241" spans="1:25" ht="22.5" x14ac:dyDescent="0.2">
      <c r="A241" s="52"/>
      <c r="B241" s="52"/>
      <c r="C241" s="159"/>
      <c r="D241" s="309">
        <v>4240</v>
      </c>
      <c r="E241" s="122" t="s">
        <v>184</v>
      </c>
      <c r="F241" s="161">
        <v>2371</v>
      </c>
      <c r="G241" s="100">
        <v>1385.83</v>
      </c>
      <c r="H241" s="551">
        <f t="shared" si="167"/>
        <v>0.58449177562210031</v>
      </c>
      <c r="I241" s="102">
        <v>2371</v>
      </c>
      <c r="J241" s="1112">
        <v>1360</v>
      </c>
      <c r="K241" s="102"/>
      <c r="L241" s="279">
        <f t="shared" si="168"/>
        <v>1360</v>
      </c>
      <c r="M241" s="259">
        <f t="shared" si="151"/>
        <v>0.57359763812737241</v>
      </c>
      <c r="N241" s="399"/>
      <c r="O241" s="392"/>
      <c r="P241" s="392"/>
      <c r="Q241" s="393"/>
      <c r="R241" s="392"/>
      <c r="S241" s="392"/>
      <c r="T241" s="393"/>
      <c r="U241" s="393"/>
      <c r="V241" s="393"/>
      <c r="W241" s="393"/>
      <c r="X241" s="550">
        <f t="shared" si="169"/>
        <v>1360</v>
      </c>
      <c r="Y241" s="393">
        <f t="shared" si="170"/>
        <v>1360</v>
      </c>
    </row>
    <row r="242" spans="1:25" x14ac:dyDescent="0.2">
      <c r="A242" s="52"/>
      <c r="B242" s="52"/>
      <c r="C242" s="240"/>
      <c r="D242" s="446">
        <v>4260</v>
      </c>
      <c r="E242" s="199" t="s">
        <v>149</v>
      </c>
      <c r="F242" s="445">
        <v>20530</v>
      </c>
      <c r="G242" s="100">
        <v>13010.89</v>
      </c>
      <c r="H242" s="366">
        <f t="shared" si="167"/>
        <v>0.63375012177301504</v>
      </c>
      <c r="I242" s="102">
        <v>20516.099999999999</v>
      </c>
      <c r="J242" s="1112">
        <v>20930</v>
      </c>
      <c r="K242" s="102">
        <v>-500</v>
      </c>
      <c r="L242" s="258">
        <f t="shared" si="168"/>
        <v>20430</v>
      </c>
      <c r="M242" s="280">
        <f t="shared" si="151"/>
        <v>0.99512907939600581</v>
      </c>
      <c r="N242" s="466"/>
      <c r="O242" s="392"/>
      <c r="P242" s="392"/>
      <c r="Q242" s="393"/>
      <c r="R242" s="392"/>
      <c r="S242" s="392"/>
      <c r="T242" s="393"/>
      <c r="U242" s="393"/>
      <c r="V242" s="393"/>
      <c r="W242" s="393"/>
      <c r="X242" s="550">
        <f t="shared" si="169"/>
        <v>20430</v>
      </c>
      <c r="Y242" s="393">
        <f t="shared" si="170"/>
        <v>20430</v>
      </c>
    </row>
    <row r="243" spans="1:25" x14ac:dyDescent="0.2">
      <c r="A243" s="52"/>
      <c r="B243" s="52"/>
      <c r="C243" s="79"/>
      <c r="D243" s="400">
        <v>4270</v>
      </c>
      <c r="E243" s="81" t="s">
        <v>154</v>
      </c>
      <c r="F243" s="144">
        <v>900</v>
      </c>
      <c r="G243" s="56">
        <v>0</v>
      </c>
      <c r="H243" s="366">
        <f t="shared" si="167"/>
        <v>0</v>
      </c>
      <c r="I243" s="58">
        <v>900</v>
      </c>
      <c r="J243" s="1108">
        <v>900</v>
      </c>
      <c r="K243" s="58"/>
      <c r="L243" s="258">
        <f t="shared" si="168"/>
        <v>900</v>
      </c>
      <c r="M243" s="280">
        <f t="shared" si="151"/>
        <v>1</v>
      </c>
      <c r="N243" s="399"/>
      <c r="O243" s="392"/>
      <c r="P243" s="392"/>
      <c r="Q243" s="393"/>
      <c r="R243" s="392"/>
      <c r="S243" s="392"/>
      <c r="T243" s="393"/>
      <c r="U243" s="393"/>
      <c r="V243" s="393"/>
      <c r="W243" s="393"/>
      <c r="X243" s="550">
        <f t="shared" si="169"/>
        <v>900</v>
      </c>
      <c r="Y243" s="393">
        <f t="shared" si="170"/>
        <v>900</v>
      </c>
    </row>
    <row r="244" spans="1:25" x14ac:dyDescent="0.2">
      <c r="A244" s="52"/>
      <c r="B244" s="52"/>
      <c r="C244" s="79"/>
      <c r="D244" s="400">
        <v>4280</v>
      </c>
      <c r="E244" s="81" t="s">
        <v>185</v>
      </c>
      <c r="F244" s="553">
        <v>500</v>
      </c>
      <c r="G244" s="56">
        <v>130</v>
      </c>
      <c r="H244" s="366">
        <f t="shared" si="167"/>
        <v>0.26</v>
      </c>
      <c r="I244" s="58">
        <v>260</v>
      </c>
      <c r="J244" s="1108">
        <v>600</v>
      </c>
      <c r="K244" s="58"/>
      <c r="L244" s="258">
        <f t="shared" si="168"/>
        <v>600</v>
      </c>
      <c r="M244" s="280">
        <f t="shared" si="151"/>
        <v>1.2</v>
      </c>
      <c r="N244" s="399"/>
      <c r="O244" s="392"/>
      <c r="P244" s="392"/>
      <c r="Q244" s="393"/>
      <c r="R244" s="392"/>
      <c r="S244" s="392"/>
      <c r="T244" s="393"/>
      <c r="U244" s="393"/>
      <c r="V244" s="393"/>
      <c r="W244" s="393"/>
      <c r="X244" s="550">
        <f t="shared" si="169"/>
        <v>600</v>
      </c>
      <c r="Y244" s="393">
        <f t="shared" si="170"/>
        <v>600</v>
      </c>
    </row>
    <row r="245" spans="1:25" x14ac:dyDescent="0.2">
      <c r="A245" s="52"/>
      <c r="B245" s="52"/>
      <c r="C245" s="203"/>
      <c r="D245" s="402">
        <v>4300</v>
      </c>
      <c r="E245" s="119" t="s">
        <v>143</v>
      </c>
      <c r="F245" s="491">
        <v>8968</v>
      </c>
      <c r="G245" s="56">
        <v>3108.53</v>
      </c>
      <c r="H245" s="366">
        <f t="shared" si="167"/>
        <v>0.34662466547725246</v>
      </c>
      <c r="I245" s="58">
        <v>8968</v>
      </c>
      <c r="J245" s="1108">
        <v>6750</v>
      </c>
      <c r="K245" s="58"/>
      <c r="L245" s="258">
        <f t="shared" si="168"/>
        <v>6750</v>
      </c>
      <c r="M245" s="280">
        <f t="shared" si="151"/>
        <v>0.75267618198037467</v>
      </c>
      <c r="N245" s="399"/>
      <c r="O245" s="392"/>
      <c r="P245" s="392"/>
      <c r="Q245" s="393"/>
      <c r="R245" s="392"/>
      <c r="S245" s="392"/>
      <c r="T245" s="393"/>
      <c r="U245" s="393"/>
      <c r="V245" s="393"/>
      <c r="W245" s="393"/>
      <c r="X245" s="550">
        <f t="shared" si="169"/>
        <v>6750</v>
      </c>
      <c r="Y245" s="393">
        <f t="shared" si="170"/>
        <v>6750</v>
      </c>
    </row>
    <row r="246" spans="1:25" x14ac:dyDescent="0.2">
      <c r="A246" s="52"/>
      <c r="B246" s="52"/>
      <c r="C246" s="52"/>
      <c r="D246" s="474">
        <v>4360</v>
      </c>
      <c r="E246" s="122" t="s">
        <v>364</v>
      </c>
      <c r="F246" s="554">
        <v>700</v>
      </c>
      <c r="G246" s="100">
        <v>700</v>
      </c>
      <c r="H246" s="366">
        <f t="shared" si="167"/>
        <v>1</v>
      </c>
      <c r="I246" s="102">
        <v>700</v>
      </c>
      <c r="J246" s="1112">
        <v>700</v>
      </c>
      <c r="K246" s="102"/>
      <c r="L246" s="258">
        <f t="shared" si="168"/>
        <v>700</v>
      </c>
      <c r="M246" s="280">
        <f t="shared" si="151"/>
        <v>1</v>
      </c>
      <c r="N246" s="466"/>
      <c r="O246" s="392"/>
      <c r="P246" s="392"/>
      <c r="Q246" s="393"/>
      <c r="R246" s="392"/>
      <c r="S246" s="392"/>
      <c r="T246" s="393"/>
      <c r="U246" s="393"/>
      <c r="V246" s="393"/>
      <c r="W246" s="393"/>
      <c r="X246" s="550">
        <f t="shared" si="169"/>
        <v>700</v>
      </c>
      <c r="Y246" s="393">
        <f t="shared" si="170"/>
        <v>700</v>
      </c>
    </row>
    <row r="247" spans="1:25" ht="22.5" x14ac:dyDescent="0.2">
      <c r="A247" s="52"/>
      <c r="B247" s="52"/>
      <c r="C247" s="203"/>
      <c r="D247" s="402">
        <v>4440</v>
      </c>
      <c r="E247" s="119" t="s">
        <v>191</v>
      </c>
      <c r="F247" s="120">
        <v>39322</v>
      </c>
      <c r="G247" s="56">
        <v>39322</v>
      </c>
      <c r="H247" s="366">
        <f t="shared" si="167"/>
        <v>1</v>
      </c>
      <c r="I247" s="58">
        <v>39322</v>
      </c>
      <c r="J247" s="1108">
        <v>26872</v>
      </c>
      <c r="K247" s="58"/>
      <c r="L247" s="258">
        <f t="shared" si="168"/>
        <v>26872</v>
      </c>
      <c r="M247" s="280">
        <f t="shared" si="151"/>
        <v>0.68338334774426535</v>
      </c>
      <c r="N247" s="399"/>
      <c r="O247" s="392"/>
      <c r="P247" s="392"/>
      <c r="Q247" s="393"/>
      <c r="R247" s="392"/>
      <c r="S247" s="392"/>
      <c r="T247" s="393"/>
      <c r="U247" s="393"/>
      <c r="V247" s="393"/>
      <c r="W247" s="393"/>
      <c r="X247" s="550">
        <f t="shared" si="169"/>
        <v>26872</v>
      </c>
      <c r="Y247" s="393">
        <f t="shared" si="170"/>
        <v>26872</v>
      </c>
    </row>
    <row r="248" spans="1:25" x14ac:dyDescent="0.2">
      <c r="A248" s="52"/>
      <c r="B248" s="246">
        <v>80104</v>
      </c>
      <c r="C248" s="247"/>
      <c r="D248" s="248"/>
      <c r="E248" s="249" t="s">
        <v>79</v>
      </c>
      <c r="F248" s="555">
        <f>F249+F256+F261+F262+F263+F264+F265+F266+F267+F268+F269+F270+F271+F272+F273+F274+F275+F276+F277+F278+F279+F280+F281</f>
        <v>4633411.3900000006</v>
      </c>
      <c r="G248" s="555">
        <f t="shared" ref="G248:I248" si="171">G249+G256+G261+G262+G263+G264+G265+G266+G267+G268+G269+G270+G271+G272+G273+G274+G275+G276+G277+G278+G279+G280+G281</f>
        <v>3390314.75</v>
      </c>
      <c r="H248" s="176">
        <f t="shared" si="167"/>
        <v>0.73171028096428092</v>
      </c>
      <c r="I248" s="555">
        <f t="shared" si="171"/>
        <v>4486308.05</v>
      </c>
      <c r="J248" s="1122">
        <f>J249+J256+J261+J262+J263+J264+J265+J266+J267+J268+J269+J270+J271+J272+J273+J274+J275+J276+J277+J278+J279+J280+J281</f>
        <v>5099904</v>
      </c>
      <c r="K248" s="1006">
        <f t="shared" ref="K248:L248" si="172">K249+K256+K261+K262+K263+K264+K265+K266+K267+K268+K269+K270+K271+K272+K273+K274+K275+K276+K277+K278+K279+K280+K281</f>
        <v>-272083</v>
      </c>
      <c r="L248" s="238">
        <f t="shared" si="172"/>
        <v>4827821</v>
      </c>
      <c r="M248" s="78">
        <f t="shared" si="151"/>
        <v>1.0419582017732294</v>
      </c>
      <c r="N248" s="802"/>
      <c r="O248" s="443">
        <f>O249+O256+O261+O262+O263+O264+O265+O266+O267+O268+O269+O270+O271+O272+O273+O274+O275+O276+O277+O278+O279+O280+O281</f>
        <v>0</v>
      </c>
      <c r="P248" s="443">
        <f t="shared" ref="P248:X248" si="173">P249+P256+P261+P262+P263+P264+P265+P266+P267+P268+P269+P270+P271+P272+P273+P274+P275+P276+P277+P278+P279+P280+P281</f>
        <v>0</v>
      </c>
      <c r="Q248" s="443">
        <f t="shared" si="173"/>
        <v>0</v>
      </c>
      <c r="R248" s="443">
        <f t="shared" si="173"/>
        <v>0</v>
      </c>
      <c r="S248" s="443">
        <f t="shared" si="173"/>
        <v>0</v>
      </c>
      <c r="T248" s="443">
        <f t="shared" si="173"/>
        <v>1216000</v>
      </c>
      <c r="U248" s="443">
        <f t="shared" si="173"/>
        <v>0</v>
      </c>
      <c r="V248" s="443">
        <f t="shared" si="173"/>
        <v>0</v>
      </c>
      <c r="W248" s="443">
        <f t="shared" si="173"/>
        <v>0</v>
      </c>
      <c r="X248" s="443">
        <f t="shared" si="173"/>
        <v>3611821</v>
      </c>
      <c r="Y248" s="443">
        <f>SUM(O248:X248)</f>
        <v>4827821</v>
      </c>
    </row>
    <row r="249" spans="1:25" ht="33.75" x14ac:dyDescent="0.2">
      <c r="A249" s="52"/>
      <c r="B249" s="274"/>
      <c r="C249" s="23"/>
      <c r="D249" s="295">
        <v>2310</v>
      </c>
      <c r="E249" s="556" t="s">
        <v>151</v>
      </c>
      <c r="F249" s="557">
        <f>F251+F252+F253+F254+F255</f>
        <v>122000</v>
      </c>
      <c r="G249" s="557">
        <f>SUM(G251:G255)</f>
        <v>72838.89</v>
      </c>
      <c r="H249" s="558">
        <f>G249/F249</f>
        <v>0.59704008196721314</v>
      </c>
      <c r="I249" s="410">
        <f>SUM(I251:I255)</f>
        <v>108787.4</v>
      </c>
      <c r="J249" s="1111">
        <f>J251+J252+J253+J254+J255</f>
        <v>122000</v>
      </c>
      <c r="K249" s="1056">
        <f>K251+K252+K253+K254+K255</f>
        <v>-10000</v>
      </c>
      <c r="L249" s="411">
        <f>J249+K249</f>
        <v>112000</v>
      </c>
      <c r="M249" s="999">
        <f t="shared" si="151"/>
        <v>0.91803278688524592</v>
      </c>
      <c r="N249" s="559"/>
      <c r="O249" s="392"/>
      <c r="P249" s="392"/>
      <c r="Q249" s="393"/>
      <c r="R249" s="392"/>
      <c r="S249" s="392"/>
      <c r="T249" s="393">
        <f>L249</f>
        <v>112000</v>
      </c>
      <c r="U249" s="393"/>
      <c r="V249" s="393"/>
      <c r="W249" s="393"/>
      <c r="X249" s="393"/>
      <c r="Y249" s="393">
        <f>SUM(O249:X249)</f>
        <v>112000</v>
      </c>
    </row>
    <row r="250" spans="1:25" x14ac:dyDescent="0.2">
      <c r="A250" s="52"/>
      <c r="B250" s="274"/>
      <c r="C250" s="23"/>
      <c r="D250" s="560"/>
      <c r="E250" s="561" t="s">
        <v>123</v>
      </c>
      <c r="F250" s="562"/>
      <c r="G250" s="410"/>
      <c r="H250" s="563"/>
      <c r="I250" s="410"/>
      <c r="J250" s="1111"/>
      <c r="K250" s="1208"/>
      <c r="L250" s="411"/>
      <c r="M250" s="1103"/>
      <c r="N250" s="559"/>
      <c r="O250" s="392"/>
      <c r="P250" s="392"/>
      <c r="Q250" s="393"/>
      <c r="R250" s="392"/>
      <c r="S250" s="392"/>
      <c r="T250" s="393"/>
      <c r="U250" s="393"/>
      <c r="V250" s="393"/>
      <c r="W250" s="393"/>
      <c r="X250" s="393"/>
      <c r="Y250" s="393">
        <f t="shared" ref="Y250:Y281" si="174">SUM(O250:X250)</f>
        <v>0</v>
      </c>
    </row>
    <row r="251" spans="1:25" x14ac:dyDescent="0.2">
      <c r="A251" s="52"/>
      <c r="B251" s="274"/>
      <c r="C251" s="23"/>
      <c r="D251" s="560"/>
      <c r="E251" s="564" t="s">
        <v>214</v>
      </c>
      <c r="F251" s="565">
        <v>82000</v>
      </c>
      <c r="G251" s="566">
        <v>54573.82</v>
      </c>
      <c r="H251" s="567">
        <f>G251/F251</f>
        <v>0.66553439024390249</v>
      </c>
      <c r="I251" s="566">
        <v>78624.67</v>
      </c>
      <c r="J251" s="1145">
        <v>82000</v>
      </c>
      <c r="K251" s="1239">
        <v>-2000</v>
      </c>
      <c r="L251" s="1261">
        <f>J251+K251</f>
        <v>80000</v>
      </c>
      <c r="M251" s="1103">
        <f t="shared" si="151"/>
        <v>0.97560975609756095</v>
      </c>
      <c r="N251" s="568"/>
      <c r="O251" s="392"/>
      <c r="P251" s="392"/>
      <c r="Q251" s="393"/>
      <c r="R251" s="392"/>
      <c r="S251" s="392"/>
      <c r="T251" s="393"/>
      <c r="U251" s="393"/>
      <c r="V251" s="393"/>
      <c r="W251" s="393"/>
      <c r="X251" s="393"/>
      <c r="Y251" s="393">
        <f t="shared" si="174"/>
        <v>0</v>
      </c>
    </row>
    <row r="252" spans="1:25" x14ac:dyDescent="0.2">
      <c r="A252" s="52"/>
      <c r="B252" s="274"/>
      <c r="C252" s="23"/>
      <c r="D252" s="560"/>
      <c r="E252" s="564" t="s">
        <v>215</v>
      </c>
      <c r="F252" s="565">
        <v>1000</v>
      </c>
      <c r="G252" s="566">
        <v>474.72</v>
      </c>
      <c r="H252" s="567">
        <f>G252/F252</f>
        <v>0.47472000000000003</v>
      </c>
      <c r="I252" s="566">
        <v>949.44</v>
      </c>
      <c r="J252" s="1145">
        <v>1000</v>
      </c>
      <c r="K252" s="1239"/>
      <c r="L252" s="1261">
        <f t="shared" ref="L252:L255" si="175">J252+K252</f>
        <v>1000</v>
      </c>
      <c r="M252" s="1103">
        <f t="shared" si="151"/>
        <v>1</v>
      </c>
      <c r="N252" s="568"/>
      <c r="O252" s="392"/>
      <c r="P252" s="392"/>
      <c r="Q252" s="393"/>
      <c r="R252" s="392"/>
      <c r="S252" s="392"/>
      <c r="T252" s="393"/>
      <c r="U252" s="393"/>
      <c r="V252" s="393"/>
      <c r="W252" s="393"/>
      <c r="X252" s="393"/>
      <c r="Y252" s="393">
        <f t="shared" si="174"/>
        <v>0</v>
      </c>
    </row>
    <row r="253" spans="1:25" x14ac:dyDescent="0.2">
      <c r="A253" s="52"/>
      <c r="B253" s="274"/>
      <c r="C253" s="23"/>
      <c r="D253" s="560"/>
      <c r="E253" s="564" t="s">
        <v>216</v>
      </c>
      <c r="F253" s="565">
        <v>8000</v>
      </c>
      <c r="G253" s="566">
        <v>3996.2</v>
      </c>
      <c r="H253" s="567">
        <f t="shared" ref="H253:H255" si="176">G253/F253</f>
        <v>0.499525</v>
      </c>
      <c r="I253" s="566">
        <v>7716.2</v>
      </c>
      <c r="J253" s="1145">
        <v>8000</v>
      </c>
      <c r="K253" s="1239"/>
      <c r="L253" s="1261">
        <f t="shared" si="175"/>
        <v>8000</v>
      </c>
      <c r="M253" s="1103">
        <f t="shared" si="151"/>
        <v>1</v>
      </c>
      <c r="N253" s="568"/>
      <c r="O253" s="392"/>
      <c r="P253" s="392"/>
      <c r="Q253" s="393"/>
      <c r="R253" s="392"/>
      <c r="S253" s="392"/>
      <c r="T253" s="393"/>
      <c r="U253" s="393"/>
      <c r="V253" s="393"/>
      <c r="W253" s="393"/>
      <c r="X253" s="393"/>
      <c r="Y253" s="393">
        <f t="shared" si="174"/>
        <v>0</v>
      </c>
    </row>
    <row r="254" spans="1:25" x14ac:dyDescent="0.2">
      <c r="A254" s="52"/>
      <c r="B254" s="274"/>
      <c r="C254" s="432"/>
      <c r="D254" s="1278"/>
      <c r="E254" s="570" t="s">
        <v>217</v>
      </c>
      <c r="F254" s="1279">
        <v>15000</v>
      </c>
      <c r="G254" s="572">
        <v>6103.83</v>
      </c>
      <c r="H254" s="1280">
        <f t="shared" si="176"/>
        <v>0.40692200000000001</v>
      </c>
      <c r="I254" s="572">
        <v>9303.83</v>
      </c>
      <c r="J254" s="1146">
        <v>15000</v>
      </c>
      <c r="K254" s="1281">
        <v>-5000</v>
      </c>
      <c r="L254" s="1282">
        <f t="shared" si="175"/>
        <v>10000</v>
      </c>
      <c r="M254" s="259">
        <f t="shared" si="151"/>
        <v>0.66666666666666663</v>
      </c>
      <c r="N254" s="568"/>
      <c r="O254" s="392"/>
      <c r="P254" s="392"/>
      <c r="Q254" s="393"/>
      <c r="R254" s="392"/>
      <c r="S254" s="392"/>
      <c r="T254" s="393"/>
      <c r="U254" s="393"/>
      <c r="V254" s="393"/>
      <c r="W254" s="393"/>
      <c r="X254" s="393"/>
      <c r="Y254" s="393">
        <f t="shared" si="174"/>
        <v>0</v>
      </c>
    </row>
    <row r="255" spans="1:25" x14ac:dyDescent="0.2">
      <c r="A255" s="52"/>
      <c r="B255" s="274"/>
      <c r="C255" s="432"/>
      <c r="D255" s="569"/>
      <c r="E255" s="570" t="s">
        <v>218</v>
      </c>
      <c r="F255" s="571">
        <v>16000</v>
      </c>
      <c r="G255" s="572">
        <v>7690.32</v>
      </c>
      <c r="H255" s="567">
        <f t="shared" si="176"/>
        <v>0.48064499999999999</v>
      </c>
      <c r="I255" s="572">
        <v>12193.26</v>
      </c>
      <c r="J255" s="1146">
        <v>16000</v>
      </c>
      <c r="K255" s="1239">
        <v>-3000</v>
      </c>
      <c r="L255" s="1261">
        <f t="shared" si="175"/>
        <v>13000</v>
      </c>
      <c r="M255" s="259">
        <f t="shared" si="151"/>
        <v>0.8125</v>
      </c>
      <c r="N255" s="573"/>
      <c r="O255" s="392"/>
      <c r="P255" s="392"/>
      <c r="Q255" s="393"/>
      <c r="R255" s="392"/>
      <c r="S255" s="392"/>
      <c r="T255" s="393"/>
      <c r="U255" s="393"/>
      <c r="V255" s="393"/>
      <c r="W255" s="393"/>
      <c r="X255" s="393"/>
      <c r="Y255" s="393">
        <f t="shared" si="174"/>
        <v>0</v>
      </c>
    </row>
    <row r="256" spans="1:25" ht="22.5" x14ac:dyDescent="0.2">
      <c r="A256" s="52"/>
      <c r="B256" s="52"/>
      <c r="C256" s="52"/>
      <c r="D256" s="574">
        <v>2540</v>
      </c>
      <c r="E256" s="98" t="s">
        <v>219</v>
      </c>
      <c r="F256" s="575">
        <f>F258+F259+F260</f>
        <v>1129239.3900000001</v>
      </c>
      <c r="G256" s="575">
        <f>G258+G259+G260</f>
        <v>808595.07</v>
      </c>
      <c r="H256" s="66">
        <f t="shared" ref="H256:H324" si="177">G256/F256</f>
        <v>0.71605283800806829</v>
      </c>
      <c r="I256" s="67">
        <f>SUM(I258:I260)</f>
        <v>1009686.21</v>
      </c>
      <c r="J256" s="1135">
        <f>J258+J259+J260</f>
        <v>1258000</v>
      </c>
      <c r="K256" s="1034">
        <f>K258+K259+K260</f>
        <v>-154000</v>
      </c>
      <c r="L256" s="68">
        <f>J256+K256</f>
        <v>1104000</v>
      </c>
      <c r="M256" s="999">
        <f t="shared" si="151"/>
        <v>0.97764921218343248</v>
      </c>
      <c r="N256" s="492"/>
      <c r="O256" s="392"/>
      <c r="P256" s="392"/>
      <c r="Q256" s="393"/>
      <c r="R256" s="392"/>
      <c r="S256" s="392"/>
      <c r="T256" s="393">
        <f>L256</f>
        <v>1104000</v>
      </c>
      <c r="U256" s="393"/>
      <c r="V256" s="393"/>
      <c r="W256" s="393"/>
      <c r="X256" s="393"/>
      <c r="Y256" s="393">
        <f t="shared" si="174"/>
        <v>1104000</v>
      </c>
    </row>
    <row r="257" spans="1:25" x14ac:dyDescent="0.2">
      <c r="A257" s="52"/>
      <c r="B257" s="52"/>
      <c r="C257" s="52"/>
      <c r="D257" s="474"/>
      <c r="E257" s="128" t="s">
        <v>123</v>
      </c>
      <c r="F257" s="271"/>
      <c r="G257" s="261"/>
      <c r="H257" s="262"/>
      <c r="I257" s="263"/>
      <c r="J257" s="1109"/>
      <c r="K257" s="263"/>
      <c r="L257" s="138"/>
      <c r="M257" s="1103"/>
      <c r="N257" s="403"/>
      <c r="O257" s="392"/>
      <c r="P257" s="392"/>
      <c r="Q257" s="393"/>
      <c r="R257" s="392"/>
      <c r="S257" s="392"/>
      <c r="T257" s="393"/>
      <c r="U257" s="393"/>
      <c r="V257" s="393"/>
      <c r="W257" s="393"/>
      <c r="X257" s="393"/>
      <c r="Y257" s="393">
        <f t="shared" si="174"/>
        <v>0</v>
      </c>
    </row>
    <row r="258" spans="1:25" x14ac:dyDescent="0.2">
      <c r="A258" s="52"/>
      <c r="B258" s="52"/>
      <c r="C258" s="52"/>
      <c r="D258" s="507"/>
      <c r="E258" s="576" t="s">
        <v>315</v>
      </c>
      <c r="F258" s="499">
        <v>158148</v>
      </c>
      <c r="G258" s="495">
        <v>111226.09</v>
      </c>
      <c r="H258" s="496">
        <f>G258/F258</f>
        <v>0.70330380403166648</v>
      </c>
      <c r="I258" s="497">
        <v>143727.59</v>
      </c>
      <c r="J258" s="1136">
        <v>204000</v>
      </c>
      <c r="K258" s="497">
        <f>-50000</f>
        <v>-50000</v>
      </c>
      <c r="L258" s="1258">
        <f>J258+K258</f>
        <v>154000</v>
      </c>
      <c r="M258" s="1103">
        <f t="shared" si="151"/>
        <v>0.97377140400131523</v>
      </c>
      <c r="N258" s="500" t="s">
        <v>390</v>
      </c>
      <c r="O258" s="392"/>
      <c r="P258" s="392"/>
      <c r="Q258" s="393"/>
      <c r="R258" s="392"/>
      <c r="S258" s="392"/>
      <c r="T258" s="393"/>
      <c r="U258" s="393"/>
      <c r="V258" s="393"/>
      <c r="W258" s="393"/>
      <c r="X258" s="393"/>
      <c r="Y258" s="393">
        <f t="shared" si="174"/>
        <v>0</v>
      </c>
    </row>
    <row r="259" spans="1:25" x14ac:dyDescent="0.2">
      <c r="A259" s="52"/>
      <c r="B259" s="52"/>
      <c r="C259" s="52"/>
      <c r="D259" s="474"/>
      <c r="E259" s="576" t="s">
        <v>316</v>
      </c>
      <c r="F259" s="499">
        <v>799176</v>
      </c>
      <c r="G259" s="495">
        <v>589283.82999999996</v>
      </c>
      <c r="H259" s="496">
        <f>G259/F259</f>
        <v>0.7373642727008819</v>
      </c>
      <c r="I259" s="497">
        <v>708239.32</v>
      </c>
      <c r="J259" s="1136">
        <v>714000</v>
      </c>
      <c r="K259" s="497">
        <f>-14000</f>
        <v>-14000</v>
      </c>
      <c r="L259" s="1258">
        <f t="shared" ref="L259:L260" si="178">J259+K259</f>
        <v>700000</v>
      </c>
      <c r="M259" s="1103">
        <f t="shared" si="151"/>
        <v>0.87590217924462199</v>
      </c>
      <c r="N259" s="500" t="s">
        <v>391</v>
      </c>
      <c r="O259" s="392"/>
      <c r="P259" s="392"/>
      <c r="Q259" s="393"/>
      <c r="R259" s="392"/>
      <c r="S259" s="392"/>
      <c r="T259" s="393"/>
      <c r="U259" s="393"/>
      <c r="V259" s="393"/>
      <c r="W259" s="393"/>
      <c r="X259" s="393"/>
      <c r="Y259" s="393">
        <f t="shared" si="174"/>
        <v>0</v>
      </c>
    </row>
    <row r="260" spans="1:25" ht="22.5" x14ac:dyDescent="0.2">
      <c r="A260" s="52"/>
      <c r="B260" s="52"/>
      <c r="C260" s="159"/>
      <c r="D260" s="309"/>
      <c r="E260" s="828" t="s">
        <v>317</v>
      </c>
      <c r="F260" s="829">
        <v>171915.39</v>
      </c>
      <c r="G260" s="504">
        <v>108085.15</v>
      </c>
      <c r="H260" s="505">
        <f>G260/F260</f>
        <v>0.62871130967390398</v>
      </c>
      <c r="I260" s="512">
        <v>157719.29999999999</v>
      </c>
      <c r="J260" s="1137">
        <v>340000</v>
      </c>
      <c r="K260" s="512">
        <f>-90000</f>
        <v>-90000</v>
      </c>
      <c r="L260" s="1259">
        <f t="shared" si="178"/>
        <v>250000</v>
      </c>
      <c r="M260" s="259">
        <f t="shared" si="151"/>
        <v>1.4542037219588075</v>
      </c>
      <c r="N260" s="500" t="s">
        <v>392</v>
      </c>
      <c r="O260" s="392"/>
      <c r="P260" s="392"/>
      <c r="Q260" s="393"/>
      <c r="R260" s="392"/>
      <c r="S260" s="392"/>
      <c r="T260" s="393"/>
      <c r="U260" s="393"/>
      <c r="V260" s="393"/>
      <c r="W260" s="393"/>
      <c r="X260" s="393"/>
      <c r="Y260" s="393">
        <f t="shared" si="174"/>
        <v>0</v>
      </c>
    </row>
    <row r="261" spans="1:25" x14ac:dyDescent="0.2">
      <c r="A261" s="52"/>
      <c r="B261" s="52"/>
      <c r="C261" s="240"/>
      <c r="D261" s="446">
        <v>3020</v>
      </c>
      <c r="E261" s="199" t="s">
        <v>174</v>
      </c>
      <c r="F261" s="445">
        <v>63361</v>
      </c>
      <c r="G261" s="100">
        <v>46951.8</v>
      </c>
      <c r="H261" s="101">
        <f t="shared" si="177"/>
        <v>0.7410205015703667</v>
      </c>
      <c r="I261" s="102">
        <f>63361-1460</f>
        <v>61901</v>
      </c>
      <c r="J261" s="1112">
        <v>77857</v>
      </c>
      <c r="K261" s="263">
        <v>-3061</v>
      </c>
      <c r="L261" s="138">
        <f>J261+K261</f>
        <v>74796</v>
      </c>
      <c r="M261" s="280">
        <f t="shared" si="151"/>
        <v>1.1804737930272564</v>
      </c>
      <c r="N261" s="399"/>
      <c r="O261" s="392"/>
      <c r="P261" s="392"/>
      <c r="Q261" s="393"/>
      <c r="R261" s="392"/>
      <c r="S261" s="392"/>
      <c r="T261" s="393"/>
      <c r="U261" s="393"/>
      <c r="V261" s="393"/>
      <c r="W261" s="393"/>
      <c r="X261" s="393">
        <f>L261</f>
        <v>74796</v>
      </c>
      <c r="Y261" s="393">
        <f t="shared" si="174"/>
        <v>74796</v>
      </c>
    </row>
    <row r="262" spans="1:25" x14ac:dyDescent="0.2">
      <c r="A262" s="52"/>
      <c r="B262" s="52"/>
      <c r="C262" s="79"/>
      <c r="D262" s="400">
        <v>4010</v>
      </c>
      <c r="E262" s="81" t="s">
        <v>139</v>
      </c>
      <c r="F262" s="226">
        <v>1860771</v>
      </c>
      <c r="G262" s="56">
        <v>1376801.81</v>
      </c>
      <c r="H262" s="57">
        <f t="shared" si="177"/>
        <v>0.73990932253350894</v>
      </c>
      <c r="I262" s="58">
        <v>1860771</v>
      </c>
      <c r="J262" s="1108">
        <v>2110283</v>
      </c>
      <c r="K262" s="58">
        <v>-20200</v>
      </c>
      <c r="L262" s="59">
        <f t="shared" ref="L262:L281" si="179">J262+K262</f>
        <v>2090083</v>
      </c>
      <c r="M262" s="280">
        <f t="shared" si="151"/>
        <v>1.1232349386356515</v>
      </c>
      <c r="N262" s="399"/>
      <c r="O262" s="392"/>
      <c r="P262" s="392"/>
      <c r="Q262" s="393"/>
      <c r="R262" s="392"/>
      <c r="S262" s="392"/>
      <c r="T262" s="393"/>
      <c r="U262" s="393"/>
      <c r="V262" s="393"/>
      <c r="W262" s="393"/>
      <c r="X262" s="393">
        <f t="shared" ref="X262:X281" si="180">L262</f>
        <v>2090083</v>
      </c>
      <c r="Y262" s="393">
        <f t="shared" si="174"/>
        <v>2090083</v>
      </c>
    </row>
    <row r="263" spans="1:25" x14ac:dyDescent="0.2">
      <c r="A263" s="52"/>
      <c r="B263" s="52"/>
      <c r="C263" s="79"/>
      <c r="D263" s="400">
        <v>4040</v>
      </c>
      <c r="E263" s="81" t="s">
        <v>169</v>
      </c>
      <c r="F263" s="201">
        <v>140034</v>
      </c>
      <c r="G263" s="56">
        <v>140033.23000000001</v>
      </c>
      <c r="H263" s="57">
        <f t="shared" si="177"/>
        <v>0.99999450133539003</v>
      </c>
      <c r="I263" s="58">
        <v>140033.23000000001</v>
      </c>
      <c r="J263" s="1108">
        <v>160500</v>
      </c>
      <c r="K263" s="58"/>
      <c r="L263" s="59">
        <f t="shared" si="179"/>
        <v>160500</v>
      </c>
      <c r="M263" s="280">
        <f t="shared" ref="M263:M326" si="181">L263/F263</f>
        <v>1.1461502206606966</v>
      </c>
      <c r="N263" s="399"/>
      <c r="O263" s="392"/>
      <c r="P263" s="392"/>
      <c r="Q263" s="393"/>
      <c r="R263" s="392"/>
      <c r="S263" s="392"/>
      <c r="T263" s="393"/>
      <c r="U263" s="393"/>
      <c r="V263" s="393"/>
      <c r="W263" s="393"/>
      <c r="X263" s="393">
        <f t="shared" si="180"/>
        <v>160500</v>
      </c>
      <c r="Y263" s="393">
        <f t="shared" si="174"/>
        <v>160500</v>
      </c>
    </row>
    <row r="264" spans="1:25" x14ac:dyDescent="0.2">
      <c r="A264" s="52"/>
      <c r="B264" s="52"/>
      <c r="C264" s="79"/>
      <c r="D264" s="400">
        <v>4110</v>
      </c>
      <c r="E264" s="81" t="s">
        <v>140</v>
      </c>
      <c r="F264" s="201">
        <v>346242</v>
      </c>
      <c r="G264" s="56">
        <v>255170.63</v>
      </c>
      <c r="H264" s="57">
        <f t="shared" si="177"/>
        <v>0.73697191559660591</v>
      </c>
      <c r="I264" s="58">
        <v>346242</v>
      </c>
      <c r="J264" s="1108">
        <v>400363</v>
      </c>
      <c r="K264" s="58">
        <v>-41167</v>
      </c>
      <c r="L264" s="59">
        <f t="shared" si="179"/>
        <v>359196</v>
      </c>
      <c r="M264" s="280">
        <f t="shared" si="181"/>
        <v>1.0374131387873222</v>
      </c>
      <c r="N264" s="399"/>
      <c r="O264" s="392"/>
      <c r="P264" s="392"/>
      <c r="Q264" s="393"/>
      <c r="R264" s="392"/>
      <c r="S264" s="392"/>
      <c r="T264" s="393"/>
      <c r="U264" s="393"/>
      <c r="V264" s="393"/>
      <c r="W264" s="393"/>
      <c r="X264" s="393">
        <f t="shared" si="180"/>
        <v>359196</v>
      </c>
      <c r="Y264" s="393">
        <f t="shared" si="174"/>
        <v>359196</v>
      </c>
    </row>
    <row r="265" spans="1:25" x14ac:dyDescent="0.2">
      <c r="A265" s="52"/>
      <c r="B265" s="52"/>
      <c r="C265" s="203"/>
      <c r="D265" s="402">
        <v>4120</v>
      </c>
      <c r="E265" s="119" t="s">
        <v>141</v>
      </c>
      <c r="F265" s="120">
        <v>44772</v>
      </c>
      <c r="G265" s="56">
        <v>29269.61</v>
      </c>
      <c r="H265" s="57">
        <f t="shared" si="177"/>
        <v>0.65374810149200391</v>
      </c>
      <c r="I265" s="58">
        <v>44772</v>
      </c>
      <c r="J265" s="1108">
        <v>57154</v>
      </c>
      <c r="K265" s="58">
        <v>-11555</v>
      </c>
      <c r="L265" s="59">
        <f t="shared" si="179"/>
        <v>45599</v>
      </c>
      <c r="M265" s="280">
        <f t="shared" si="181"/>
        <v>1.0184713660323417</v>
      </c>
      <c r="N265" s="399"/>
      <c r="O265" s="392"/>
      <c r="P265" s="392"/>
      <c r="Q265" s="393"/>
      <c r="R265" s="392"/>
      <c r="S265" s="392"/>
      <c r="T265" s="393"/>
      <c r="U265" s="393"/>
      <c r="V265" s="393"/>
      <c r="W265" s="393"/>
      <c r="X265" s="393">
        <f t="shared" si="180"/>
        <v>45599</v>
      </c>
      <c r="Y265" s="393">
        <f t="shared" si="174"/>
        <v>45599</v>
      </c>
    </row>
    <row r="266" spans="1:25" x14ac:dyDescent="0.2">
      <c r="A266" s="52"/>
      <c r="B266" s="52"/>
      <c r="C266" s="240"/>
      <c r="D266" s="446">
        <v>4170</v>
      </c>
      <c r="E266" s="199" t="s">
        <v>148</v>
      </c>
      <c r="F266" s="415">
        <v>4000</v>
      </c>
      <c r="G266" s="100">
        <v>4000</v>
      </c>
      <c r="H266" s="101">
        <f t="shared" si="177"/>
        <v>1</v>
      </c>
      <c r="I266" s="102">
        <v>4000</v>
      </c>
      <c r="J266" s="1112">
        <v>5500</v>
      </c>
      <c r="K266" s="58"/>
      <c r="L266" s="59">
        <f t="shared" si="179"/>
        <v>5500</v>
      </c>
      <c r="M266" s="280">
        <f t="shared" si="181"/>
        <v>1.375</v>
      </c>
      <c r="N266" s="399"/>
      <c r="O266" s="392"/>
      <c r="P266" s="392"/>
      <c r="Q266" s="393"/>
      <c r="R266" s="392"/>
      <c r="S266" s="392"/>
      <c r="T266" s="393"/>
      <c r="U266" s="393"/>
      <c r="V266" s="393"/>
      <c r="W266" s="393"/>
      <c r="X266" s="393">
        <f t="shared" si="180"/>
        <v>5500</v>
      </c>
      <c r="Y266" s="393">
        <f t="shared" si="174"/>
        <v>5500</v>
      </c>
    </row>
    <row r="267" spans="1:25" x14ac:dyDescent="0.2">
      <c r="A267" s="52"/>
      <c r="B267" s="52"/>
      <c r="C267" s="79"/>
      <c r="D267" s="400">
        <v>4210</v>
      </c>
      <c r="E267" s="81" t="s">
        <v>142</v>
      </c>
      <c r="F267" s="82">
        <v>106802</v>
      </c>
      <c r="G267" s="56">
        <v>62171.22</v>
      </c>
      <c r="H267" s="57">
        <f t="shared" si="177"/>
        <v>0.58211662702945643</v>
      </c>
      <c r="I267" s="58">
        <v>106802</v>
      </c>
      <c r="J267" s="1108">
        <v>118722</v>
      </c>
      <c r="K267" s="58">
        <v>-20000</v>
      </c>
      <c r="L267" s="59">
        <f t="shared" si="179"/>
        <v>98722</v>
      </c>
      <c r="M267" s="280">
        <f t="shared" si="181"/>
        <v>0.92434598603022411</v>
      </c>
      <c r="N267" s="399"/>
      <c r="O267" s="392"/>
      <c r="P267" s="392"/>
      <c r="Q267" s="393"/>
      <c r="R267" s="392"/>
      <c r="S267" s="392"/>
      <c r="T267" s="393"/>
      <c r="U267" s="393"/>
      <c r="V267" s="393"/>
      <c r="W267" s="393"/>
      <c r="X267" s="393">
        <f t="shared" si="180"/>
        <v>98722</v>
      </c>
      <c r="Y267" s="393">
        <f t="shared" si="174"/>
        <v>98722</v>
      </c>
    </row>
    <row r="268" spans="1:25" x14ac:dyDescent="0.2">
      <c r="A268" s="52"/>
      <c r="B268" s="52"/>
      <c r="C268" s="79"/>
      <c r="D268" s="400">
        <v>4220</v>
      </c>
      <c r="E268" s="81" t="s">
        <v>220</v>
      </c>
      <c r="F268" s="201">
        <v>268000</v>
      </c>
      <c r="G268" s="56">
        <v>178040.75</v>
      </c>
      <c r="H268" s="57">
        <f t="shared" si="177"/>
        <v>0.66433115671641796</v>
      </c>
      <c r="I268" s="58">
        <v>268000</v>
      </c>
      <c r="J268" s="1108">
        <v>295000</v>
      </c>
      <c r="K268" s="58"/>
      <c r="L268" s="59">
        <f t="shared" si="179"/>
        <v>295000</v>
      </c>
      <c r="M268" s="280">
        <f t="shared" si="181"/>
        <v>1.1007462686567164</v>
      </c>
      <c r="N268" s="399"/>
      <c r="O268" s="392"/>
      <c r="P268" s="392"/>
      <c r="Q268" s="393"/>
      <c r="R268" s="392"/>
      <c r="S268" s="392"/>
      <c r="T268" s="393"/>
      <c r="U268" s="393"/>
      <c r="V268" s="393"/>
      <c r="W268" s="393"/>
      <c r="X268" s="393">
        <f t="shared" si="180"/>
        <v>295000</v>
      </c>
      <c r="Y268" s="393">
        <f t="shared" si="174"/>
        <v>295000</v>
      </c>
    </row>
    <row r="269" spans="1:25" ht="22.5" x14ac:dyDescent="0.2">
      <c r="A269" s="52"/>
      <c r="B269" s="52"/>
      <c r="C269" s="53"/>
      <c r="D269" s="398">
        <v>4230</v>
      </c>
      <c r="E269" s="25" t="s">
        <v>183</v>
      </c>
      <c r="F269" s="577">
        <v>450</v>
      </c>
      <c r="G269" s="56">
        <v>106.92</v>
      </c>
      <c r="H269" s="57">
        <f t="shared" si="177"/>
        <v>0.23760000000000001</v>
      </c>
      <c r="I269" s="58">
        <v>450</v>
      </c>
      <c r="J269" s="1108">
        <v>0</v>
      </c>
      <c r="K269" s="58"/>
      <c r="L269" s="59">
        <f t="shared" si="179"/>
        <v>0</v>
      </c>
      <c r="M269" s="280">
        <f t="shared" si="181"/>
        <v>0</v>
      </c>
      <c r="N269" s="399"/>
      <c r="O269" s="392"/>
      <c r="P269" s="392"/>
      <c r="Q269" s="393"/>
      <c r="R269" s="392"/>
      <c r="S269" s="392"/>
      <c r="T269" s="393"/>
      <c r="U269" s="393"/>
      <c r="V269" s="393"/>
      <c r="W269" s="393"/>
      <c r="X269" s="393">
        <f t="shared" si="180"/>
        <v>0</v>
      </c>
      <c r="Y269" s="393">
        <f t="shared" si="174"/>
        <v>0</v>
      </c>
    </row>
    <row r="270" spans="1:25" ht="22.5" x14ac:dyDescent="0.2">
      <c r="A270" s="52"/>
      <c r="B270" s="52"/>
      <c r="C270" s="203"/>
      <c r="D270" s="402">
        <v>4240</v>
      </c>
      <c r="E270" s="119" t="s">
        <v>184</v>
      </c>
      <c r="F270" s="491">
        <v>3150</v>
      </c>
      <c r="G270" s="56">
        <v>1684.57</v>
      </c>
      <c r="H270" s="57">
        <f t="shared" si="177"/>
        <v>0.53478412698412692</v>
      </c>
      <c r="I270" s="58">
        <v>3150</v>
      </c>
      <c r="J270" s="1108">
        <v>3150</v>
      </c>
      <c r="K270" s="58"/>
      <c r="L270" s="59">
        <f t="shared" si="179"/>
        <v>3150</v>
      </c>
      <c r="M270" s="280">
        <f t="shared" si="181"/>
        <v>1</v>
      </c>
      <c r="N270" s="399"/>
      <c r="O270" s="392"/>
      <c r="P270" s="392"/>
      <c r="Q270" s="393"/>
      <c r="R270" s="392"/>
      <c r="S270" s="392"/>
      <c r="T270" s="393"/>
      <c r="U270" s="393"/>
      <c r="V270" s="393"/>
      <c r="W270" s="393"/>
      <c r="X270" s="393">
        <f t="shared" si="180"/>
        <v>3150</v>
      </c>
      <c r="Y270" s="393">
        <f t="shared" si="174"/>
        <v>3150</v>
      </c>
    </row>
    <row r="271" spans="1:25" x14ac:dyDescent="0.2">
      <c r="A271" s="52"/>
      <c r="B271" s="52"/>
      <c r="C271" s="159"/>
      <c r="D271" s="309">
        <v>4260</v>
      </c>
      <c r="E271" s="122" t="s">
        <v>149</v>
      </c>
      <c r="F271" s="204">
        <v>268200</v>
      </c>
      <c r="G271" s="100">
        <v>179609.77</v>
      </c>
      <c r="H271" s="101">
        <f t="shared" si="177"/>
        <v>0.66968594332587617</v>
      </c>
      <c r="I271" s="102">
        <v>258709.77</v>
      </c>
      <c r="J271" s="1112">
        <v>276000</v>
      </c>
      <c r="K271" s="102">
        <v>-8500</v>
      </c>
      <c r="L271" s="103">
        <f t="shared" si="179"/>
        <v>267500</v>
      </c>
      <c r="M271" s="259">
        <f t="shared" si="181"/>
        <v>0.99739000745712159</v>
      </c>
      <c r="N271" s="399"/>
      <c r="O271" s="392"/>
      <c r="P271" s="392"/>
      <c r="Q271" s="393"/>
      <c r="R271" s="392"/>
      <c r="S271" s="392"/>
      <c r="T271" s="393"/>
      <c r="U271" s="393"/>
      <c r="V271" s="393"/>
      <c r="W271" s="393"/>
      <c r="X271" s="393">
        <f t="shared" si="180"/>
        <v>267500</v>
      </c>
      <c r="Y271" s="393">
        <f t="shared" si="174"/>
        <v>267500</v>
      </c>
    </row>
    <row r="272" spans="1:25" x14ac:dyDescent="0.2">
      <c r="A272" s="52"/>
      <c r="B272" s="52"/>
      <c r="C272" s="240"/>
      <c r="D272" s="446">
        <v>4270</v>
      </c>
      <c r="E272" s="199" t="s">
        <v>154</v>
      </c>
      <c r="F272" s="445">
        <v>44000</v>
      </c>
      <c r="G272" s="100">
        <v>38842.36</v>
      </c>
      <c r="H272" s="57">
        <f t="shared" si="177"/>
        <v>0.88278090909090912</v>
      </c>
      <c r="I272" s="102">
        <v>43842.36</v>
      </c>
      <c r="J272" s="1112">
        <v>6000</v>
      </c>
      <c r="K272" s="58"/>
      <c r="L272" s="59">
        <f t="shared" si="179"/>
        <v>6000</v>
      </c>
      <c r="M272" s="280">
        <f t="shared" si="181"/>
        <v>0.13636363636363635</v>
      </c>
      <c r="N272" s="466"/>
      <c r="O272" s="392"/>
      <c r="P272" s="392"/>
      <c r="Q272" s="393"/>
      <c r="R272" s="392"/>
      <c r="S272" s="392"/>
      <c r="T272" s="393"/>
      <c r="U272" s="393"/>
      <c r="V272" s="393"/>
      <c r="W272" s="393"/>
      <c r="X272" s="393">
        <f t="shared" si="180"/>
        <v>6000</v>
      </c>
      <c r="Y272" s="393">
        <f t="shared" si="174"/>
        <v>6000</v>
      </c>
    </row>
    <row r="273" spans="1:25" x14ac:dyDescent="0.2">
      <c r="A273" s="52"/>
      <c r="B273" s="52"/>
      <c r="C273" s="203"/>
      <c r="D273" s="402">
        <v>4280</v>
      </c>
      <c r="E273" s="119" t="s">
        <v>185</v>
      </c>
      <c r="F273" s="491">
        <v>4465</v>
      </c>
      <c r="G273" s="56">
        <v>3095</v>
      </c>
      <c r="H273" s="57">
        <f t="shared" si="177"/>
        <v>0.69316909294512874</v>
      </c>
      <c r="I273" s="58">
        <v>5616</v>
      </c>
      <c r="J273" s="1108">
        <v>4300</v>
      </c>
      <c r="K273" s="58"/>
      <c r="L273" s="59">
        <f t="shared" si="179"/>
        <v>4300</v>
      </c>
      <c r="M273" s="280">
        <f t="shared" si="181"/>
        <v>0.96304591265397532</v>
      </c>
      <c r="N273" s="399"/>
      <c r="O273" s="392"/>
      <c r="P273" s="392"/>
      <c r="Q273" s="393"/>
      <c r="R273" s="392"/>
      <c r="S273" s="392"/>
      <c r="T273" s="393"/>
      <c r="U273" s="393"/>
      <c r="V273" s="393"/>
      <c r="W273" s="393"/>
      <c r="X273" s="393">
        <f t="shared" si="180"/>
        <v>4300</v>
      </c>
      <c r="Y273" s="393">
        <f t="shared" si="174"/>
        <v>4300</v>
      </c>
    </row>
    <row r="274" spans="1:25" x14ac:dyDescent="0.2">
      <c r="A274" s="52"/>
      <c r="B274" s="52"/>
      <c r="C274" s="240"/>
      <c r="D274" s="468">
        <v>4300</v>
      </c>
      <c r="E274" s="125" t="s">
        <v>143</v>
      </c>
      <c r="F274" s="126">
        <v>66164</v>
      </c>
      <c r="G274" s="56">
        <v>46534.59</v>
      </c>
      <c r="H274" s="57">
        <f t="shared" si="177"/>
        <v>0.70332189710416537</v>
      </c>
      <c r="I274" s="58">
        <v>63429.440000000002</v>
      </c>
      <c r="J274" s="1108">
        <v>69764</v>
      </c>
      <c r="K274" s="58">
        <v>-3600</v>
      </c>
      <c r="L274" s="59">
        <f t="shared" si="179"/>
        <v>66164</v>
      </c>
      <c r="M274" s="280">
        <f t="shared" si="181"/>
        <v>1</v>
      </c>
      <c r="N274" s="399"/>
      <c r="O274" s="392"/>
      <c r="P274" s="392"/>
      <c r="Q274" s="393"/>
      <c r="R274" s="392"/>
      <c r="S274" s="392"/>
      <c r="T274" s="393"/>
      <c r="U274" s="393"/>
      <c r="V274" s="393"/>
      <c r="W274" s="393"/>
      <c r="X274" s="393">
        <f t="shared" si="180"/>
        <v>66164</v>
      </c>
      <c r="Y274" s="393">
        <f t="shared" si="174"/>
        <v>66164</v>
      </c>
    </row>
    <row r="275" spans="1:25" x14ac:dyDescent="0.2">
      <c r="A275" s="52"/>
      <c r="B275" s="52"/>
      <c r="C275" s="159"/>
      <c r="D275" s="309">
        <v>4360</v>
      </c>
      <c r="E275" s="122" t="s">
        <v>364</v>
      </c>
      <c r="F275" s="524">
        <v>7950</v>
      </c>
      <c r="G275" s="100">
        <v>4739.1899999999996</v>
      </c>
      <c r="H275" s="101">
        <f t="shared" si="177"/>
        <v>0.59612452830188678</v>
      </c>
      <c r="I275" s="102">
        <v>6318.92</v>
      </c>
      <c r="J275" s="1112">
        <v>9200</v>
      </c>
      <c r="K275" s="102"/>
      <c r="L275" s="103">
        <f t="shared" si="179"/>
        <v>9200</v>
      </c>
      <c r="M275" s="259">
        <f t="shared" si="181"/>
        <v>1.1572327044025157</v>
      </c>
      <c r="N275" s="399"/>
      <c r="O275" s="392"/>
      <c r="P275" s="392"/>
      <c r="Q275" s="393"/>
      <c r="R275" s="392"/>
      <c r="S275" s="392"/>
      <c r="T275" s="393"/>
      <c r="U275" s="393"/>
      <c r="V275" s="393"/>
      <c r="W275" s="393"/>
      <c r="X275" s="393">
        <f t="shared" si="180"/>
        <v>9200</v>
      </c>
      <c r="Y275" s="393">
        <f t="shared" si="174"/>
        <v>9200</v>
      </c>
    </row>
    <row r="276" spans="1:25" x14ac:dyDescent="0.2">
      <c r="A276" s="52"/>
      <c r="B276" s="52"/>
      <c r="C276" s="79"/>
      <c r="D276" s="400">
        <v>4410</v>
      </c>
      <c r="E276" s="81" t="s">
        <v>144</v>
      </c>
      <c r="F276" s="134">
        <v>6550</v>
      </c>
      <c r="G276" s="56">
        <v>5105.62</v>
      </c>
      <c r="H276" s="57">
        <f t="shared" si="177"/>
        <v>0.7794839694656488</v>
      </c>
      <c r="I276" s="58">
        <v>6550</v>
      </c>
      <c r="J276" s="1108">
        <v>3500</v>
      </c>
      <c r="K276" s="58"/>
      <c r="L276" s="59">
        <f t="shared" si="179"/>
        <v>3500</v>
      </c>
      <c r="M276" s="280">
        <f t="shared" si="181"/>
        <v>0.53435114503816794</v>
      </c>
      <c r="N276" s="399"/>
      <c r="O276" s="392"/>
      <c r="P276" s="392"/>
      <c r="Q276" s="393"/>
      <c r="R276" s="392"/>
      <c r="S276" s="392"/>
      <c r="T276" s="393"/>
      <c r="U276" s="393"/>
      <c r="V276" s="393"/>
      <c r="W276" s="393"/>
      <c r="X276" s="393">
        <f t="shared" si="180"/>
        <v>3500</v>
      </c>
      <c r="Y276" s="393">
        <f t="shared" si="174"/>
        <v>3500</v>
      </c>
    </row>
    <row r="277" spans="1:25" x14ac:dyDescent="0.2">
      <c r="A277" s="52"/>
      <c r="B277" s="52"/>
      <c r="C277" s="79"/>
      <c r="D277" s="400">
        <v>4430</v>
      </c>
      <c r="E277" s="81" t="s">
        <v>145</v>
      </c>
      <c r="F277" s="134">
        <v>1107</v>
      </c>
      <c r="G277" s="56">
        <v>1096</v>
      </c>
      <c r="H277" s="57">
        <f t="shared" si="177"/>
        <v>0.99006323396567297</v>
      </c>
      <c r="I277" s="58">
        <v>1096</v>
      </c>
      <c r="J277" s="1108">
        <v>1190</v>
      </c>
      <c r="K277" s="58"/>
      <c r="L277" s="59">
        <f t="shared" si="179"/>
        <v>1190</v>
      </c>
      <c r="M277" s="280">
        <f t="shared" si="181"/>
        <v>1.074977416440831</v>
      </c>
      <c r="N277" s="399"/>
      <c r="O277" s="392"/>
      <c r="P277" s="392"/>
      <c r="Q277" s="393"/>
      <c r="R277" s="392"/>
      <c r="S277" s="392"/>
      <c r="T277" s="393"/>
      <c r="U277" s="393"/>
      <c r="V277" s="393"/>
      <c r="W277" s="393"/>
      <c r="X277" s="393">
        <f t="shared" si="180"/>
        <v>1190</v>
      </c>
      <c r="Y277" s="393">
        <f t="shared" si="174"/>
        <v>1190</v>
      </c>
    </row>
    <row r="278" spans="1:25" ht="22.5" x14ac:dyDescent="0.2">
      <c r="A278" s="52"/>
      <c r="B278" s="52"/>
      <c r="C278" s="79"/>
      <c r="D278" s="400">
        <v>4440</v>
      </c>
      <c r="E278" s="81" t="s">
        <v>191</v>
      </c>
      <c r="F278" s="201">
        <v>110331</v>
      </c>
      <c r="G278" s="56">
        <v>110331</v>
      </c>
      <c r="H278" s="57">
        <f t="shared" si="177"/>
        <v>1</v>
      </c>
      <c r="I278" s="58">
        <v>110331</v>
      </c>
      <c r="J278" s="1108">
        <v>121066</v>
      </c>
      <c r="K278" s="58"/>
      <c r="L278" s="59">
        <f t="shared" si="179"/>
        <v>121066</v>
      </c>
      <c r="M278" s="280">
        <f t="shared" si="181"/>
        <v>1.0972981301719371</v>
      </c>
      <c r="N278" s="399"/>
      <c r="O278" s="392"/>
      <c r="P278" s="392"/>
      <c r="Q278" s="393"/>
      <c r="R278" s="392"/>
      <c r="S278" s="392"/>
      <c r="T278" s="393"/>
      <c r="U278" s="393"/>
      <c r="V278" s="393"/>
      <c r="W278" s="393"/>
      <c r="X278" s="393">
        <f t="shared" si="180"/>
        <v>121066</v>
      </c>
      <c r="Y278" s="393">
        <f t="shared" si="174"/>
        <v>121066</v>
      </c>
    </row>
    <row r="279" spans="1:25" x14ac:dyDescent="0.2">
      <c r="A279" s="52"/>
      <c r="B279" s="52"/>
      <c r="C279" s="79"/>
      <c r="D279" s="400">
        <v>4480</v>
      </c>
      <c r="E279" s="81" t="s">
        <v>53</v>
      </c>
      <c r="F279" s="144">
        <v>323</v>
      </c>
      <c r="G279" s="56">
        <v>300</v>
      </c>
      <c r="H279" s="57">
        <f t="shared" si="177"/>
        <v>0.92879256965944268</v>
      </c>
      <c r="I279" s="58">
        <v>323</v>
      </c>
      <c r="J279" s="1108">
        <v>355</v>
      </c>
      <c r="K279" s="58"/>
      <c r="L279" s="59">
        <f t="shared" si="179"/>
        <v>355</v>
      </c>
      <c r="M279" s="280">
        <f t="shared" si="181"/>
        <v>1.0990712074303406</v>
      </c>
      <c r="N279" s="399"/>
      <c r="O279" s="392"/>
      <c r="P279" s="392"/>
      <c r="Q279" s="393"/>
      <c r="R279" s="392"/>
      <c r="S279" s="392"/>
      <c r="T279" s="393"/>
      <c r="U279" s="393"/>
      <c r="V279" s="393"/>
      <c r="W279" s="393"/>
      <c r="X279" s="393">
        <f t="shared" si="180"/>
        <v>355</v>
      </c>
      <c r="Y279" s="393">
        <f t="shared" si="174"/>
        <v>355</v>
      </c>
    </row>
    <row r="280" spans="1:25" x14ac:dyDescent="0.2">
      <c r="A280" s="52"/>
      <c r="B280" s="52"/>
      <c r="C280" s="159"/>
      <c r="D280" s="309">
        <v>6050</v>
      </c>
      <c r="E280" s="213" t="s">
        <v>147</v>
      </c>
      <c r="F280" s="933">
        <v>25000</v>
      </c>
      <c r="G280" s="162">
        <v>24996.720000000001</v>
      </c>
      <c r="H280" s="57">
        <f t="shared" si="177"/>
        <v>0.9998688</v>
      </c>
      <c r="I280" s="162">
        <v>24996.720000000001</v>
      </c>
      <c r="J280" s="1112">
        <v>0</v>
      </c>
      <c r="K280" s="58"/>
      <c r="L280" s="59">
        <f t="shared" si="179"/>
        <v>0</v>
      </c>
      <c r="M280" s="280">
        <f t="shared" si="181"/>
        <v>0</v>
      </c>
      <c r="N280" s="466"/>
      <c r="O280" s="467"/>
      <c r="P280" s="467"/>
      <c r="Q280" s="884"/>
      <c r="R280" s="467"/>
      <c r="S280" s="467"/>
      <c r="T280" s="884"/>
      <c r="U280" s="884"/>
      <c r="V280" s="884"/>
      <c r="W280" s="884"/>
      <c r="X280" s="393">
        <f t="shared" si="180"/>
        <v>0</v>
      </c>
      <c r="Y280" s="393">
        <f t="shared" si="174"/>
        <v>0</v>
      </c>
    </row>
    <row r="281" spans="1:25" ht="22.5" x14ac:dyDescent="0.2">
      <c r="A281" s="52"/>
      <c r="B281" s="52"/>
      <c r="C281" s="333"/>
      <c r="D281" s="468">
        <v>6060</v>
      </c>
      <c r="E281" s="119" t="s">
        <v>164</v>
      </c>
      <c r="F281" s="934">
        <v>10500</v>
      </c>
      <c r="G281" s="94">
        <v>0</v>
      </c>
      <c r="H281" s="57">
        <f t="shared" si="177"/>
        <v>0</v>
      </c>
      <c r="I281" s="94">
        <v>10500</v>
      </c>
      <c r="J281" s="1108">
        <v>0</v>
      </c>
      <c r="K281" s="58"/>
      <c r="L281" s="59">
        <f t="shared" si="179"/>
        <v>0</v>
      </c>
      <c r="M281" s="280">
        <f t="shared" si="181"/>
        <v>0</v>
      </c>
      <c r="N281" s="399"/>
      <c r="O281" s="467"/>
      <c r="P281" s="467"/>
      <c r="Q281" s="884"/>
      <c r="R281" s="467"/>
      <c r="S281" s="467"/>
      <c r="T281" s="884"/>
      <c r="U281" s="884"/>
      <c r="V281" s="884"/>
      <c r="W281" s="884"/>
      <c r="X281" s="393">
        <f t="shared" si="180"/>
        <v>0</v>
      </c>
      <c r="Y281" s="393">
        <f t="shared" si="174"/>
        <v>0</v>
      </c>
    </row>
    <row r="282" spans="1:25" x14ac:dyDescent="0.2">
      <c r="A282" s="52"/>
      <c r="B282" s="188">
        <v>80110</v>
      </c>
      <c r="C282" s="232"/>
      <c r="D282" s="233"/>
      <c r="E282" s="234" t="s">
        <v>84</v>
      </c>
      <c r="F282" s="235">
        <f>SUM(F283:F303)</f>
        <v>4710123.0900000008</v>
      </c>
      <c r="G282" s="235">
        <f t="shared" ref="G282:I282" si="182">SUM(G283:G303)</f>
        <v>3691265.14</v>
      </c>
      <c r="H282" s="176">
        <f t="shared" si="177"/>
        <v>0.78368761696204414</v>
      </c>
      <c r="I282" s="235">
        <f t="shared" si="182"/>
        <v>4593889.2600000007</v>
      </c>
      <c r="J282" s="1122">
        <f>SUM(J283:J303)</f>
        <v>4657718</v>
      </c>
      <c r="K282" s="1006">
        <f t="shared" ref="K282:L282" si="183">SUM(K283:K303)</f>
        <v>-135123</v>
      </c>
      <c r="L282" s="238">
        <f t="shared" si="183"/>
        <v>4522595</v>
      </c>
      <c r="M282" s="78">
        <f t="shared" si="181"/>
        <v>0.96018615938124008</v>
      </c>
      <c r="N282" s="810"/>
      <c r="O282" s="528">
        <f t="shared" ref="O282:X282" si="184">SUM(O283:O303)</f>
        <v>0</v>
      </c>
      <c r="P282" s="528">
        <f t="shared" si="184"/>
        <v>0</v>
      </c>
      <c r="Q282" s="528">
        <f t="shared" si="184"/>
        <v>0</v>
      </c>
      <c r="R282" s="528">
        <f t="shared" si="184"/>
        <v>0</v>
      </c>
      <c r="S282" s="528">
        <f t="shared" si="184"/>
        <v>0</v>
      </c>
      <c r="T282" s="528">
        <f t="shared" si="184"/>
        <v>1833564</v>
      </c>
      <c r="U282" s="528">
        <f t="shared" si="184"/>
        <v>0</v>
      </c>
      <c r="V282" s="528">
        <f t="shared" si="184"/>
        <v>0</v>
      </c>
      <c r="W282" s="528">
        <f t="shared" si="184"/>
        <v>0</v>
      </c>
      <c r="X282" s="528">
        <f t="shared" si="184"/>
        <v>2689031</v>
      </c>
      <c r="Y282" s="528">
        <f>SUM(O282:X282)</f>
        <v>4522595</v>
      </c>
    </row>
    <row r="283" spans="1:25" ht="45" x14ac:dyDescent="0.2">
      <c r="A283" s="52"/>
      <c r="B283" s="52"/>
      <c r="C283" s="333"/>
      <c r="D283" s="468">
        <v>2320</v>
      </c>
      <c r="E283" s="125" t="s">
        <v>221</v>
      </c>
      <c r="F283" s="334">
        <v>1253564</v>
      </c>
      <c r="G283" s="56">
        <v>1061258</v>
      </c>
      <c r="H283" s="57">
        <f t="shared" si="177"/>
        <v>0.84659259519258689</v>
      </c>
      <c r="I283" s="58">
        <v>1253564</v>
      </c>
      <c r="J283" s="1108">
        <v>1253564</v>
      </c>
      <c r="K283" s="1206">
        <v>-50000</v>
      </c>
      <c r="L283" s="59">
        <f>J283+K283</f>
        <v>1203564</v>
      </c>
      <c r="M283" s="280">
        <f t="shared" si="181"/>
        <v>0.96011372375084159</v>
      </c>
      <c r="N283" s="399" t="s">
        <v>222</v>
      </c>
      <c r="O283" s="392"/>
      <c r="P283" s="392"/>
      <c r="Q283" s="393"/>
      <c r="R283" s="392"/>
      <c r="S283" s="392"/>
      <c r="T283" s="393">
        <f>L283</f>
        <v>1203564</v>
      </c>
      <c r="U283" s="393"/>
      <c r="V283" s="393"/>
      <c r="W283" s="393"/>
      <c r="X283" s="393"/>
      <c r="Y283" s="393">
        <f>SUM(O283:X283)</f>
        <v>1203564</v>
      </c>
    </row>
    <row r="284" spans="1:25" ht="29.25" x14ac:dyDescent="0.2">
      <c r="A284" s="52"/>
      <c r="B284" s="52"/>
      <c r="C284" s="333"/>
      <c r="D284" s="468">
        <v>2540</v>
      </c>
      <c r="E284" s="125" t="s">
        <v>219</v>
      </c>
      <c r="F284" s="196">
        <v>590106</v>
      </c>
      <c r="G284" s="56">
        <v>439826.5</v>
      </c>
      <c r="H284" s="57">
        <f t="shared" si="177"/>
        <v>0.74533473647107473</v>
      </c>
      <c r="I284" s="58">
        <v>585040</v>
      </c>
      <c r="J284" s="1108">
        <v>630000</v>
      </c>
      <c r="K284" s="1216"/>
      <c r="L284" s="59">
        <f t="shared" ref="L284:L303" si="185">J284+K284</f>
        <v>630000</v>
      </c>
      <c r="M284" s="280">
        <f t="shared" si="181"/>
        <v>1.067604803204848</v>
      </c>
      <c r="N284" s="399" t="s">
        <v>223</v>
      </c>
      <c r="O284" s="392"/>
      <c r="P284" s="392"/>
      <c r="Q284" s="393"/>
      <c r="R284" s="392"/>
      <c r="S284" s="392"/>
      <c r="T284" s="393">
        <f>J284</f>
        <v>630000</v>
      </c>
      <c r="U284" s="393"/>
      <c r="V284" s="393"/>
      <c r="W284" s="393"/>
      <c r="X284" s="393"/>
      <c r="Y284" s="393">
        <f t="shared" ref="Y284:Y303" si="186">SUM(O284:X284)</f>
        <v>630000</v>
      </c>
    </row>
    <row r="285" spans="1:25" ht="33.75" x14ac:dyDescent="0.2">
      <c r="A285" s="52"/>
      <c r="B285" s="52"/>
      <c r="C285" s="333"/>
      <c r="D285" s="468">
        <v>2820</v>
      </c>
      <c r="E285" s="125" t="s">
        <v>199</v>
      </c>
      <c r="F285" s="935">
        <v>7871.08</v>
      </c>
      <c r="G285" s="100">
        <v>7326.54</v>
      </c>
      <c r="H285" s="57">
        <f t="shared" si="177"/>
        <v>0.93081762604369411</v>
      </c>
      <c r="I285" s="102">
        <v>7326.54</v>
      </c>
      <c r="J285" s="1112">
        <v>0</v>
      </c>
      <c r="K285" s="102"/>
      <c r="L285" s="59">
        <f t="shared" si="185"/>
        <v>0</v>
      </c>
      <c r="M285" s="280">
        <f t="shared" si="181"/>
        <v>0</v>
      </c>
      <c r="N285" s="399"/>
      <c r="O285" s="392"/>
      <c r="P285" s="392"/>
      <c r="Q285" s="393"/>
      <c r="R285" s="392"/>
      <c r="S285" s="392"/>
      <c r="T285" s="393">
        <f>J285</f>
        <v>0</v>
      </c>
      <c r="U285" s="393"/>
      <c r="V285" s="393"/>
      <c r="W285" s="393"/>
      <c r="X285" s="884"/>
      <c r="Y285" s="393">
        <f t="shared" si="186"/>
        <v>0</v>
      </c>
    </row>
    <row r="286" spans="1:25" x14ac:dyDescent="0.2">
      <c r="A286" s="52"/>
      <c r="B286" s="52"/>
      <c r="C286" s="240"/>
      <c r="D286" s="446">
        <v>3020</v>
      </c>
      <c r="E286" s="199" t="s">
        <v>174</v>
      </c>
      <c r="F286" s="445">
        <v>109410</v>
      </c>
      <c r="G286" s="100">
        <v>73592.91</v>
      </c>
      <c r="H286" s="57">
        <f t="shared" si="177"/>
        <v>0.67263421990677275</v>
      </c>
      <c r="I286" s="102">
        <v>108655.92</v>
      </c>
      <c r="J286" s="1112">
        <v>81342</v>
      </c>
      <c r="K286" s="102">
        <v>-60</v>
      </c>
      <c r="L286" s="59">
        <f t="shared" si="185"/>
        <v>81282</v>
      </c>
      <c r="M286" s="280">
        <f t="shared" si="181"/>
        <v>0.74291198245132983</v>
      </c>
      <c r="N286" s="399"/>
      <c r="O286" s="392"/>
      <c r="P286" s="392"/>
      <c r="Q286" s="393"/>
      <c r="R286" s="392"/>
      <c r="S286" s="392"/>
      <c r="T286" s="393"/>
      <c r="U286" s="393"/>
      <c r="V286" s="393"/>
      <c r="W286" s="393"/>
      <c r="X286" s="884">
        <f>L286</f>
        <v>81282</v>
      </c>
      <c r="Y286" s="393">
        <f t="shared" si="186"/>
        <v>81282</v>
      </c>
    </row>
    <row r="287" spans="1:25" x14ac:dyDescent="0.2">
      <c r="A287" s="52"/>
      <c r="B287" s="52"/>
      <c r="C287" s="203"/>
      <c r="D287" s="402">
        <v>3240</v>
      </c>
      <c r="E287" s="119" t="s">
        <v>213</v>
      </c>
      <c r="F287" s="491">
        <v>1400</v>
      </c>
      <c r="G287" s="56">
        <v>1300</v>
      </c>
      <c r="H287" s="57">
        <f t="shared" si="177"/>
        <v>0.9285714285714286</v>
      </c>
      <c r="I287" s="58">
        <v>1300</v>
      </c>
      <c r="J287" s="1108">
        <v>1600</v>
      </c>
      <c r="K287" s="58"/>
      <c r="L287" s="59">
        <f t="shared" si="185"/>
        <v>1600</v>
      </c>
      <c r="M287" s="280">
        <f t="shared" si="181"/>
        <v>1.1428571428571428</v>
      </c>
      <c r="N287" s="399"/>
      <c r="O287" s="392"/>
      <c r="P287" s="392"/>
      <c r="Q287" s="393"/>
      <c r="R287" s="392"/>
      <c r="S287" s="392"/>
      <c r="T287" s="393"/>
      <c r="U287" s="393"/>
      <c r="V287" s="393"/>
      <c r="W287" s="393"/>
      <c r="X287" s="884">
        <f t="shared" ref="X287:X303" si="187">L287</f>
        <v>1600</v>
      </c>
      <c r="Y287" s="393">
        <f t="shared" si="186"/>
        <v>1600</v>
      </c>
    </row>
    <row r="288" spans="1:25" x14ac:dyDescent="0.2">
      <c r="A288" s="52"/>
      <c r="B288" s="52"/>
      <c r="C288" s="240"/>
      <c r="D288" s="446">
        <v>4010</v>
      </c>
      <c r="E288" s="199" t="s">
        <v>139</v>
      </c>
      <c r="F288" s="579">
        <v>1725435</v>
      </c>
      <c r="G288" s="100">
        <v>1315894.53</v>
      </c>
      <c r="H288" s="57">
        <f t="shared" si="177"/>
        <v>0.76264508949916976</v>
      </c>
      <c r="I288" s="102">
        <v>1725435</v>
      </c>
      <c r="J288" s="1112">
        <v>1713206</v>
      </c>
      <c r="K288" s="102">
        <v>-20200</v>
      </c>
      <c r="L288" s="59">
        <f t="shared" si="185"/>
        <v>1693006</v>
      </c>
      <c r="M288" s="280">
        <f t="shared" si="181"/>
        <v>0.98120531923833698</v>
      </c>
      <c r="N288" s="466"/>
      <c r="O288" s="392"/>
      <c r="P288" s="392"/>
      <c r="Q288" s="393"/>
      <c r="R288" s="392"/>
      <c r="S288" s="392"/>
      <c r="T288" s="393"/>
      <c r="U288" s="393"/>
      <c r="V288" s="393"/>
      <c r="W288" s="393"/>
      <c r="X288" s="884">
        <f t="shared" si="187"/>
        <v>1693006</v>
      </c>
      <c r="Y288" s="393">
        <f t="shared" si="186"/>
        <v>1693006</v>
      </c>
    </row>
    <row r="289" spans="1:25" x14ac:dyDescent="0.2">
      <c r="A289" s="52"/>
      <c r="B289" s="52"/>
      <c r="C289" s="79"/>
      <c r="D289" s="400">
        <v>4040</v>
      </c>
      <c r="E289" s="81" t="s">
        <v>169</v>
      </c>
      <c r="F289" s="201">
        <v>160466</v>
      </c>
      <c r="G289" s="56">
        <v>158814.28</v>
      </c>
      <c r="H289" s="57">
        <f t="shared" si="177"/>
        <v>0.98970672915134672</v>
      </c>
      <c r="I289" s="58">
        <v>158814.28</v>
      </c>
      <c r="J289" s="1108">
        <v>151000</v>
      </c>
      <c r="K289" s="58">
        <v>-2000</v>
      </c>
      <c r="L289" s="59">
        <f t="shared" si="185"/>
        <v>149000</v>
      </c>
      <c r="M289" s="280">
        <f t="shared" si="181"/>
        <v>0.92854561090822973</v>
      </c>
      <c r="N289" s="399"/>
      <c r="O289" s="392"/>
      <c r="P289" s="392"/>
      <c r="Q289" s="393"/>
      <c r="R289" s="392"/>
      <c r="S289" s="392"/>
      <c r="T289" s="393"/>
      <c r="U289" s="393"/>
      <c r="V289" s="393"/>
      <c r="W289" s="393"/>
      <c r="X289" s="884">
        <f t="shared" si="187"/>
        <v>149000</v>
      </c>
      <c r="Y289" s="393">
        <f t="shared" si="186"/>
        <v>149000</v>
      </c>
    </row>
    <row r="290" spans="1:25" x14ac:dyDescent="0.2">
      <c r="A290" s="52"/>
      <c r="B290" s="52"/>
      <c r="C290" s="79"/>
      <c r="D290" s="400">
        <v>4110</v>
      </c>
      <c r="E290" s="81" t="s">
        <v>140</v>
      </c>
      <c r="F290" s="201">
        <v>337038</v>
      </c>
      <c r="G290" s="56">
        <v>252529.19</v>
      </c>
      <c r="H290" s="57">
        <f t="shared" si="177"/>
        <v>0.74926029112444292</v>
      </c>
      <c r="I290" s="58">
        <v>337038</v>
      </c>
      <c r="J290" s="1108">
        <v>332158</v>
      </c>
      <c r="K290" s="58">
        <v>-37195</v>
      </c>
      <c r="L290" s="59">
        <f t="shared" si="185"/>
        <v>294963</v>
      </c>
      <c r="M290" s="280">
        <f t="shared" si="181"/>
        <v>0.8751624445908176</v>
      </c>
      <c r="N290" s="399"/>
      <c r="O290" s="392"/>
      <c r="P290" s="392"/>
      <c r="Q290" s="393"/>
      <c r="R290" s="392"/>
      <c r="S290" s="392"/>
      <c r="T290" s="393"/>
      <c r="U290" s="393"/>
      <c r="V290" s="393"/>
      <c r="W290" s="393"/>
      <c r="X290" s="884">
        <f t="shared" si="187"/>
        <v>294963</v>
      </c>
      <c r="Y290" s="393">
        <f t="shared" si="186"/>
        <v>294963</v>
      </c>
    </row>
    <row r="291" spans="1:25" x14ac:dyDescent="0.2">
      <c r="A291" s="52"/>
      <c r="B291" s="52"/>
      <c r="C291" s="203"/>
      <c r="D291" s="402">
        <v>4120</v>
      </c>
      <c r="E291" s="119" t="s">
        <v>141</v>
      </c>
      <c r="F291" s="120">
        <v>44564</v>
      </c>
      <c r="G291" s="56">
        <v>32089.61</v>
      </c>
      <c r="H291" s="57">
        <f t="shared" si="177"/>
        <v>0.7200792119199354</v>
      </c>
      <c r="I291" s="58">
        <v>44564</v>
      </c>
      <c r="J291" s="1108">
        <v>47419</v>
      </c>
      <c r="K291" s="58">
        <v>-9613</v>
      </c>
      <c r="L291" s="59">
        <f t="shared" si="185"/>
        <v>37806</v>
      </c>
      <c r="M291" s="280">
        <f t="shared" si="181"/>
        <v>0.84835293061664119</v>
      </c>
      <c r="N291" s="399"/>
      <c r="O291" s="392"/>
      <c r="P291" s="392"/>
      <c r="Q291" s="393"/>
      <c r="R291" s="392"/>
      <c r="S291" s="392"/>
      <c r="T291" s="393"/>
      <c r="U291" s="393"/>
      <c r="V291" s="393"/>
      <c r="W291" s="393"/>
      <c r="X291" s="884">
        <f t="shared" si="187"/>
        <v>37806</v>
      </c>
      <c r="Y291" s="393">
        <f t="shared" si="186"/>
        <v>37806</v>
      </c>
    </row>
    <row r="292" spans="1:25" x14ac:dyDescent="0.2">
      <c r="A292" s="52"/>
      <c r="B292" s="52"/>
      <c r="C292" s="240"/>
      <c r="D292" s="446">
        <v>4170</v>
      </c>
      <c r="E292" s="199" t="s">
        <v>148</v>
      </c>
      <c r="F292" s="415">
        <v>5616</v>
      </c>
      <c r="G292" s="100">
        <v>2808</v>
      </c>
      <c r="H292" s="101">
        <f t="shared" si="177"/>
        <v>0.5</v>
      </c>
      <c r="I292" s="102">
        <v>5616</v>
      </c>
      <c r="J292" s="1112">
        <v>7116</v>
      </c>
      <c r="K292" s="102"/>
      <c r="L292" s="59">
        <f t="shared" si="185"/>
        <v>7116</v>
      </c>
      <c r="M292" s="280">
        <f t="shared" si="181"/>
        <v>1.267094017094017</v>
      </c>
      <c r="N292" s="399"/>
      <c r="O292" s="392"/>
      <c r="P292" s="392"/>
      <c r="Q292" s="393"/>
      <c r="R292" s="392"/>
      <c r="S292" s="392"/>
      <c r="T292" s="393"/>
      <c r="U292" s="393"/>
      <c r="V292" s="393"/>
      <c r="W292" s="393"/>
      <c r="X292" s="884">
        <f t="shared" si="187"/>
        <v>7116</v>
      </c>
      <c r="Y292" s="393">
        <f t="shared" si="186"/>
        <v>7116</v>
      </c>
    </row>
    <row r="293" spans="1:25" x14ac:dyDescent="0.2">
      <c r="A293" s="52"/>
      <c r="B293" s="52"/>
      <c r="C293" s="79"/>
      <c r="D293" s="400">
        <v>4210</v>
      </c>
      <c r="E293" s="81" t="s">
        <v>142</v>
      </c>
      <c r="F293" s="82">
        <v>76417.070000000007</v>
      </c>
      <c r="G293" s="56">
        <v>43847.14</v>
      </c>
      <c r="H293" s="57">
        <f t="shared" si="177"/>
        <v>0.57378724413275717</v>
      </c>
      <c r="I293" s="58">
        <v>76113.64</v>
      </c>
      <c r="J293" s="1108">
        <v>68200</v>
      </c>
      <c r="K293" s="58"/>
      <c r="L293" s="59">
        <f t="shared" si="185"/>
        <v>68200</v>
      </c>
      <c r="M293" s="280">
        <f t="shared" si="181"/>
        <v>0.8924707529351753</v>
      </c>
      <c r="N293" s="399"/>
      <c r="O293" s="392"/>
      <c r="P293" s="392"/>
      <c r="Q293" s="393"/>
      <c r="R293" s="392"/>
      <c r="S293" s="392"/>
      <c r="T293" s="393"/>
      <c r="U293" s="393"/>
      <c r="V293" s="393"/>
      <c r="W293" s="393"/>
      <c r="X293" s="884">
        <f t="shared" si="187"/>
        <v>68200</v>
      </c>
      <c r="Y293" s="393">
        <f t="shared" si="186"/>
        <v>68200</v>
      </c>
    </row>
    <row r="294" spans="1:25" ht="22.5" x14ac:dyDescent="0.2">
      <c r="A294" s="52"/>
      <c r="B294" s="52"/>
      <c r="C294" s="203"/>
      <c r="D294" s="402">
        <v>4230</v>
      </c>
      <c r="E294" s="119" t="s">
        <v>183</v>
      </c>
      <c r="F294" s="519">
        <v>300</v>
      </c>
      <c r="G294" s="56">
        <v>93.9</v>
      </c>
      <c r="H294" s="57">
        <f t="shared" si="177"/>
        <v>0.313</v>
      </c>
      <c r="I294" s="58">
        <v>300</v>
      </c>
      <c r="J294" s="1108">
        <v>0</v>
      </c>
      <c r="K294" s="58"/>
      <c r="L294" s="59">
        <f t="shared" si="185"/>
        <v>0</v>
      </c>
      <c r="M294" s="280">
        <f t="shared" si="181"/>
        <v>0</v>
      </c>
      <c r="N294" s="399"/>
      <c r="O294" s="392"/>
      <c r="P294" s="392"/>
      <c r="Q294" s="393"/>
      <c r="R294" s="392"/>
      <c r="S294" s="392"/>
      <c r="T294" s="393"/>
      <c r="U294" s="393"/>
      <c r="V294" s="393"/>
      <c r="W294" s="393"/>
      <c r="X294" s="884">
        <f t="shared" si="187"/>
        <v>0</v>
      </c>
      <c r="Y294" s="393">
        <f t="shared" si="186"/>
        <v>0</v>
      </c>
    </row>
    <row r="295" spans="1:25" ht="22.5" x14ac:dyDescent="0.2">
      <c r="A295" s="52"/>
      <c r="B295" s="52"/>
      <c r="C295" s="240"/>
      <c r="D295" s="446">
        <v>4240</v>
      </c>
      <c r="E295" s="199" t="s">
        <v>184</v>
      </c>
      <c r="F295" s="415">
        <v>33560.94</v>
      </c>
      <c r="G295" s="100">
        <v>20957.650000000001</v>
      </c>
      <c r="H295" s="57">
        <f t="shared" si="177"/>
        <v>0.62446552450557102</v>
      </c>
      <c r="I295" s="102">
        <v>33560.94</v>
      </c>
      <c r="J295" s="1112">
        <v>7225</v>
      </c>
      <c r="K295" s="102">
        <v>-3355</v>
      </c>
      <c r="L295" s="59">
        <f t="shared" si="185"/>
        <v>3870</v>
      </c>
      <c r="M295" s="280">
        <f t="shared" si="181"/>
        <v>0.11531262235205568</v>
      </c>
      <c r="N295" s="466"/>
      <c r="O295" s="392"/>
      <c r="P295" s="392"/>
      <c r="Q295" s="393"/>
      <c r="R295" s="392"/>
      <c r="S295" s="392"/>
      <c r="T295" s="393"/>
      <c r="U295" s="393"/>
      <c r="V295" s="393"/>
      <c r="W295" s="393"/>
      <c r="X295" s="884">
        <f t="shared" si="187"/>
        <v>3870</v>
      </c>
      <c r="Y295" s="393">
        <f t="shared" si="186"/>
        <v>3870</v>
      </c>
    </row>
    <row r="296" spans="1:25" x14ac:dyDescent="0.2">
      <c r="A296" s="52"/>
      <c r="B296" s="52"/>
      <c r="C296" s="79"/>
      <c r="D296" s="400">
        <v>4260</v>
      </c>
      <c r="E296" s="81" t="s">
        <v>149</v>
      </c>
      <c r="F296" s="201">
        <v>180800</v>
      </c>
      <c r="G296" s="56">
        <v>116834.41</v>
      </c>
      <c r="H296" s="57">
        <f t="shared" si="177"/>
        <v>0.64620801991150445</v>
      </c>
      <c r="I296" s="58">
        <v>173534.41</v>
      </c>
      <c r="J296" s="1108">
        <v>186400</v>
      </c>
      <c r="K296" s="58">
        <v>-5500</v>
      </c>
      <c r="L296" s="59">
        <f t="shared" si="185"/>
        <v>180900</v>
      </c>
      <c r="M296" s="280">
        <f t="shared" si="181"/>
        <v>1.0005530973451326</v>
      </c>
      <c r="N296" s="399"/>
      <c r="O296" s="392"/>
      <c r="P296" s="392"/>
      <c r="Q296" s="393"/>
      <c r="R296" s="392"/>
      <c r="S296" s="392"/>
      <c r="T296" s="393"/>
      <c r="U296" s="393"/>
      <c r="V296" s="393"/>
      <c r="W296" s="393"/>
      <c r="X296" s="884">
        <f t="shared" si="187"/>
        <v>180900</v>
      </c>
      <c r="Y296" s="393">
        <f t="shared" si="186"/>
        <v>180900</v>
      </c>
    </row>
    <row r="297" spans="1:25" x14ac:dyDescent="0.2">
      <c r="A297" s="52"/>
      <c r="B297" s="52"/>
      <c r="C297" s="203"/>
      <c r="D297" s="402">
        <v>4270</v>
      </c>
      <c r="E297" s="119" t="s">
        <v>154</v>
      </c>
      <c r="F297" s="120">
        <v>12700</v>
      </c>
      <c r="G297" s="56">
        <v>11699.9</v>
      </c>
      <c r="H297" s="57">
        <f t="shared" si="177"/>
        <v>0.92125196850393698</v>
      </c>
      <c r="I297" s="58">
        <v>12699.9</v>
      </c>
      <c r="J297" s="1108">
        <v>7000</v>
      </c>
      <c r="K297" s="58"/>
      <c r="L297" s="59">
        <f t="shared" si="185"/>
        <v>7000</v>
      </c>
      <c r="M297" s="280">
        <f t="shared" si="181"/>
        <v>0.55118110236220474</v>
      </c>
      <c r="N297" s="399"/>
      <c r="O297" s="392"/>
      <c r="P297" s="392"/>
      <c r="Q297" s="393"/>
      <c r="R297" s="392"/>
      <c r="S297" s="392"/>
      <c r="T297" s="393"/>
      <c r="U297" s="393"/>
      <c r="V297" s="393"/>
      <c r="W297" s="393"/>
      <c r="X297" s="884">
        <f t="shared" si="187"/>
        <v>7000</v>
      </c>
      <c r="Y297" s="393">
        <f t="shared" si="186"/>
        <v>7000</v>
      </c>
    </row>
    <row r="298" spans="1:25" x14ac:dyDescent="0.2">
      <c r="A298" s="52"/>
      <c r="B298" s="52"/>
      <c r="C298" s="159"/>
      <c r="D298" s="309">
        <v>4280</v>
      </c>
      <c r="E298" s="122" t="s">
        <v>185</v>
      </c>
      <c r="F298" s="161">
        <v>5640</v>
      </c>
      <c r="G298" s="100">
        <v>2811</v>
      </c>
      <c r="H298" s="101">
        <f t="shared" si="177"/>
        <v>0.49840425531914895</v>
      </c>
      <c r="I298" s="102">
        <v>5622</v>
      </c>
      <c r="J298" s="1112">
        <v>8300</v>
      </c>
      <c r="K298" s="102">
        <v>-4000</v>
      </c>
      <c r="L298" s="103">
        <f t="shared" si="185"/>
        <v>4300</v>
      </c>
      <c r="M298" s="259">
        <f t="shared" si="181"/>
        <v>0.76241134751773054</v>
      </c>
      <c r="N298" s="399"/>
      <c r="O298" s="392"/>
      <c r="P298" s="392"/>
      <c r="Q298" s="393"/>
      <c r="R298" s="392"/>
      <c r="S298" s="392"/>
      <c r="T298" s="393"/>
      <c r="U298" s="393"/>
      <c r="V298" s="393"/>
      <c r="W298" s="393"/>
      <c r="X298" s="884">
        <f t="shared" si="187"/>
        <v>4300</v>
      </c>
      <c r="Y298" s="393">
        <f t="shared" si="186"/>
        <v>4300</v>
      </c>
    </row>
    <row r="299" spans="1:25" x14ac:dyDescent="0.2">
      <c r="A299" s="52"/>
      <c r="B299" s="52"/>
      <c r="C299" s="240"/>
      <c r="D299" s="446">
        <v>4300</v>
      </c>
      <c r="E299" s="199" t="s">
        <v>143</v>
      </c>
      <c r="F299" s="445">
        <v>41645</v>
      </c>
      <c r="G299" s="100">
        <v>30068.68</v>
      </c>
      <c r="H299" s="57">
        <f t="shared" si="177"/>
        <v>0.72202377236162807</v>
      </c>
      <c r="I299" s="102">
        <v>41645</v>
      </c>
      <c r="J299" s="1112">
        <v>53185</v>
      </c>
      <c r="K299" s="102">
        <v>-3200</v>
      </c>
      <c r="L299" s="59">
        <f t="shared" si="185"/>
        <v>49985</v>
      </c>
      <c r="M299" s="280">
        <f t="shared" si="181"/>
        <v>1.2002641373514227</v>
      </c>
      <c r="N299" s="466"/>
      <c r="O299" s="392"/>
      <c r="P299" s="392"/>
      <c r="Q299" s="393"/>
      <c r="R299" s="392"/>
      <c r="S299" s="392"/>
      <c r="T299" s="393"/>
      <c r="U299" s="393"/>
      <c r="V299" s="393"/>
      <c r="W299" s="393"/>
      <c r="X299" s="884">
        <f t="shared" si="187"/>
        <v>49985</v>
      </c>
      <c r="Y299" s="393">
        <f t="shared" si="186"/>
        <v>49985</v>
      </c>
    </row>
    <row r="300" spans="1:25" x14ac:dyDescent="0.2">
      <c r="A300" s="52"/>
      <c r="B300" s="52"/>
      <c r="C300" s="333"/>
      <c r="D300" s="468">
        <v>4360</v>
      </c>
      <c r="E300" s="125" t="s">
        <v>363</v>
      </c>
      <c r="F300" s="270">
        <v>6850</v>
      </c>
      <c r="G300" s="56">
        <v>4739.72</v>
      </c>
      <c r="H300" s="57">
        <f t="shared" si="177"/>
        <v>0.69192992700729927</v>
      </c>
      <c r="I300" s="58">
        <v>6319.63</v>
      </c>
      <c r="J300" s="1108">
        <v>8650</v>
      </c>
      <c r="K300" s="58"/>
      <c r="L300" s="59">
        <f t="shared" si="185"/>
        <v>8650</v>
      </c>
      <c r="M300" s="280">
        <f t="shared" si="181"/>
        <v>1.2627737226277371</v>
      </c>
      <c r="N300" s="466"/>
      <c r="O300" s="392"/>
      <c r="P300" s="392"/>
      <c r="Q300" s="393"/>
      <c r="R300" s="392"/>
      <c r="S300" s="392"/>
      <c r="T300" s="393"/>
      <c r="U300" s="393"/>
      <c r="V300" s="393"/>
      <c r="W300" s="393"/>
      <c r="X300" s="884">
        <f t="shared" si="187"/>
        <v>8650</v>
      </c>
      <c r="Y300" s="393">
        <f t="shared" si="186"/>
        <v>8650</v>
      </c>
    </row>
    <row r="301" spans="1:25" x14ac:dyDescent="0.2">
      <c r="A301" s="52"/>
      <c r="B301" s="52"/>
      <c r="C301" s="240"/>
      <c r="D301" s="446">
        <v>4410</v>
      </c>
      <c r="E301" s="199" t="s">
        <v>144</v>
      </c>
      <c r="F301" s="415">
        <v>4000</v>
      </c>
      <c r="G301" s="100">
        <v>2033.18</v>
      </c>
      <c r="H301" s="57">
        <f t="shared" si="177"/>
        <v>0.50829500000000005</v>
      </c>
      <c r="I301" s="102">
        <v>4000</v>
      </c>
      <c r="J301" s="1112">
        <v>4000</v>
      </c>
      <c r="K301" s="102"/>
      <c r="L301" s="59">
        <f t="shared" si="185"/>
        <v>4000</v>
      </c>
      <c r="M301" s="280">
        <f t="shared" si="181"/>
        <v>1</v>
      </c>
      <c r="N301" s="399"/>
      <c r="O301" s="392"/>
      <c r="P301" s="392"/>
      <c r="Q301" s="393"/>
      <c r="R301" s="392"/>
      <c r="S301" s="392"/>
      <c r="T301" s="393"/>
      <c r="U301" s="393"/>
      <c r="V301" s="393"/>
      <c r="W301" s="393"/>
      <c r="X301" s="884">
        <f t="shared" si="187"/>
        <v>4000</v>
      </c>
      <c r="Y301" s="393">
        <f t="shared" si="186"/>
        <v>4000</v>
      </c>
    </row>
    <row r="302" spans="1:25" x14ac:dyDescent="0.2">
      <c r="A302" s="52"/>
      <c r="B302" s="52"/>
      <c r="C302" s="79"/>
      <c r="D302" s="400">
        <v>4430</v>
      </c>
      <c r="E302" s="81" t="s">
        <v>145</v>
      </c>
      <c r="F302" s="134">
        <v>1136</v>
      </c>
      <c r="G302" s="56">
        <v>1136</v>
      </c>
      <c r="H302" s="57">
        <f t="shared" si="177"/>
        <v>1</v>
      </c>
      <c r="I302" s="58">
        <v>1136</v>
      </c>
      <c r="J302" s="1108">
        <v>1300</v>
      </c>
      <c r="K302" s="58"/>
      <c r="L302" s="59">
        <f t="shared" si="185"/>
        <v>1300</v>
      </c>
      <c r="M302" s="280">
        <f t="shared" si="181"/>
        <v>1.1443661971830985</v>
      </c>
      <c r="N302" s="399"/>
      <c r="O302" s="392"/>
      <c r="P302" s="392"/>
      <c r="Q302" s="393"/>
      <c r="R302" s="392"/>
      <c r="S302" s="392"/>
      <c r="T302" s="393"/>
      <c r="U302" s="393"/>
      <c r="V302" s="393"/>
      <c r="W302" s="393"/>
      <c r="X302" s="884">
        <f t="shared" si="187"/>
        <v>1300</v>
      </c>
      <c r="Y302" s="393">
        <f t="shared" si="186"/>
        <v>1300</v>
      </c>
    </row>
    <row r="303" spans="1:25" ht="22.5" x14ac:dyDescent="0.2">
      <c r="A303" s="52"/>
      <c r="B303" s="52"/>
      <c r="C303" s="79"/>
      <c r="D303" s="400">
        <v>4440</v>
      </c>
      <c r="E303" s="119" t="s">
        <v>191</v>
      </c>
      <c r="F303" s="140">
        <v>111604</v>
      </c>
      <c r="G303" s="56">
        <v>111604</v>
      </c>
      <c r="H303" s="57">
        <f t="shared" si="177"/>
        <v>1</v>
      </c>
      <c r="I303" s="58">
        <v>11604</v>
      </c>
      <c r="J303" s="1108">
        <v>96053</v>
      </c>
      <c r="K303" s="58"/>
      <c r="L303" s="59">
        <f t="shared" si="185"/>
        <v>96053</v>
      </c>
      <c r="M303" s="280">
        <f t="shared" si="181"/>
        <v>0.86065911616071111</v>
      </c>
      <c r="N303" s="492"/>
      <c r="O303" s="392"/>
      <c r="P303" s="392"/>
      <c r="Q303" s="393"/>
      <c r="R303" s="392"/>
      <c r="S303" s="392"/>
      <c r="T303" s="393"/>
      <c r="U303" s="393"/>
      <c r="V303" s="393"/>
      <c r="W303" s="393"/>
      <c r="X303" s="884">
        <f t="shared" si="187"/>
        <v>96053</v>
      </c>
      <c r="Y303" s="393">
        <f t="shared" si="186"/>
        <v>96053</v>
      </c>
    </row>
    <row r="304" spans="1:25" x14ac:dyDescent="0.2">
      <c r="A304" s="52"/>
      <c r="B304" s="580">
        <v>80113</v>
      </c>
      <c r="C304" s="45"/>
      <c r="D304" s="45"/>
      <c r="E304" s="76" t="s">
        <v>224</v>
      </c>
      <c r="F304" s="244">
        <f>SUM(F305:F307)</f>
        <v>801000</v>
      </c>
      <c r="G304" s="244">
        <f>SUM(G305:G307)</f>
        <v>468166.14</v>
      </c>
      <c r="H304" s="578">
        <f t="shared" si="177"/>
        <v>0.58447707865168541</v>
      </c>
      <c r="I304" s="115">
        <f>SUM(I305:I307)</f>
        <v>786816.9</v>
      </c>
      <c r="J304" s="1132">
        <f>SUM(J305:J307)</f>
        <v>774000</v>
      </c>
      <c r="K304" s="1228">
        <f t="shared" ref="K304:L304" si="188">SUM(K305:K307)</f>
        <v>-120000</v>
      </c>
      <c r="L304" s="116">
        <f t="shared" si="188"/>
        <v>654000</v>
      </c>
      <c r="M304" s="78">
        <f t="shared" si="181"/>
        <v>0.81647940074906367</v>
      </c>
      <c r="N304" s="802"/>
      <c r="O304" s="444">
        <f t="shared" ref="O304:X304" si="189">SUM(O305:O307)</f>
        <v>0</v>
      </c>
      <c r="P304" s="444">
        <f t="shared" si="189"/>
        <v>0</v>
      </c>
      <c r="Q304" s="444">
        <f t="shared" si="189"/>
        <v>0</v>
      </c>
      <c r="R304" s="444">
        <f t="shared" si="189"/>
        <v>0</v>
      </c>
      <c r="S304" s="444">
        <f t="shared" si="189"/>
        <v>0</v>
      </c>
      <c r="T304" s="444">
        <f t="shared" si="189"/>
        <v>0</v>
      </c>
      <c r="U304" s="444">
        <f t="shared" si="189"/>
        <v>0</v>
      </c>
      <c r="V304" s="444">
        <f t="shared" si="189"/>
        <v>0</v>
      </c>
      <c r="W304" s="444">
        <f t="shared" si="189"/>
        <v>0</v>
      </c>
      <c r="X304" s="444">
        <f t="shared" si="189"/>
        <v>654000</v>
      </c>
      <c r="Y304" s="444">
        <f>SUM(O304:X304)</f>
        <v>654000</v>
      </c>
    </row>
    <row r="305" spans="1:25" x14ac:dyDescent="0.2">
      <c r="A305" s="52"/>
      <c r="B305" s="253"/>
      <c r="C305" s="581"/>
      <c r="D305" s="400">
        <v>4170</v>
      </c>
      <c r="E305" s="81" t="s">
        <v>148</v>
      </c>
      <c r="F305" s="40">
        <v>1000</v>
      </c>
      <c r="G305" s="255">
        <v>0</v>
      </c>
      <c r="H305" s="551">
        <v>0</v>
      </c>
      <c r="I305" s="582">
        <v>0</v>
      </c>
      <c r="J305" s="1147">
        <v>1000</v>
      </c>
      <c r="K305" s="582"/>
      <c r="L305" s="1262">
        <f>J305+K305</f>
        <v>1000</v>
      </c>
      <c r="M305" s="280">
        <f t="shared" si="181"/>
        <v>1</v>
      </c>
      <c r="N305" s="412"/>
      <c r="O305" s="392"/>
      <c r="P305" s="392"/>
      <c r="Q305" s="393"/>
      <c r="R305" s="392"/>
      <c r="S305" s="392"/>
      <c r="T305" s="393"/>
      <c r="U305" s="393"/>
      <c r="V305" s="393"/>
      <c r="W305" s="393"/>
      <c r="X305" s="583">
        <f>J305</f>
        <v>1000</v>
      </c>
      <c r="Y305" s="393">
        <f>SUM(O305:X305)</f>
        <v>1000</v>
      </c>
    </row>
    <row r="306" spans="1:25" x14ac:dyDescent="0.2">
      <c r="A306" s="52"/>
      <c r="B306" s="584"/>
      <c r="C306" s="585"/>
      <c r="D306" s="400">
        <v>4210</v>
      </c>
      <c r="E306" s="81" t="s">
        <v>142</v>
      </c>
      <c r="F306" s="40">
        <v>3000</v>
      </c>
      <c r="G306" s="255">
        <v>0</v>
      </c>
      <c r="H306" s="551">
        <v>0</v>
      </c>
      <c r="I306" s="410">
        <v>0</v>
      </c>
      <c r="J306" s="1111">
        <v>3000</v>
      </c>
      <c r="K306" s="353"/>
      <c r="L306" s="1262">
        <f t="shared" ref="L306:L307" si="190">J306+K306</f>
        <v>3000</v>
      </c>
      <c r="M306" s="280">
        <f t="shared" si="181"/>
        <v>1</v>
      </c>
      <c r="N306" s="412"/>
      <c r="O306" s="392"/>
      <c r="P306" s="392"/>
      <c r="Q306" s="393"/>
      <c r="R306" s="392"/>
      <c r="S306" s="392"/>
      <c r="T306" s="393"/>
      <c r="U306" s="393"/>
      <c r="V306" s="393"/>
      <c r="W306" s="393"/>
      <c r="X306" s="583">
        <f t="shared" ref="X306" si="191">J306</f>
        <v>3000</v>
      </c>
      <c r="Y306" s="393">
        <f t="shared" ref="Y306:Y307" si="192">SUM(O306:X306)</f>
        <v>3000</v>
      </c>
    </row>
    <row r="307" spans="1:25" x14ac:dyDescent="0.2">
      <c r="A307" s="52"/>
      <c r="B307" s="52"/>
      <c r="C307" s="79"/>
      <c r="D307" s="400">
        <v>4300</v>
      </c>
      <c r="E307" s="81" t="s">
        <v>143</v>
      </c>
      <c r="F307" s="201">
        <v>797000</v>
      </c>
      <c r="G307" s="56">
        <v>468166.14</v>
      </c>
      <c r="H307" s="57">
        <f t="shared" si="177"/>
        <v>0.58741046424090337</v>
      </c>
      <c r="I307" s="58">
        <v>786816.9</v>
      </c>
      <c r="J307" s="1108">
        <f>70000+700000</f>
        <v>770000</v>
      </c>
      <c r="K307" s="1206">
        <v>-120000</v>
      </c>
      <c r="L307" s="1262">
        <f t="shared" si="190"/>
        <v>650000</v>
      </c>
      <c r="M307" s="280">
        <f t="shared" si="181"/>
        <v>0.81555834378920955</v>
      </c>
      <c r="N307" s="399"/>
      <c r="O307" s="392"/>
      <c r="P307" s="392"/>
      <c r="Q307" s="393"/>
      <c r="R307" s="392"/>
      <c r="S307" s="392"/>
      <c r="T307" s="393"/>
      <c r="U307" s="393"/>
      <c r="V307" s="393"/>
      <c r="W307" s="393"/>
      <c r="X307" s="583">
        <f>L307</f>
        <v>650000</v>
      </c>
      <c r="Y307" s="393">
        <f t="shared" si="192"/>
        <v>650000</v>
      </c>
    </row>
    <row r="308" spans="1:25" ht="22.5" x14ac:dyDescent="0.2">
      <c r="A308" s="52"/>
      <c r="B308" s="246">
        <v>80114</v>
      </c>
      <c r="C308" s="247"/>
      <c r="D308" s="248"/>
      <c r="E308" s="249" t="s">
        <v>225</v>
      </c>
      <c r="F308" s="317">
        <f>SUM(F309:F323)</f>
        <v>616411</v>
      </c>
      <c r="G308" s="317">
        <f t="shared" ref="G308:I308" si="193">SUM(G309:G323)</f>
        <v>433763.01999999996</v>
      </c>
      <c r="H308" s="176">
        <f t="shared" si="177"/>
        <v>0.70369123847562742</v>
      </c>
      <c r="I308" s="317">
        <f t="shared" si="193"/>
        <v>612877.90999999992</v>
      </c>
      <c r="J308" s="1131">
        <f>SUM(J309:J323)</f>
        <v>721332</v>
      </c>
      <c r="K308" s="1043">
        <f t="shared" ref="K308:L308" si="194">SUM(K309:K323)</f>
        <v>-67800</v>
      </c>
      <c r="L308" s="307">
        <f t="shared" si="194"/>
        <v>653532</v>
      </c>
      <c r="M308" s="78">
        <f t="shared" si="181"/>
        <v>1.0602211835934141</v>
      </c>
      <c r="N308" s="803"/>
      <c r="O308" s="475">
        <f t="shared" ref="O308:X308" si="195">SUM(O309:O323)</f>
        <v>0</v>
      </c>
      <c r="P308" s="475">
        <f t="shared" si="195"/>
        <v>0</v>
      </c>
      <c r="Q308" s="475">
        <f t="shared" si="195"/>
        <v>0</v>
      </c>
      <c r="R308" s="475">
        <f t="shared" si="195"/>
        <v>0</v>
      </c>
      <c r="S308" s="475">
        <f t="shared" si="195"/>
        <v>0</v>
      </c>
      <c r="T308" s="475">
        <f t="shared" si="195"/>
        <v>0</v>
      </c>
      <c r="U308" s="475">
        <f t="shared" si="195"/>
        <v>0</v>
      </c>
      <c r="V308" s="475">
        <f t="shared" si="195"/>
        <v>0</v>
      </c>
      <c r="W308" s="475">
        <f t="shared" si="195"/>
        <v>0</v>
      </c>
      <c r="X308" s="475">
        <f t="shared" si="195"/>
        <v>653532</v>
      </c>
      <c r="Y308" s="475">
        <f>SUM(O308:X308)</f>
        <v>653532</v>
      </c>
    </row>
    <row r="309" spans="1:25" x14ac:dyDescent="0.2">
      <c r="A309" s="52"/>
      <c r="B309" s="52"/>
      <c r="C309" s="240"/>
      <c r="D309" s="446">
        <v>3020</v>
      </c>
      <c r="E309" s="199" t="s">
        <v>174</v>
      </c>
      <c r="F309" s="415">
        <v>1260</v>
      </c>
      <c r="G309" s="100">
        <v>873.85</v>
      </c>
      <c r="H309" s="101">
        <f t="shared" si="177"/>
        <v>0.69353174603174605</v>
      </c>
      <c r="I309" s="102">
        <v>1165.1300000000001</v>
      </c>
      <c r="J309" s="1112">
        <v>1260</v>
      </c>
      <c r="K309" s="58"/>
      <c r="L309" s="59">
        <f>J309+K309</f>
        <v>1260</v>
      </c>
      <c r="M309" s="280">
        <f t="shared" si="181"/>
        <v>1</v>
      </c>
      <c r="N309" s="466"/>
      <c r="O309" s="392"/>
      <c r="P309" s="392"/>
      <c r="Q309" s="393"/>
      <c r="R309" s="392"/>
      <c r="S309" s="392"/>
      <c r="T309" s="393"/>
      <c r="U309" s="393"/>
      <c r="V309" s="393"/>
      <c r="W309" s="393"/>
      <c r="X309" s="100">
        <f>L309</f>
        <v>1260</v>
      </c>
      <c r="Y309" s="393">
        <f>SUM(O309:X309)</f>
        <v>1260</v>
      </c>
    </row>
    <row r="310" spans="1:25" x14ac:dyDescent="0.2">
      <c r="A310" s="52"/>
      <c r="B310" s="52"/>
      <c r="C310" s="79"/>
      <c r="D310" s="400">
        <v>4010</v>
      </c>
      <c r="E310" s="81" t="s">
        <v>139</v>
      </c>
      <c r="F310" s="201">
        <v>428274</v>
      </c>
      <c r="G310" s="56">
        <v>303268.32</v>
      </c>
      <c r="H310" s="101">
        <f t="shared" si="177"/>
        <v>0.70811751355440677</v>
      </c>
      <c r="I310" s="58">
        <v>428274</v>
      </c>
      <c r="J310" s="1108">
        <v>472349</v>
      </c>
      <c r="K310" s="58"/>
      <c r="L310" s="59">
        <f t="shared" ref="L310:L323" si="196">J310+K310</f>
        <v>472349</v>
      </c>
      <c r="M310" s="280">
        <f t="shared" si="181"/>
        <v>1.1029130883499816</v>
      </c>
      <c r="N310" s="399"/>
      <c r="O310" s="392"/>
      <c r="P310" s="392"/>
      <c r="Q310" s="393"/>
      <c r="R310" s="392"/>
      <c r="S310" s="392"/>
      <c r="T310" s="393"/>
      <c r="U310" s="393"/>
      <c r="V310" s="393"/>
      <c r="W310" s="393"/>
      <c r="X310" s="100">
        <f t="shared" ref="X310:X323" si="197">L310</f>
        <v>472349</v>
      </c>
      <c r="Y310" s="393">
        <f t="shared" ref="Y310:Y323" si="198">SUM(O310:X310)</f>
        <v>472349</v>
      </c>
    </row>
    <row r="311" spans="1:25" x14ac:dyDescent="0.2">
      <c r="A311" s="52"/>
      <c r="B311" s="52"/>
      <c r="C311" s="79"/>
      <c r="D311" s="400">
        <v>4040</v>
      </c>
      <c r="E311" s="81" t="s">
        <v>169</v>
      </c>
      <c r="F311" s="82">
        <v>32500</v>
      </c>
      <c r="G311" s="56">
        <v>31517.3</v>
      </c>
      <c r="H311" s="101">
        <f t="shared" si="177"/>
        <v>0.96976307692307695</v>
      </c>
      <c r="I311" s="58">
        <v>31517.3</v>
      </c>
      <c r="J311" s="1108">
        <v>33500</v>
      </c>
      <c r="K311" s="58"/>
      <c r="L311" s="59">
        <f t="shared" si="196"/>
        <v>33500</v>
      </c>
      <c r="M311" s="280">
        <f t="shared" si="181"/>
        <v>1.0307692307692307</v>
      </c>
      <c r="N311" s="399"/>
      <c r="O311" s="392"/>
      <c r="P311" s="392"/>
      <c r="Q311" s="393"/>
      <c r="R311" s="392"/>
      <c r="S311" s="392"/>
      <c r="T311" s="393"/>
      <c r="U311" s="393"/>
      <c r="V311" s="393"/>
      <c r="W311" s="393"/>
      <c r="X311" s="100">
        <f t="shared" si="197"/>
        <v>33500</v>
      </c>
      <c r="Y311" s="393">
        <f t="shared" si="198"/>
        <v>33500</v>
      </c>
    </row>
    <row r="312" spans="1:25" x14ac:dyDescent="0.2">
      <c r="A312" s="52"/>
      <c r="B312" s="52"/>
      <c r="C312" s="79"/>
      <c r="D312" s="400">
        <v>4110</v>
      </c>
      <c r="E312" s="81" t="s">
        <v>140</v>
      </c>
      <c r="F312" s="82">
        <v>77404</v>
      </c>
      <c r="G312" s="56">
        <v>54501.89</v>
      </c>
      <c r="H312" s="101">
        <f t="shared" si="177"/>
        <v>0.70412239677536048</v>
      </c>
      <c r="I312" s="58">
        <v>77404</v>
      </c>
      <c r="J312" s="1108">
        <v>88039</v>
      </c>
      <c r="K312" s="58">
        <v>-16150</v>
      </c>
      <c r="L312" s="59">
        <f t="shared" si="196"/>
        <v>71889</v>
      </c>
      <c r="M312" s="280">
        <f t="shared" si="181"/>
        <v>0.92875045217301433</v>
      </c>
      <c r="N312" s="399"/>
      <c r="O312" s="392"/>
      <c r="P312" s="392"/>
      <c r="Q312" s="393"/>
      <c r="R312" s="392"/>
      <c r="S312" s="392"/>
      <c r="T312" s="393"/>
      <c r="U312" s="393"/>
      <c r="V312" s="393"/>
      <c r="W312" s="393"/>
      <c r="X312" s="100">
        <f t="shared" si="197"/>
        <v>71889</v>
      </c>
      <c r="Y312" s="393">
        <f t="shared" si="198"/>
        <v>71889</v>
      </c>
    </row>
    <row r="313" spans="1:25" x14ac:dyDescent="0.2">
      <c r="A313" s="52"/>
      <c r="B313" s="52"/>
      <c r="C313" s="203"/>
      <c r="D313" s="402">
        <v>4120</v>
      </c>
      <c r="E313" s="119" t="s">
        <v>141</v>
      </c>
      <c r="F313" s="120">
        <v>7509</v>
      </c>
      <c r="G313" s="56">
        <v>4237.63</v>
      </c>
      <c r="H313" s="101">
        <f t="shared" si="177"/>
        <v>0.56434012518311361</v>
      </c>
      <c r="I313" s="58">
        <v>7509</v>
      </c>
      <c r="J313" s="1108">
        <v>12614</v>
      </c>
      <c r="K313" s="58">
        <v>-6450</v>
      </c>
      <c r="L313" s="59">
        <f t="shared" si="196"/>
        <v>6164</v>
      </c>
      <c r="M313" s="280">
        <f t="shared" si="181"/>
        <v>0.82088160873618321</v>
      </c>
      <c r="N313" s="399"/>
      <c r="O313" s="392"/>
      <c r="P313" s="392"/>
      <c r="Q313" s="393"/>
      <c r="R313" s="392"/>
      <c r="S313" s="392"/>
      <c r="T313" s="393"/>
      <c r="U313" s="393"/>
      <c r="V313" s="393"/>
      <c r="W313" s="393"/>
      <c r="X313" s="100">
        <f t="shared" si="197"/>
        <v>6164</v>
      </c>
      <c r="Y313" s="393">
        <f t="shared" si="198"/>
        <v>6164</v>
      </c>
    </row>
    <row r="314" spans="1:25" x14ac:dyDescent="0.2">
      <c r="A314" s="52"/>
      <c r="B314" s="52"/>
      <c r="C314" s="240"/>
      <c r="D314" s="446">
        <v>4170</v>
      </c>
      <c r="E314" s="199" t="s">
        <v>148</v>
      </c>
      <c r="F314" s="415">
        <v>8480</v>
      </c>
      <c r="G314" s="100">
        <v>4092</v>
      </c>
      <c r="H314" s="101">
        <f t="shared" si="177"/>
        <v>0.48254716981132073</v>
      </c>
      <c r="I314" s="102">
        <v>6480</v>
      </c>
      <c r="J314" s="1112">
        <v>9000</v>
      </c>
      <c r="K314" s="58"/>
      <c r="L314" s="59">
        <f t="shared" si="196"/>
        <v>9000</v>
      </c>
      <c r="M314" s="280">
        <f t="shared" si="181"/>
        <v>1.0613207547169812</v>
      </c>
      <c r="N314" s="466"/>
      <c r="O314" s="392"/>
      <c r="P314" s="392"/>
      <c r="Q314" s="393"/>
      <c r="R314" s="392"/>
      <c r="S314" s="392"/>
      <c r="T314" s="393"/>
      <c r="U314" s="393"/>
      <c r="V314" s="393"/>
      <c r="W314" s="393"/>
      <c r="X314" s="100">
        <f t="shared" si="197"/>
        <v>9000</v>
      </c>
      <c r="Y314" s="393">
        <f t="shared" si="198"/>
        <v>9000</v>
      </c>
    </row>
    <row r="315" spans="1:25" x14ac:dyDescent="0.2">
      <c r="A315" s="52"/>
      <c r="B315" s="52"/>
      <c r="C315" s="79"/>
      <c r="D315" s="400">
        <v>4210</v>
      </c>
      <c r="E315" s="81" t="s">
        <v>142</v>
      </c>
      <c r="F315" s="82">
        <v>14500</v>
      </c>
      <c r="G315" s="56">
        <v>8282.24</v>
      </c>
      <c r="H315" s="101">
        <f t="shared" si="177"/>
        <v>0.57118896551724141</v>
      </c>
      <c r="I315" s="58">
        <v>14500</v>
      </c>
      <c r="J315" s="1108">
        <v>18500</v>
      </c>
      <c r="K315" s="58">
        <v>-4000</v>
      </c>
      <c r="L315" s="59">
        <f t="shared" si="196"/>
        <v>14500</v>
      </c>
      <c r="M315" s="280">
        <f t="shared" si="181"/>
        <v>1</v>
      </c>
      <c r="N315" s="399"/>
      <c r="O315" s="392"/>
      <c r="P315" s="392"/>
      <c r="Q315" s="393"/>
      <c r="R315" s="392"/>
      <c r="S315" s="392"/>
      <c r="T315" s="393"/>
      <c r="U315" s="393"/>
      <c r="V315" s="393"/>
      <c r="W315" s="393"/>
      <c r="X315" s="100">
        <f t="shared" si="197"/>
        <v>14500</v>
      </c>
      <c r="Y315" s="393">
        <f t="shared" si="198"/>
        <v>14500</v>
      </c>
    </row>
    <row r="316" spans="1:25" x14ac:dyDescent="0.2">
      <c r="A316" s="52"/>
      <c r="B316" s="52"/>
      <c r="C316" s="79"/>
      <c r="D316" s="400">
        <v>4260</v>
      </c>
      <c r="E316" s="81" t="s">
        <v>149</v>
      </c>
      <c r="F316" s="134">
        <v>4400</v>
      </c>
      <c r="G316" s="56">
        <v>2566.94</v>
      </c>
      <c r="H316" s="101">
        <f t="shared" si="177"/>
        <v>0.58339545454545461</v>
      </c>
      <c r="I316" s="58">
        <v>4400</v>
      </c>
      <c r="J316" s="1108">
        <v>4400</v>
      </c>
      <c r="K316" s="58"/>
      <c r="L316" s="59">
        <f t="shared" si="196"/>
        <v>4400</v>
      </c>
      <c r="M316" s="280">
        <f t="shared" si="181"/>
        <v>1</v>
      </c>
      <c r="N316" s="399"/>
      <c r="O316" s="392"/>
      <c r="P316" s="392"/>
      <c r="Q316" s="393"/>
      <c r="R316" s="392"/>
      <c r="S316" s="392"/>
      <c r="T316" s="393"/>
      <c r="U316" s="393"/>
      <c r="V316" s="393"/>
      <c r="W316" s="393"/>
      <c r="X316" s="100">
        <f t="shared" si="197"/>
        <v>4400</v>
      </c>
      <c r="Y316" s="393">
        <f t="shared" si="198"/>
        <v>4400</v>
      </c>
    </row>
    <row r="317" spans="1:25" x14ac:dyDescent="0.2">
      <c r="A317" s="52"/>
      <c r="B317" s="52"/>
      <c r="C317" s="79"/>
      <c r="D317" s="400">
        <v>4270</v>
      </c>
      <c r="E317" s="81" t="s">
        <v>154</v>
      </c>
      <c r="F317" s="134">
        <v>0</v>
      </c>
      <c r="G317" s="56">
        <v>0</v>
      </c>
      <c r="H317" s="101">
        <v>0</v>
      </c>
      <c r="I317" s="58">
        <v>0</v>
      </c>
      <c r="J317" s="1108">
        <v>10000</v>
      </c>
      <c r="K317" s="58">
        <v>-10000</v>
      </c>
      <c r="L317" s="59">
        <f t="shared" si="196"/>
        <v>0</v>
      </c>
      <c r="M317" s="280">
        <v>0</v>
      </c>
      <c r="N317" s="399" t="s">
        <v>393</v>
      </c>
      <c r="O317" s="392"/>
      <c r="P317" s="392"/>
      <c r="Q317" s="393"/>
      <c r="R317" s="392"/>
      <c r="S317" s="392"/>
      <c r="T317" s="393"/>
      <c r="U317" s="393"/>
      <c r="V317" s="393"/>
      <c r="W317" s="393"/>
      <c r="X317" s="100">
        <f t="shared" si="197"/>
        <v>0</v>
      </c>
      <c r="Y317" s="393">
        <f t="shared" si="198"/>
        <v>0</v>
      </c>
    </row>
    <row r="318" spans="1:25" x14ac:dyDescent="0.2">
      <c r="A318" s="52"/>
      <c r="B318" s="52"/>
      <c r="C318" s="79"/>
      <c r="D318" s="400">
        <v>4280</v>
      </c>
      <c r="E318" s="81" t="s">
        <v>185</v>
      </c>
      <c r="F318" s="144">
        <v>300</v>
      </c>
      <c r="G318" s="56">
        <v>0</v>
      </c>
      <c r="H318" s="101">
        <f t="shared" si="177"/>
        <v>0</v>
      </c>
      <c r="I318" s="58">
        <v>100</v>
      </c>
      <c r="J318" s="1108">
        <v>300</v>
      </c>
      <c r="K318" s="58"/>
      <c r="L318" s="59">
        <f t="shared" si="196"/>
        <v>300</v>
      </c>
      <c r="M318" s="280">
        <f t="shared" si="181"/>
        <v>1</v>
      </c>
      <c r="N318" s="399"/>
      <c r="O318" s="392"/>
      <c r="P318" s="392"/>
      <c r="Q318" s="393"/>
      <c r="R318" s="392"/>
      <c r="S318" s="392"/>
      <c r="T318" s="393"/>
      <c r="U318" s="393"/>
      <c r="V318" s="393"/>
      <c r="W318" s="393"/>
      <c r="X318" s="100">
        <f t="shared" si="197"/>
        <v>300</v>
      </c>
      <c r="Y318" s="393">
        <f t="shared" si="198"/>
        <v>300</v>
      </c>
    </row>
    <row r="319" spans="1:25" ht="29.25" x14ac:dyDescent="0.2">
      <c r="A319" s="52"/>
      <c r="B319" s="52"/>
      <c r="C319" s="79"/>
      <c r="D319" s="400">
        <v>4300</v>
      </c>
      <c r="E319" s="81" t="s">
        <v>143</v>
      </c>
      <c r="F319" s="82">
        <v>21700</v>
      </c>
      <c r="G319" s="56">
        <v>7640.66</v>
      </c>
      <c r="H319" s="101">
        <f t="shared" si="177"/>
        <v>0.35210414746543778</v>
      </c>
      <c r="I319" s="58">
        <v>21700</v>
      </c>
      <c r="J319" s="1108">
        <v>52900</v>
      </c>
      <c r="K319" s="58">
        <v>-31200</v>
      </c>
      <c r="L319" s="59">
        <f t="shared" si="196"/>
        <v>21700</v>
      </c>
      <c r="M319" s="280">
        <f t="shared" si="181"/>
        <v>1</v>
      </c>
      <c r="N319" s="961" t="s">
        <v>394</v>
      </c>
      <c r="O319" s="392"/>
      <c r="P319" s="392"/>
      <c r="Q319" s="393"/>
      <c r="R319" s="392"/>
      <c r="S319" s="392"/>
      <c r="T319" s="393"/>
      <c r="U319" s="393"/>
      <c r="V319" s="393"/>
      <c r="W319" s="393"/>
      <c r="X319" s="100">
        <f t="shared" si="197"/>
        <v>21700</v>
      </c>
      <c r="Y319" s="393">
        <f t="shared" si="198"/>
        <v>21700</v>
      </c>
    </row>
    <row r="320" spans="1:25" x14ac:dyDescent="0.2">
      <c r="A320" s="52"/>
      <c r="B320" s="52"/>
      <c r="C320" s="52"/>
      <c r="D320" s="474">
        <v>4360</v>
      </c>
      <c r="E320" s="128" t="s">
        <v>363</v>
      </c>
      <c r="F320" s="129">
        <v>4650</v>
      </c>
      <c r="G320" s="100">
        <v>3373.86</v>
      </c>
      <c r="H320" s="101">
        <f t="shared" si="177"/>
        <v>0.72556129032258065</v>
      </c>
      <c r="I320" s="102">
        <v>4598.4799999999996</v>
      </c>
      <c r="J320" s="1112">
        <v>4650</v>
      </c>
      <c r="K320" s="58"/>
      <c r="L320" s="59">
        <f t="shared" si="196"/>
        <v>4650</v>
      </c>
      <c r="M320" s="280">
        <f t="shared" si="181"/>
        <v>1</v>
      </c>
      <c r="N320" s="399"/>
      <c r="O320" s="392"/>
      <c r="P320" s="392"/>
      <c r="Q320" s="393"/>
      <c r="R320" s="392"/>
      <c r="S320" s="392"/>
      <c r="T320" s="393"/>
      <c r="U320" s="393"/>
      <c r="V320" s="393"/>
      <c r="W320" s="393"/>
      <c r="X320" s="100">
        <f t="shared" si="197"/>
        <v>4650</v>
      </c>
      <c r="Y320" s="393">
        <f>SUM(O320:X320)</f>
        <v>4650</v>
      </c>
    </row>
    <row r="321" spans="1:25" x14ac:dyDescent="0.2">
      <c r="A321" s="52"/>
      <c r="B321" s="52"/>
      <c r="C321" s="79"/>
      <c r="D321" s="400">
        <v>4410</v>
      </c>
      <c r="E321" s="81" t="s">
        <v>144</v>
      </c>
      <c r="F321" s="134">
        <v>3500</v>
      </c>
      <c r="G321" s="56">
        <v>2174.33</v>
      </c>
      <c r="H321" s="101">
        <f t="shared" si="177"/>
        <v>0.62123714285714282</v>
      </c>
      <c r="I321" s="58">
        <v>3296</v>
      </c>
      <c r="J321" s="1108">
        <v>3500</v>
      </c>
      <c r="K321" s="58"/>
      <c r="L321" s="59">
        <f t="shared" si="196"/>
        <v>3500</v>
      </c>
      <c r="M321" s="280">
        <f t="shared" si="181"/>
        <v>1</v>
      </c>
      <c r="N321" s="399"/>
      <c r="O321" s="392"/>
      <c r="P321" s="392"/>
      <c r="Q321" s="393"/>
      <c r="R321" s="392"/>
      <c r="S321" s="392"/>
      <c r="T321" s="393"/>
      <c r="U321" s="393"/>
      <c r="V321" s="393"/>
      <c r="W321" s="393"/>
      <c r="X321" s="100">
        <f t="shared" si="197"/>
        <v>3500</v>
      </c>
      <c r="Y321" s="393">
        <f t="shared" si="198"/>
        <v>3500</v>
      </c>
    </row>
    <row r="322" spans="1:25" ht="22.5" x14ac:dyDescent="0.2">
      <c r="A322" s="52"/>
      <c r="B322" s="52"/>
      <c r="C322" s="79"/>
      <c r="D322" s="400">
        <v>4440</v>
      </c>
      <c r="E322" s="81" t="s">
        <v>191</v>
      </c>
      <c r="F322" s="82">
        <v>10214</v>
      </c>
      <c r="G322" s="56">
        <v>10214</v>
      </c>
      <c r="H322" s="101">
        <f t="shared" si="177"/>
        <v>1</v>
      </c>
      <c r="I322" s="58">
        <v>10214</v>
      </c>
      <c r="J322" s="1108">
        <v>9120</v>
      </c>
      <c r="K322" s="58"/>
      <c r="L322" s="59">
        <f t="shared" si="196"/>
        <v>9120</v>
      </c>
      <c r="M322" s="280">
        <f t="shared" si="181"/>
        <v>0.89289210887017822</v>
      </c>
      <c r="N322" s="399"/>
      <c r="O322" s="392"/>
      <c r="P322" s="392"/>
      <c r="Q322" s="393"/>
      <c r="R322" s="392"/>
      <c r="S322" s="392"/>
      <c r="T322" s="393"/>
      <c r="U322" s="393"/>
      <c r="V322" s="393"/>
      <c r="W322" s="393"/>
      <c r="X322" s="100">
        <f t="shared" si="197"/>
        <v>9120</v>
      </c>
      <c r="Y322" s="393">
        <f t="shared" si="198"/>
        <v>9120</v>
      </c>
    </row>
    <row r="323" spans="1:25" ht="22.5" x14ac:dyDescent="0.2">
      <c r="A323" s="52"/>
      <c r="B323" s="159"/>
      <c r="C323" s="203"/>
      <c r="D323" s="402">
        <v>4700</v>
      </c>
      <c r="E323" s="119" t="s">
        <v>146</v>
      </c>
      <c r="F323" s="491">
        <v>1720</v>
      </c>
      <c r="G323" s="56">
        <v>1020</v>
      </c>
      <c r="H323" s="101">
        <f t="shared" si="177"/>
        <v>0.59302325581395354</v>
      </c>
      <c r="I323" s="58">
        <v>1720</v>
      </c>
      <c r="J323" s="1108">
        <v>1200</v>
      </c>
      <c r="K323" s="58"/>
      <c r="L323" s="59">
        <f t="shared" si="196"/>
        <v>1200</v>
      </c>
      <c r="M323" s="280">
        <f t="shared" si="181"/>
        <v>0.69767441860465118</v>
      </c>
      <c r="N323" s="399"/>
      <c r="O323" s="392"/>
      <c r="P323" s="392"/>
      <c r="Q323" s="393"/>
      <c r="R323" s="392"/>
      <c r="S323" s="392"/>
      <c r="T323" s="393"/>
      <c r="U323" s="393"/>
      <c r="V323" s="393"/>
      <c r="W323" s="393"/>
      <c r="X323" s="100">
        <f t="shared" si="197"/>
        <v>1200</v>
      </c>
      <c r="Y323" s="393">
        <f t="shared" si="198"/>
        <v>1200</v>
      </c>
    </row>
    <row r="324" spans="1:25" x14ac:dyDescent="0.2">
      <c r="A324" s="52"/>
      <c r="B324" s="111">
        <v>80146</v>
      </c>
      <c r="C324" s="186"/>
      <c r="D324" s="45"/>
      <c r="E324" s="76" t="s">
        <v>226</v>
      </c>
      <c r="F324" s="187">
        <f>SUM(F325:F327)</f>
        <v>87180</v>
      </c>
      <c r="G324" s="187">
        <f t="shared" ref="G324:I324" si="199">SUM(G325:G327)</f>
        <v>41524.730000000003</v>
      </c>
      <c r="H324" s="578">
        <f t="shared" si="177"/>
        <v>0.47631027758660249</v>
      </c>
      <c r="I324" s="187">
        <f t="shared" si="199"/>
        <v>87180</v>
      </c>
      <c r="J324" s="1132">
        <f>SUM(J325:J327)</f>
        <v>91756</v>
      </c>
      <c r="K324" s="1228">
        <f t="shared" ref="K324:L324" si="200">SUM(K325:K327)</f>
        <v>-980</v>
      </c>
      <c r="L324" s="116">
        <f t="shared" si="200"/>
        <v>90776</v>
      </c>
      <c r="M324" s="78">
        <f t="shared" si="181"/>
        <v>1.0412479926588667</v>
      </c>
      <c r="N324" s="800"/>
      <c r="O324" s="397">
        <f t="shared" ref="O324:X324" si="201">SUM(O325:O327)</f>
        <v>0</v>
      </c>
      <c r="P324" s="397">
        <f t="shared" si="201"/>
        <v>0</v>
      </c>
      <c r="Q324" s="397">
        <f t="shared" si="201"/>
        <v>0</v>
      </c>
      <c r="R324" s="397">
        <f t="shared" si="201"/>
        <v>0</v>
      </c>
      <c r="S324" s="397">
        <f t="shared" si="201"/>
        <v>0</v>
      </c>
      <c r="T324" s="397">
        <f t="shared" si="201"/>
        <v>0</v>
      </c>
      <c r="U324" s="397">
        <f t="shared" si="201"/>
        <v>0</v>
      </c>
      <c r="V324" s="397">
        <f t="shared" si="201"/>
        <v>0</v>
      </c>
      <c r="W324" s="397">
        <f t="shared" si="201"/>
        <v>0</v>
      </c>
      <c r="X324" s="397">
        <f t="shared" si="201"/>
        <v>90776</v>
      </c>
      <c r="Y324" s="397">
        <f>SUM(O324:X324)</f>
        <v>90776</v>
      </c>
    </row>
    <row r="325" spans="1:25" x14ac:dyDescent="0.2">
      <c r="A325" s="52"/>
      <c r="B325" s="52"/>
      <c r="C325" s="203"/>
      <c r="D325" s="402">
        <v>4210</v>
      </c>
      <c r="E325" s="119" t="s">
        <v>142</v>
      </c>
      <c r="F325" s="491">
        <v>3000</v>
      </c>
      <c r="G325" s="56">
        <v>2095.5300000000002</v>
      </c>
      <c r="H325" s="57">
        <f t="shared" ref="H325:H368" si="202">G325/F325</f>
        <v>0.69851000000000008</v>
      </c>
      <c r="I325" s="58">
        <v>3000</v>
      </c>
      <c r="J325" s="1108">
        <v>0</v>
      </c>
      <c r="K325" s="102"/>
      <c r="L325" s="103">
        <f>J325+K325</f>
        <v>0</v>
      </c>
      <c r="M325" s="280">
        <f t="shared" si="181"/>
        <v>0</v>
      </c>
      <c r="N325" s="399"/>
      <c r="O325" s="392"/>
      <c r="P325" s="392"/>
      <c r="Q325" s="393"/>
      <c r="R325" s="392"/>
      <c r="S325" s="392"/>
      <c r="T325" s="393"/>
      <c r="U325" s="393"/>
      <c r="V325" s="393"/>
      <c r="W325" s="393"/>
      <c r="X325" s="56">
        <f>L325</f>
        <v>0</v>
      </c>
      <c r="Y325" s="393">
        <f>SUM(O325:X325)</f>
        <v>0</v>
      </c>
    </row>
    <row r="326" spans="1:25" x14ac:dyDescent="0.2">
      <c r="A326" s="52"/>
      <c r="B326" s="52"/>
      <c r="C326" s="333"/>
      <c r="D326" s="468">
        <v>4300</v>
      </c>
      <c r="E326" s="125" t="s">
        <v>143</v>
      </c>
      <c r="F326" s="126">
        <v>21600</v>
      </c>
      <c r="G326" s="56">
        <v>7901</v>
      </c>
      <c r="H326" s="57">
        <f t="shared" si="202"/>
        <v>0.36578703703703702</v>
      </c>
      <c r="I326" s="58">
        <v>21600</v>
      </c>
      <c r="J326" s="1108">
        <v>31500</v>
      </c>
      <c r="K326" s="102"/>
      <c r="L326" s="103">
        <f t="shared" ref="L326:L327" si="203">J326+K326</f>
        <v>31500</v>
      </c>
      <c r="M326" s="280">
        <f t="shared" si="181"/>
        <v>1.4583333333333333</v>
      </c>
      <c r="N326" s="399"/>
      <c r="O326" s="392"/>
      <c r="P326" s="392"/>
      <c r="Q326" s="393"/>
      <c r="R326" s="392"/>
      <c r="S326" s="392"/>
      <c r="T326" s="393"/>
      <c r="U326" s="393"/>
      <c r="V326" s="393"/>
      <c r="W326" s="393"/>
      <c r="X326" s="56">
        <f t="shared" ref="X326:X327" si="204">L326</f>
        <v>31500</v>
      </c>
      <c r="Y326" s="393">
        <f t="shared" ref="Y326:Y327" si="205">SUM(O326:X326)</f>
        <v>31500</v>
      </c>
    </row>
    <row r="327" spans="1:25" ht="22.5" x14ac:dyDescent="0.2">
      <c r="A327" s="52"/>
      <c r="B327" s="52"/>
      <c r="C327" s="159"/>
      <c r="D327" s="309">
        <v>4700</v>
      </c>
      <c r="E327" s="122" t="s">
        <v>146</v>
      </c>
      <c r="F327" s="123">
        <v>62580</v>
      </c>
      <c r="G327" s="100">
        <v>31528.2</v>
      </c>
      <c r="H327" s="57">
        <f t="shared" si="202"/>
        <v>0.50380632790028768</v>
      </c>
      <c r="I327" s="102">
        <v>62580</v>
      </c>
      <c r="J327" s="1112">
        <v>60256</v>
      </c>
      <c r="K327" s="102">
        <v>-980</v>
      </c>
      <c r="L327" s="103">
        <f t="shared" si="203"/>
        <v>59276</v>
      </c>
      <c r="M327" s="280">
        <f t="shared" ref="M327:M390" si="206">L327/F327</f>
        <v>0.94720357941834454</v>
      </c>
      <c r="N327" s="466"/>
      <c r="O327" s="392"/>
      <c r="P327" s="392"/>
      <c r="Q327" s="393"/>
      <c r="R327" s="392"/>
      <c r="S327" s="392"/>
      <c r="T327" s="393"/>
      <c r="U327" s="393"/>
      <c r="V327" s="393"/>
      <c r="W327" s="393"/>
      <c r="X327" s="56">
        <f t="shared" si="204"/>
        <v>59276</v>
      </c>
      <c r="Y327" s="393">
        <f t="shared" si="205"/>
        <v>59276</v>
      </c>
    </row>
    <row r="328" spans="1:25" x14ac:dyDescent="0.2">
      <c r="A328" s="52"/>
      <c r="B328" s="246">
        <v>80148</v>
      </c>
      <c r="C328" s="426"/>
      <c r="D328" s="152"/>
      <c r="E328" s="272" t="s">
        <v>86</v>
      </c>
      <c r="F328" s="305">
        <f>SUM(F329:F339)</f>
        <v>705629</v>
      </c>
      <c r="G328" s="305">
        <f t="shared" ref="G328:I328" si="207">SUM(G329:G339)</f>
        <v>432888.85</v>
      </c>
      <c r="H328" s="176">
        <f t="shared" si="202"/>
        <v>0.61347939214516412</v>
      </c>
      <c r="I328" s="305">
        <f t="shared" si="207"/>
        <v>703411.71</v>
      </c>
      <c r="J328" s="1126">
        <f>SUM(J329:J339)</f>
        <v>670590</v>
      </c>
      <c r="K328" s="1221">
        <f t="shared" ref="K328:L328" si="208">SUM(K329:K339)</f>
        <v>-10750</v>
      </c>
      <c r="L328" s="158">
        <f t="shared" si="208"/>
        <v>659840</v>
      </c>
      <c r="M328" s="78">
        <f t="shared" si="206"/>
        <v>0.93510895952405582</v>
      </c>
      <c r="N328" s="810"/>
      <c r="O328" s="528">
        <f t="shared" ref="O328:X328" si="209">SUM(O329:O339)</f>
        <v>0</v>
      </c>
      <c r="P328" s="528">
        <f t="shared" si="209"/>
        <v>0</v>
      </c>
      <c r="Q328" s="528">
        <f t="shared" si="209"/>
        <v>0</v>
      </c>
      <c r="R328" s="528">
        <f t="shared" si="209"/>
        <v>0</v>
      </c>
      <c r="S328" s="528">
        <f t="shared" si="209"/>
        <v>0</v>
      </c>
      <c r="T328" s="528">
        <f t="shared" si="209"/>
        <v>0</v>
      </c>
      <c r="U328" s="528">
        <f t="shared" si="209"/>
        <v>0</v>
      </c>
      <c r="V328" s="528">
        <f t="shared" si="209"/>
        <v>0</v>
      </c>
      <c r="W328" s="528">
        <f t="shared" si="209"/>
        <v>0</v>
      </c>
      <c r="X328" s="528">
        <f t="shared" si="209"/>
        <v>659840</v>
      </c>
      <c r="Y328" s="528">
        <f>SUM(O328:X328)</f>
        <v>659840</v>
      </c>
    </row>
    <row r="329" spans="1:25" x14ac:dyDescent="0.2">
      <c r="A329" s="52"/>
      <c r="B329" s="52"/>
      <c r="C329" s="240"/>
      <c r="D329" s="446">
        <v>4010</v>
      </c>
      <c r="E329" s="199" t="s">
        <v>139</v>
      </c>
      <c r="F329" s="200">
        <v>258847</v>
      </c>
      <c r="G329" s="100">
        <v>169339.9</v>
      </c>
      <c r="H329" s="101">
        <f t="shared" si="202"/>
        <v>0.65420847064095777</v>
      </c>
      <c r="I329" s="58">
        <v>258847</v>
      </c>
      <c r="J329" s="1112">
        <v>268232</v>
      </c>
      <c r="K329" s="58"/>
      <c r="L329" s="59">
        <f>J329+K329</f>
        <v>268232</v>
      </c>
      <c r="M329" s="280">
        <f t="shared" si="206"/>
        <v>1.0362569394275383</v>
      </c>
      <c r="N329" s="399"/>
      <c r="O329" s="392"/>
      <c r="P329" s="392"/>
      <c r="Q329" s="393"/>
      <c r="R329" s="392"/>
      <c r="S329" s="392"/>
      <c r="T329" s="393"/>
      <c r="U329" s="393"/>
      <c r="V329" s="393"/>
      <c r="W329" s="393"/>
      <c r="X329" s="100">
        <f>L329</f>
        <v>268232</v>
      </c>
      <c r="Y329" s="393">
        <f>SUM(O329:X329)</f>
        <v>268232</v>
      </c>
    </row>
    <row r="330" spans="1:25" x14ac:dyDescent="0.2">
      <c r="A330" s="52"/>
      <c r="B330" s="52"/>
      <c r="C330" s="79"/>
      <c r="D330" s="400">
        <v>4040</v>
      </c>
      <c r="E330" s="81" t="s">
        <v>169</v>
      </c>
      <c r="F330" s="82">
        <v>21000</v>
      </c>
      <c r="G330" s="56">
        <v>19457.11</v>
      </c>
      <c r="H330" s="101">
        <f t="shared" si="202"/>
        <v>0.92652904761904764</v>
      </c>
      <c r="I330" s="58">
        <v>19457.11</v>
      </c>
      <c r="J330" s="1108">
        <v>19700</v>
      </c>
      <c r="K330" s="58"/>
      <c r="L330" s="59">
        <f t="shared" ref="L330:L339" si="210">J330+K330</f>
        <v>19700</v>
      </c>
      <c r="M330" s="280">
        <f t="shared" si="206"/>
        <v>0.93809523809523809</v>
      </c>
      <c r="N330" s="399"/>
      <c r="O330" s="392"/>
      <c r="P330" s="392"/>
      <c r="Q330" s="393"/>
      <c r="R330" s="392"/>
      <c r="S330" s="392"/>
      <c r="T330" s="393"/>
      <c r="U330" s="393"/>
      <c r="V330" s="393"/>
      <c r="W330" s="393"/>
      <c r="X330" s="100">
        <f t="shared" ref="X330:X338" si="211">L330</f>
        <v>19700</v>
      </c>
      <c r="Y330" s="393">
        <f t="shared" ref="Y330:Y411" si="212">SUM(O330:X330)</f>
        <v>19700</v>
      </c>
    </row>
    <row r="331" spans="1:25" x14ac:dyDescent="0.2">
      <c r="A331" s="52"/>
      <c r="B331" s="52"/>
      <c r="C331" s="203"/>
      <c r="D331" s="402">
        <v>4110</v>
      </c>
      <c r="E331" s="119" t="s">
        <v>140</v>
      </c>
      <c r="F331" s="120">
        <v>48106</v>
      </c>
      <c r="G331" s="56">
        <v>31733.31</v>
      </c>
      <c r="H331" s="101">
        <f t="shared" si="202"/>
        <v>0.65965388932773461</v>
      </c>
      <c r="I331" s="58">
        <v>48106</v>
      </c>
      <c r="J331" s="1108">
        <v>49473</v>
      </c>
      <c r="K331" s="58">
        <v>-6770</v>
      </c>
      <c r="L331" s="59">
        <f t="shared" si="210"/>
        <v>42703</v>
      </c>
      <c r="M331" s="280">
        <f t="shared" si="206"/>
        <v>0.88768552779279097</v>
      </c>
      <c r="N331" s="399"/>
      <c r="O331" s="392"/>
      <c r="P331" s="392"/>
      <c r="Q331" s="393"/>
      <c r="R331" s="392"/>
      <c r="S331" s="392"/>
      <c r="T331" s="393"/>
      <c r="U331" s="393"/>
      <c r="V331" s="393"/>
      <c r="W331" s="393"/>
      <c r="X331" s="100">
        <f t="shared" si="211"/>
        <v>42703</v>
      </c>
      <c r="Y331" s="393">
        <f t="shared" si="212"/>
        <v>42703</v>
      </c>
    </row>
    <row r="332" spans="1:25" x14ac:dyDescent="0.2">
      <c r="A332" s="52"/>
      <c r="B332" s="52"/>
      <c r="C332" s="159"/>
      <c r="D332" s="309">
        <v>4120</v>
      </c>
      <c r="E332" s="122" t="s">
        <v>141</v>
      </c>
      <c r="F332" s="161">
        <v>5297</v>
      </c>
      <c r="G332" s="100">
        <v>2815.39</v>
      </c>
      <c r="H332" s="101">
        <f t="shared" si="202"/>
        <v>0.53150651312063435</v>
      </c>
      <c r="I332" s="102">
        <v>5297</v>
      </c>
      <c r="J332" s="1112">
        <v>7054</v>
      </c>
      <c r="K332" s="58">
        <v>-3380</v>
      </c>
      <c r="L332" s="59">
        <f t="shared" si="210"/>
        <v>3674</v>
      </c>
      <c r="M332" s="280">
        <f t="shared" si="206"/>
        <v>0.69360015102888428</v>
      </c>
      <c r="N332" s="399"/>
      <c r="O332" s="392"/>
      <c r="P332" s="392"/>
      <c r="Q332" s="393"/>
      <c r="R332" s="392"/>
      <c r="S332" s="392"/>
      <c r="T332" s="393"/>
      <c r="U332" s="393"/>
      <c r="V332" s="393"/>
      <c r="W332" s="393"/>
      <c r="X332" s="100">
        <f t="shared" si="211"/>
        <v>3674</v>
      </c>
      <c r="Y332" s="393">
        <f t="shared" si="212"/>
        <v>3674</v>
      </c>
    </row>
    <row r="333" spans="1:25" x14ac:dyDescent="0.2">
      <c r="A333" s="52"/>
      <c r="B333" s="52"/>
      <c r="C333" s="240"/>
      <c r="D333" s="309">
        <v>4210</v>
      </c>
      <c r="E333" s="122" t="s">
        <v>142</v>
      </c>
      <c r="F333" s="161">
        <v>35000</v>
      </c>
      <c r="G333" s="100">
        <v>20753.52</v>
      </c>
      <c r="H333" s="101">
        <f t="shared" si="202"/>
        <v>0.59295771428571431</v>
      </c>
      <c r="I333" s="102">
        <v>35000</v>
      </c>
      <c r="J333" s="1112">
        <v>23400</v>
      </c>
      <c r="K333" s="58"/>
      <c r="L333" s="59">
        <f t="shared" si="210"/>
        <v>23400</v>
      </c>
      <c r="M333" s="280">
        <f t="shared" si="206"/>
        <v>0.66857142857142859</v>
      </c>
      <c r="N333" s="466"/>
      <c r="O333" s="392"/>
      <c r="P333" s="392"/>
      <c r="Q333" s="393"/>
      <c r="R333" s="392"/>
      <c r="S333" s="392"/>
      <c r="T333" s="393"/>
      <c r="U333" s="393"/>
      <c r="V333" s="393"/>
      <c r="W333" s="393"/>
      <c r="X333" s="100">
        <f t="shared" si="211"/>
        <v>23400</v>
      </c>
      <c r="Y333" s="393">
        <f t="shared" si="212"/>
        <v>23400</v>
      </c>
    </row>
    <row r="334" spans="1:25" x14ac:dyDescent="0.2">
      <c r="A334" s="52"/>
      <c r="B334" s="52"/>
      <c r="C334" s="79"/>
      <c r="D334" s="446">
        <v>4220</v>
      </c>
      <c r="E334" s="199" t="s">
        <v>220</v>
      </c>
      <c r="F334" s="200">
        <v>321000</v>
      </c>
      <c r="G334" s="100">
        <v>175615.02</v>
      </c>
      <c r="H334" s="101">
        <f t="shared" si="202"/>
        <v>0.54708728971962617</v>
      </c>
      <c r="I334" s="102">
        <v>321000</v>
      </c>
      <c r="J334" s="1112">
        <v>286000</v>
      </c>
      <c r="K334" s="58"/>
      <c r="L334" s="59">
        <f t="shared" si="210"/>
        <v>286000</v>
      </c>
      <c r="M334" s="280">
        <f t="shared" si="206"/>
        <v>0.8909657320872274</v>
      </c>
      <c r="N334" s="466"/>
      <c r="O334" s="392"/>
      <c r="P334" s="392"/>
      <c r="Q334" s="393"/>
      <c r="R334" s="392"/>
      <c r="S334" s="392"/>
      <c r="T334" s="393"/>
      <c r="U334" s="393"/>
      <c r="V334" s="393"/>
      <c r="W334" s="393"/>
      <c r="X334" s="100">
        <f t="shared" si="211"/>
        <v>286000</v>
      </c>
      <c r="Y334" s="393">
        <f t="shared" si="212"/>
        <v>286000</v>
      </c>
    </row>
    <row r="335" spans="1:25" x14ac:dyDescent="0.2">
      <c r="A335" s="52"/>
      <c r="B335" s="52"/>
      <c r="C335" s="79"/>
      <c r="D335" s="400">
        <v>4260</v>
      </c>
      <c r="E335" s="81" t="s">
        <v>149</v>
      </c>
      <c r="F335" s="134">
        <v>0</v>
      </c>
      <c r="G335" s="56">
        <v>0</v>
      </c>
      <c r="H335" s="101">
        <v>0</v>
      </c>
      <c r="I335" s="58">
        <v>0</v>
      </c>
      <c r="J335" s="1108">
        <v>700</v>
      </c>
      <c r="K335" s="58"/>
      <c r="L335" s="59">
        <f t="shared" si="210"/>
        <v>700</v>
      </c>
      <c r="M335" s="280">
        <v>0</v>
      </c>
      <c r="N335" s="399"/>
      <c r="O335" s="392"/>
      <c r="P335" s="392"/>
      <c r="Q335" s="393"/>
      <c r="R335" s="392"/>
      <c r="S335" s="392"/>
      <c r="T335" s="393"/>
      <c r="U335" s="393"/>
      <c r="V335" s="393"/>
      <c r="W335" s="393"/>
      <c r="X335" s="100">
        <f t="shared" si="211"/>
        <v>700</v>
      </c>
      <c r="Y335" s="393">
        <f t="shared" si="212"/>
        <v>700</v>
      </c>
    </row>
    <row r="336" spans="1:25" x14ac:dyDescent="0.2">
      <c r="A336" s="52"/>
      <c r="B336" s="52"/>
      <c r="C336" s="79"/>
      <c r="D336" s="400">
        <v>4270</v>
      </c>
      <c r="E336" s="81" t="s">
        <v>154</v>
      </c>
      <c r="F336" s="134">
        <v>1500</v>
      </c>
      <c r="G336" s="56">
        <v>0</v>
      </c>
      <c r="H336" s="101">
        <f t="shared" si="202"/>
        <v>0</v>
      </c>
      <c r="I336" s="58">
        <v>1500</v>
      </c>
      <c r="J336" s="1108">
        <v>1800</v>
      </c>
      <c r="K336" s="58">
        <v>-300</v>
      </c>
      <c r="L336" s="59">
        <f t="shared" si="210"/>
        <v>1500</v>
      </c>
      <c r="M336" s="280">
        <f t="shared" si="206"/>
        <v>1</v>
      </c>
      <c r="N336" s="399"/>
      <c r="O336" s="392"/>
      <c r="P336" s="392"/>
      <c r="Q336" s="393"/>
      <c r="R336" s="392"/>
      <c r="S336" s="392"/>
      <c r="T336" s="393"/>
      <c r="U336" s="393"/>
      <c r="V336" s="393"/>
      <c r="W336" s="393"/>
      <c r="X336" s="100">
        <f t="shared" si="211"/>
        <v>1500</v>
      </c>
      <c r="Y336" s="393">
        <f t="shared" si="212"/>
        <v>1500</v>
      </c>
    </row>
    <row r="337" spans="1:25" x14ac:dyDescent="0.2">
      <c r="A337" s="52"/>
      <c r="B337" s="52"/>
      <c r="C337" s="203"/>
      <c r="D337" s="402">
        <v>4280</v>
      </c>
      <c r="E337" s="119" t="s">
        <v>185</v>
      </c>
      <c r="F337" s="519">
        <v>1000</v>
      </c>
      <c r="G337" s="56">
        <v>370</v>
      </c>
      <c r="H337" s="101">
        <f t="shared" si="202"/>
        <v>0.37</v>
      </c>
      <c r="I337" s="58">
        <v>400</v>
      </c>
      <c r="J337" s="1108">
        <v>400</v>
      </c>
      <c r="K337" s="58"/>
      <c r="L337" s="59">
        <f t="shared" si="210"/>
        <v>400</v>
      </c>
      <c r="M337" s="280">
        <f t="shared" si="206"/>
        <v>0.4</v>
      </c>
      <c r="N337" s="399"/>
      <c r="O337" s="392"/>
      <c r="P337" s="392"/>
      <c r="Q337" s="393"/>
      <c r="R337" s="392"/>
      <c r="S337" s="392"/>
      <c r="T337" s="393"/>
      <c r="U337" s="393"/>
      <c r="V337" s="393"/>
      <c r="W337" s="393"/>
      <c r="X337" s="100">
        <f t="shared" si="211"/>
        <v>400</v>
      </c>
      <c r="Y337" s="393">
        <f t="shared" si="212"/>
        <v>400</v>
      </c>
    </row>
    <row r="338" spans="1:25" x14ac:dyDescent="0.2">
      <c r="A338" s="52"/>
      <c r="B338" s="52"/>
      <c r="C338" s="333"/>
      <c r="D338" s="468">
        <v>4300</v>
      </c>
      <c r="E338" s="125" t="s">
        <v>143</v>
      </c>
      <c r="F338" s="270">
        <v>3300</v>
      </c>
      <c r="G338" s="56">
        <v>2225.6</v>
      </c>
      <c r="H338" s="57">
        <f t="shared" si="202"/>
        <v>0.67442424242424237</v>
      </c>
      <c r="I338" s="58">
        <v>3225.6</v>
      </c>
      <c r="J338" s="1108">
        <v>3800</v>
      </c>
      <c r="K338" s="58">
        <v>-300</v>
      </c>
      <c r="L338" s="59">
        <f t="shared" si="210"/>
        <v>3500</v>
      </c>
      <c r="M338" s="280">
        <f t="shared" si="206"/>
        <v>1.0606060606060606</v>
      </c>
      <c r="N338" s="466"/>
      <c r="O338" s="392"/>
      <c r="P338" s="392"/>
      <c r="Q338" s="393"/>
      <c r="R338" s="392"/>
      <c r="S338" s="392"/>
      <c r="T338" s="393"/>
      <c r="U338" s="393"/>
      <c r="V338" s="393"/>
      <c r="W338" s="393"/>
      <c r="X338" s="100">
        <f t="shared" si="211"/>
        <v>3500</v>
      </c>
      <c r="Y338" s="393">
        <f t="shared" si="212"/>
        <v>3500</v>
      </c>
    </row>
    <row r="339" spans="1:25" ht="22.5" x14ac:dyDescent="0.2">
      <c r="A339" s="52"/>
      <c r="B339" s="52"/>
      <c r="C339" s="159"/>
      <c r="D339" s="309">
        <v>4440</v>
      </c>
      <c r="E339" s="122" t="s">
        <v>191</v>
      </c>
      <c r="F339" s="123">
        <v>10579</v>
      </c>
      <c r="G339" s="100">
        <v>10579</v>
      </c>
      <c r="H339" s="101">
        <f t="shared" si="202"/>
        <v>1</v>
      </c>
      <c r="I339" s="102">
        <v>10579</v>
      </c>
      <c r="J339" s="1112">
        <v>10031</v>
      </c>
      <c r="K339" s="102"/>
      <c r="L339" s="103">
        <f t="shared" si="210"/>
        <v>10031</v>
      </c>
      <c r="M339" s="259">
        <f t="shared" si="206"/>
        <v>0.94819926269023536</v>
      </c>
      <c r="N339" s="399"/>
      <c r="O339" s="392"/>
      <c r="P339" s="392"/>
      <c r="Q339" s="393"/>
      <c r="R339" s="392"/>
      <c r="S339" s="392"/>
      <c r="T339" s="393"/>
      <c r="U339" s="393"/>
      <c r="V339" s="393"/>
      <c r="W339" s="393"/>
      <c r="X339" s="100">
        <f>L339</f>
        <v>10031</v>
      </c>
      <c r="Y339" s="393">
        <f t="shared" si="212"/>
        <v>10031</v>
      </c>
    </row>
    <row r="340" spans="1:25" ht="56.25" x14ac:dyDescent="0.2">
      <c r="A340" s="52"/>
      <c r="B340" s="246">
        <v>80149</v>
      </c>
      <c r="C340" s="247"/>
      <c r="D340" s="248"/>
      <c r="E340" s="249" t="s">
        <v>365</v>
      </c>
      <c r="F340" s="317">
        <f>F341+F345+F346+F347+F348+F349+F350+F351</f>
        <v>141744</v>
      </c>
      <c r="G340" s="317">
        <f t="shared" ref="G340:I340" si="213">G341+G345+G346+G347+G348+G349+G350+G351</f>
        <v>82660.84</v>
      </c>
      <c r="H340" s="578">
        <f t="shared" si="202"/>
        <v>0.5831699401738345</v>
      </c>
      <c r="I340" s="317">
        <f t="shared" si="213"/>
        <v>141730.89000000001</v>
      </c>
      <c r="J340" s="1131">
        <f>J341+J345+J346+J347+J348+J349+J350+J351</f>
        <v>127086</v>
      </c>
      <c r="K340" s="1043">
        <f t="shared" ref="K340:L340" si="214">K341+K345+K346+K347+K348+K349+K350+K351</f>
        <v>0</v>
      </c>
      <c r="L340" s="307">
        <f t="shared" si="214"/>
        <v>127086</v>
      </c>
      <c r="M340" s="78">
        <f t="shared" si="206"/>
        <v>0.89658821537419575</v>
      </c>
      <c r="N340" s="803"/>
      <c r="O340" s="475"/>
      <c r="P340" s="475">
        <f t="shared" ref="P340:W340" si="215">SUM(P341:P368)</f>
        <v>0</v>
      </c>
      <c r="Q340" s="475">
        <f t="shared" si="215"/>
        <v>0</v>
      </c>
      <c r="R340" s="475">
        <f t="shared" si="215"/>
        <v>0</v>
      </c>
      <c r="S340" s="475">
        <f t="shared" si="215"/>
        <v>0</v>
      </c>
      <c r="T340" s="475">
        <f>T341</f>
        <v>127086</v>
      </c>
      <c r="U340" s="475">
        <f>U341</f>
        <v>0</v>
      </c>
      <c r="V340" s="475">
        <f t="shared" si="215"/>
        <v>0</v>
      </c>
      <c r="W340" s="475">
        <f t="shared" si="215"/>
        <v>0</v>
      </c>
      <c r="X340" s="475">
        <f>X345+X346+X347+X348+X349+X350+X351</f>
        <v>0</v>
      </c>
      <c r="Y340" s="475">
        <f>SUM(O340:X340)</f>
        <v>127086</v>
      </c>
    </row>
    <row r="341" spans="1:25" ht="22.5" x14ac:dyDescent="0.2">
      <c r="A341" s="52"/>
      <c r="B341" s="52"/>
      <c r="C341" s="52"/>
      <c r="D341" s="474">
        <v>2540</v>
      </c>
      <c r="E341" s="98" t="s">
        <v>219</v>
      </c>
      <c r="F341" s="129">
        <f>F343+F344</f>
        <v>75104</v>
      </c>
      <c r="G341" s="129">
        <f>G343+G344</f>
        <v>44258</v>
      </c>
      <c r="H341" s="262">
        <f t="shared" si="202"/>
        <v>0.58928951853429912</v>
      </c>
      <c r="I341" s="263">
        <f>I343+I344</f>
        <v>75104</v>
      </c>
      <c r="J341" s="1109">
        <f>J343+J344</f>
        <v>127086</v>
      </c>
      <c r="K341" s="1055">
        <f>K343+K344</f>
        <v>0</v>
      </c>
      <c r="L341" s="138">
        <f>J341+K341</f>
        <v>127086</v>
      </c>
      <c r="M341" s="999">
        <f t="shared" si="206"/>
        <v>1.6921335747763102</v>
      </c>
      <c r="N341" s="403"/>
      <c r="O341" s="806">
        <f>O343+O344</f>
        <v>0</v>
      </c>
      <c r="P341" s="806">
        <f t="shared" ref="P341:X341" si="216">P343+P344</f>
        <v>0</v>
      </c>
      <c r="Q341" s="806">
        <f t="shared" si="216"/>
        <v>0</v>
      </c>
      <c r="R341" s="806">
        <f t="shared" si="216"/>
        <v>0</v>
      </c>
      <c r="S341" s="806">
        <f t="shared" si="216"/>
        <v>0</v>
      </c>
      <c r="T341" s="806">
        <f>J341</f>
        <v>127086</v>
      </c>
      <c r="U341" s="806">
        <f t="shared" si="216"/>
        <v>0</v>
      </c>
      <c r="V341" s="806">
        <f t="shared" si="216"/>
        <v>0</v>
      </c>
      <c r="W341" s="806">
        <f t="shared" si="216"/>
        <v>0</v>
      </c>
      <c r="X341" s="806">
        <f t="shared" si="216"/>
        <v>0</v>
      </c>
      <c r="Y341" s="807">
        <f>SUM(O341:X341)</f>
        <v>127086</v>
      </c>
    </row>
    <row r="342" spans="1:25" x14ac:dyDescent="0.2">
      <c r="A342" s="52"/>
      <c r="B342" s="52"/>
      <c r="C342" s="52"/>
      <c r="D342" s="474"/>
      <c r="E342" s="936" t="s">
        <v>123</v>
      </c>
      <c r="F342" s="129"/>
      <c r="G342" s="261"/>
      <c r="H342" s="262"/>
      <c r="I342" s="263"/>
      <c r="J342" s="1109"/>
      <c r="K342" s="263"/>
      <c r="L342" s="138"/>
      <c r="M342" s="1103"/>
      <c r="N342" s="500"/>
      <c r="O342" s="939"/>
      <c r="P342" s="939"/>
      <c r="Q342" s="940"/>
      <c r="R342" s="939"/>
      <c r="S342" s="939"/>
      <c r="T342" s="940"/>
      <c r="U342" s="940"/>
      <c r="V342" s="940"/>
      <c r="W342" s="940"/>
      <c r="X342" s="495"/>
      <c r="Y342" s="940"/>
    </row>
    <row r="343" spans="1:25" x14ac:dyDescent="0.2">
      <c r="A343" s="52"/>
      <c r="B343" s="52"/>
      <c r="C343" s="52"/>
      <c r="D343" s="474"/>
      <c r="E343" s="576" t="s">
        <v>315</v>
      </c>
      <c r="F343" s="937">
        <v>7152</v>
      </c>
      <c r="G343" s="495">
        <v>1788</v>
      </c>
      <c r="H343" s="496">
        <f>G343/F343</f>
        <v>0.25</v>
      </c>
      <c r="I343" s="497">
        <v>7152</v>
      </c>
      <c r="J343" s="1136">
        <v>22100</v>
      </c>
      <c r="K343" s="1240"/>
      <c r="L343" s="1258">
        <f>J343+K343</f>
        <v>22100</v>
      </c>
      <c r="M343" s="1104">
        <f t="shared" si="206"/>
        <v>3.0900447427293063</v>
      </c>
      <c r="N343" s="500"/>
      <c r="O343" s="939"/>
      <c r="P343" s="939"/>
      <c r="Q343" s="940"/>
      <c r="R343" s="939"/>
      <c r="S343" s="939"/>
      <c r="T343" s="940"/>
      <c r="U343" s="940"/>
      <c r="V343" s="940"/>
      <c r="W343" s="940"/>
      <c r="X343" s="495"/>
      <c r="Y343" s="940"/>
    </row>
    <row r="344" spans="1:25" ht="22.5" x14ac:dyDescent="0.2">
      <c r="A344" s="52"/>
      <c r="B344" s="52"/>
      <c r="C344" s="159"/>
      <c r="D344" s="309"/>
      <c r="E344" s="828" t="s">
        <v>317</v>
      </c>
      <c r="F344" s="1164">
        <v>67952</v>
      </c>
      <c r="G344" s="504">
        <v>42470</v>
      </c>
      <c r="H344" s="505">
        <f>G344/F344</f>
        <v>0.625</v>
      </c>
      <c r="I344" s="512">
        <v>67952</v>
      </c>
      <c r="J344" s="1137">
        <v>104986</v>
      </c>
      <c r="K344" s="1241"/>
      <c r="L344" s="1259">
        <f>J344+K344</f>
        <v>104986</v>
      </c>
      <c r="M344" s="1105">
        <f t="shared" si="206"/>
        <v>1.5450023546032494</v>
      </c>
      <c r="N344" s="506"/>
      <c r="O344" s="941"/>
      <c r="P344" s="941"/>
      <c r="Q344" s="942"/>
      <c r="R344" s="941"/>
      <c r="S344" s="941"/>
      <c r="T344" s="942"/>
      <c r="U344" s="942"/>
      <c r="V344" s="942"/>
      <c r="W344" s="942"/>
      <c r="X344" s="504"/>
      <c r="Y344" s="942"/>
    </row>
    <row r="345" spans="1:25" x14ac:dyDescent="0.2">
      <c r="A345" s="52"/>
      <c r="B345" s="52"/>
      <c r="C345" s="240"/>
      <c r="D345" s="446">
        <v>4010</v>
      </c>
      <c r="E345" s="199" t="s">
        <v>139</v>
      </c>
      <c r="F345" s="200">
        <v>41001</v>
      </c>
      <c r="G345" s="100">
        <v>21593.05</v>
      </c>
      <c r="H345" s="101">
        <f t="shared" si="202"/>
        <v>0.52664691105094996</v>
      </c>
      <c r="I345" s="102">
        <v>41001</v>
      </c>
      <c r="J345" s="1112">
        <v>0</v>
      </c>
      <c r="K345" s="102"/>
      <c r="L345" s="103">
        <f>J345+K345</f>
        <v>0</v>
      </c>
      <c r="M345" s="259">
        <f t="shared" si="206"/>
        <v>0</v>
      </c>
      <c r="N345" s="399"/>
      <c r="O345" s="392"/>
      <c r="P345" s="392"/>
      <c r="Q345" s="393"/>
      <c r="R345" s="392"/>
      <c r="S345" s="392"/>
      <c r="T345" s="393"/>
      <c r="U345" s="393"/>
      <c r="V345" s="393"/>
      <c r="W345" s="393"/>
      <c r="X345" s="56">
        <f>J345</f>
        <v>0</v>
      </c>
      <c r="Y345" s="393">
        <f t="shared" ref="Y345:Y350" si="217">SUM(O345:X345)</f>
        <v>0</v>
      </c>
    </row>
    <row r="346" spans="1:25" x14ac:dyDescent="0.2">
      <c r="A346" s="52"/>
      <c r="B346" s="52"/>
      <c r="C346" s="79"/>
      <c r="D346" s="400">
        <v>4110</v>
      </c>
      <c r="E346" s="81" t="s">
        <v>140</v>
      </c>
      <c r="F346" s="82">
        <v>6978</v>
      </c>
      <c r="G346" s="56">
        <v>3696.97</v>
      </c>
      <c r="H346" s="101">
        <f t="shared" si="202"/>
        <v>0.52980366867297213</v>
      </c>
      <c r="I346" s="58">
        <v>6978</v>
      </c>
      <c r="J346" s="1108">
        <v>0</v>
      </c>
      <c r="K346" s="58"/>
      <c r="L346" s="59">
        <f t="shared" ref="L346:L351" si="218">J346+K346</f>
        <v>0</v>
      </c>
      <c r="M346" s="280">
        <f t="shared" si="206"/>
        <v>0</v>
      </c>
      <c r="N346" s="399"/>
      <c r="O346" s="392"/>
      <c r="P346" s="392"/>
      <c r="Q346" s="393"/>
      <c r="R346" s="392"/>
      <c r="S346" s="392"/>
      <c r="T346" s="393"/>
      <c r="U346" s="393"/>
      <c r="V346" s="393"/>
      <c r="W346" s="393"/>
      <c r="X346" s="56">
        <f t="shared" ref="X346:X351" si="219">J346</f>
        <v>0</v>
      </c>
      <c r="Y346" s="393">
        <f t="shared" si="217"/>
        <v>0</v>
      </c>
    </row>
    <row r="347" spans="1:25" x14ac:dyDescent="0.2">
      <c r="A347" s="52"/>
      <c r="B347" s="52"/>
      <c r="C347" s="203"/>
      <c r="D347" s="402">
        <v>4120</v>
      </c>
      <c r="E347" s="119" t="s">
        <v>141</v>
      </c>
      <c r="F347" s="120">
        <v>1991</v>
      </c>
      <c r="G347" s="56">
        <v>529.03</v>
      </c>
      <c r="H347" s="101">
        <f t="shared" si="202"/>
        <v>0.26571069814163734</v>
      </c>
      <c r="I347" s="58">
        <v>1991</v>
      </c>
      <c r="J347" s="1108">
        <v>0</v>
      </c>
      <c r="K347" s="58"/>
      <c r="L347" s="59">
        <f t="shared" si="218"/>
        <v>0</v>
      </c>
      <c r="M347" s="280">
        <f t="shared" si="206"/>
        <v>0</v>
      </c>
      <c r="N347" s="399"/>
      <c r="O347" s="392"/>
      <c r="P347" s="392"/>
      <c r="Q347" s="393"/>
      <c r="R347" s="392"/>
      <c r="S347" s="392"/>
      <c r="T347" s="393"/>
      <c r="U347" s="393"/>
      <c r="V347" s="393"/>
      <c r="W347" s="393"/>
      <c r="X347" s="56">
        <f t="shared" si="219"/>
        <v>0</v>
      </c>
      <c r="Y347" s="393">
        <f t="shared" si="217"/>
        <v>0</v>
      </c>
    </row>
    <row r="348" spans="1:25" x14ac:dyDescent="0.2">
      <c r="A348" s="52"/>
      <c r="B348" s="52"/>
      <c r="C348" s="79"/>
      <c r="D348" s="400">
        <v>4210</v>
      </c>
      <c r="E348" s="81" t="s">
        <v>142</v>
      </c>
      <c r="F348" s="82">
        <v>700</v>
      </c>
      <c r="G348" s="56">
        <v>508.42</v>
      </c>
      <c r="H348" s="101">
        <f t="shared" si="202"/>
        <v>0.72631428571428569</v>
      </c>
      <c r="I348" s="58">
        <v>700</v>
      </c>
      <c r="J348" s="1108">
        <v>0</v>
      </c>
      <c r="K348" s="58"/>
      <c r="L348" s="59">
        <f t="shared" si="218"/>
        <v>0</v>
      </c>
      <c r="M348" s="280">
        <f t="shared" si="206"/>
        <v>0</v>
      </c>
      <c r="N348" s="399"/>
      <c r="O348" s="392"/>
      <c r="P348" s="392"/>
      <c r="Q348" s="393"/>
      <c r="R348" s="392"/>
      <c r="S348" s="392"/>
      <c r="T348" s="393"/>
      <c r="U348" s="393"/>
      <c r="V348" s="393"/>
      <c r="W348" s="393"/>
      <c r="X348" s="56">
        <f t="shared" si="219"/>
        <v>0</v>
      </c>
      <c r="Y348" s="393">
        <f t="shared" si="217"/>
        <v>0</v>
      </c>
    </row>
    <row r="349" spans="1:25" x14ac:dyDescent="0.2">
      <c r="A349" s="52"/>
      <c r="B349" s="52"/>
      <c r="C349" s="79"/>
      <c r="D349" s="400">
        <v>4260</v>
      </c>
      <c r="E349" s="81" t="s">
        <v>149</v>
      </c>
      <c r="F349" s="134">
        <v>1550</v>
      </c>
      <c r="G349" s="56">
        <v>1139.3699999999999</v>
      </c>
      <c r="H349" s="101">
        <f t="shared" si="202"/>
        <v>0.73507741935483861</v>
      </c>
      <c r="I349" s="58">
        <v>1550</v>
      </c>
      <c r="J349" s="1108">
        <v>0</v>
      </c>
      <c r="K349" s="58"/>
      <c r="L349" s="59">
        <f t="shared" si="218"/>
        <v>0</v>
      </c>
      <c r="M349" s="280">
        <f t="shared" si="206"/>
        <v>0</v>
      </c>
      <c r="N349" s="399"/>
      <c r="O349" s="392"/>
      <c r="P349" s="392"/>
      <c r="Q349" s="393"/>
      <c r="R349" s="392"/>
      <c r="S349" s="392"/>
      <c r="T349" s="393"/>
      <c r="U349" s="393"/>
      <c r="V349" s="393"/>
      <c r="W349" s="393"/>
      <c r="X349" s="56">
        <f t="shared" si="219"/>
        <v>0</v>
      </c>
      <c r="Y349" s="393">
        <f t="shared" si="217"/>
        <v>0</v>
      </c>
    </row>
    <row r="350" spans="1:25" x14ac:dyDescent="0.2">
      <c r="A350" s="52"/>
      <c r="B350" s="52"/>
      <c r="C350" s="79"/>
      <c r="D350" s="400">
        <v>4300</v>
      </c>
      <c r="E350" s="81" t="s">
        <v>143</v>
      </c>
      <c r="F350" s="82">
        <v>14340</v>
      </c>
      <c r="G350" s="56">
        <v>10891.41</v>
      </c>
      <c r="H350" s="101">
        <f t="shared" si="202"/>
        <v>0.75951255230125525</v>
      </c>
      <c r="I350" s="58">
        <v>14340</v>
      </c>
      <c r="J350" s="1108">
        <v>0</v>
      </c>
      <c r="K350" s="58"/>
      <c r="L350" s="59">
        <f t="shared" si="218"/>
        <v>0</v>
      </c>
      <c r="M350" s="280">
        <f t="shared" si="206"/>
        <v>0</v>
      </c>
      <c r="N350" s="399"/>
      <c r="O350" s="392"/>
      <c r="P350" s="392"/>
      <c r="Q350" s="393"/>
      <c r="R350" s="392"/>
      <c r="S350" s="392"/>
      <c r="T350" s="393"/>
      <c r="U350" s="393"/>
      <c r="V350" s="393"/>
      <c r="W350" s="393"/>
      <c r="X350" s="56">
        <f t="shared" si="219"/>
        <v>0</v>
      </c>
      <c r="Y350" s="393">
        <f t="shared" si="217"/>
        <v>0</v>
      </c>
    </row>
    <row r="351" spans="1:25" x14ac:dyDescent="0.2">
      <c r="A351" s="52"/>
      <c r="B351" s="52"/>
      <c r="C351" s="52"/>
      <c r="D351" s="474">
        <v>4360</v>
      </c>
      <c r="E351" s="128" t="s">
        <v>363</v>
      </c>
      <c r="F351" s="129">
        <v>80</v>
      </c>
      <c r="G351" s="100">
        <v>44.59</v>
      </c>
      <c r="H351" s="101">
        <f t="shared" si="202"/>
        <v>0.55737500000000006</v>
      </c>
      <c r="I351" s="102">
        <v>66.89</v>
      </c>
      <c r="J351" s="1112">
        <v>0</v>
      </c>
      <c r="K351" s="58"/>
      <c r="L351" s="59">
        <f t="shared" si="218"/>
        <v>0</v>
      </c>
      <c r="M351" s="280">
        <f t="shared" si="206"/>
        <v>0</v>
      </c>
      <c r="N351" s="399"/>
      <c r="O351" s="392"/>
      <c r="P351" s="392"/>
      <c r="Q351" s="393"/>
      <c r="R351" s="392"/>
      <c r="S351" s="392"/>
      <c r="T351" s="393"/>
      <c r="U351" s="393"/>
      <c r="V351" s="393"/>
      <c r="W351" s="393"/>
      <c r="X351" s="56">
        <f t="shared" si="219"/>
        <v>0</v>
      </c>
      <c r="Y351" s="393">
        <f>SUM(O351:X351)</f>
        <v>0</v>
      </c>
    </row>
    <row r="352" spans="1:25" ht="67.5" x14ac:dyDescent="0.2">
      <c r="A352" s="52"/>
      <c r="B352" s="246">
        <v>80150</v>
      </c>
      <c r="C352" s="247"/>
      <c r="D352" s="248"/>
      <c r="E352" s="249" t="s">
        <v>366</v>
      </c>
      <c r="F352" s="317">
        <f>F353+F357+F358+F359+F360+F362+F363+F364+F361</f>
        <v>670452.98</v>
      </c>
      <c r="G352" s="317">
        <f t="shared" ref="G352:I352" si="220">G353+G357+G358+G359+G360+G362+G363+G364+G361</f>
        <v>237220.34000000003</v>
      </c>
      <c r="H352" s="578">
        <f t="shared" si="202"/>
        <v>0.35382099427763009</v>
      </c>
      <c r="I352" s="317">
        <f t="shared" si="220"/>
        <v>670452.98</v>
      </c>
      <c r="J352" s="1131">
        <f>J353+J357+J358+J359+J360+J361+J362+J363+J364</f>
        <v>25641</v>
      </c>
      <c r="K352" s="1043">
        <f t="shared" ref="K352:L352" si="221">K353+K357+K358+K359+K360+K361+K362+K363+K364</f>
        <v>0</v>
      </c>
      <c r="L352" s="307">
        <f t="shared" si="221"/>
        <v>25641</v>
      </c>
      <c r="M352" s="78">
        <f t="shared" si="206"/>
        <v>3.824429268701289E-2</v>
      </c>
      <c r="N352" s="803"/>
      <c r="O352" s="475"/>
      <c r="P352" s="475">
        <f t="shared" ref="P352:W352" si="222">SUM(P353:P386)</f>
        <v>0</v>
      </c>
      <c r="Q352" s="475">
        <f t="shared" si="222"/>
        <v>0</v>
      </c>
      <c r="R352" s="475">
        <f t="shared" si="222"/>
        <v>0</v>
      </c>
      <c r="S352" s="475">
        <f>S353</f>
        <v>0</v>
      </c>
      <c r="T352" s="475">
        <f t="shared" si="222"/>
        <v>25641</v>
      </c>
      <c r="U352" s="475"/>
      <c r="V352" s="475">
        <f t="shared" si="222"/>
        <v>0</v>
      </c>
      <c r="W352" s="475">
        <f t="shared" si="222"/>
        <v>0</v>
      </c>
      <c r="X352" s="475">
        <f>X357+X358+X359+X360+X361+X362+X363+X364</f>
        <v>0</v>
      </c>
      <c r="Y352" s="475">
        <f>SUM(O352:X352)</f>
        <v>25641</v>
      </c>
    </row>
    <row r="353" spans="1:25" ht="22.5" x14ac:dyDescent="0.2">
      <c r="A353" s="52"/>
      <c r="B353" s="52"/>
      <c r="C353" s="52"/>
      <c r="D353" s="474">
        <v>2540</v>
      </c>
      <c r="E353" s="98" t="s">
        <v>219</v>
      </c>
      <c r="F353" s="129">
        <f>F355+F356</f>
        <v>24894</v>
      </c>
      <c r="G353" s="129">
        <f>G355+G356</f>
        <v>18670.5</v>
      </c>
      <c r="H353" s="262">
        <f t="shared" ref="H353" si="223">G353/F353</f>
        <v>0.75</v>
      </c>
      <c r="I353" s="263">
        <f>I355+I356</f>
        <v>24894</v>
      </c>
      <c r="J353" s="1109">
        <f>J355+J356</f>
        <v>25641</v>
      </c>
      <c r="K353" s="1055">
        <f t="shared" ref="K353:L353" si="224">K355+K356</f>
        <v>0</v>
      </c>
      <c r="L353" s="138">
        <f t="shared" si="224"/>
        <v>25641</v>
      </c>
      <c r="M353" s="999">
        <f t="shared" si="206"/>
        <v>1.0300072306579899</v>
      </c>
      <c r="N353" s="403"/>
      <c r="O353" s="806">
        <f>O355+O356</f>
        <v>0</v>
      </c>
      <c r="P353" s="806">
        <f t="shared" ref="P353:X353" si="225">P355+P356</f>
        <v>0</v>
      </c>
      <c r="Q353" s="806">
        <f t="shared" si="225"/>
        <v>0</v>
      </c>
      <c r="R353" s="806">
        <f t="shared" si="225"/>
        <v>0</v>
      </c>
      <c r="S353" s="806">
        <f t="shared" si="225"/>
        <v>0</v>
      </c>
      <c r="T353" s="806">
        <f>J353</f>
        <v>25641</v>
      </c>
      <c r="U353" s="806">
        <f t="shared" si="225"/>
        <v>0</v>
      </c>
      <c r="V353" s="806">
        <f t="shared" si="225"/>
        <v>0</v>
      </c>
      <c r="W353" s="806">
        <f t="shared" si="225"/>
        <v>0</v>
      </c>
      <c r="X353" s="806">
        <f t="shared" si="225"/>
        <v>0</v>
      </c>
      <c r="Y353" s="807">
        <f>SUM(O353:X353)</f>
        <v>25641</v>
      </c>
    </row>
    <row r="354" spans="1:25" x14ac:dyDescent="0.2">
      <c r="A354" s="52"/>
      <c r="B354" s="52"/>
      <c r="C354" s="52"/>
      <c r="D354" s="474"/>
      <c r="E354" s="936" t="s">
        <v>123</v>
      </c>
      <c r="F354" s="129"/>
      <c r="G354" s="261"/>
      <c r="H354" s="262"/>
      <c r="I354" s="263"/>
      <c r="J354" s="1109"/>
      <c r="K354" s="263"/>
      <c r="L354" s="138"/>
      <c r="M354" s="1103"/>
      <c r="N354" s="500"/>
      <c r="O354" s="939"/>
      <c r="P354" s="939"/>
      <c r="Q354" s="940"/>
      <c r="R354" s="939"/>
      <c r="S354" s="939"/>
      <c r="T354" s="940"/>
      <c r="U354" s="940"/>
      <c r="V354" s="940"/>
      <c r="W354" s="940"/>
      <c r="X354" s="495"/>
      <c r="Y354" s="940"/>
    </row>
    <row r="355" spans="1:25" x14ac:dyDescent="0.2">
      <c r="A355" s="52"/>
      <c r="B355" s="52"/>
      <c r="C355" s="52"/>
      <c r="D355" s="474"/>
      <c r="E355" s="576" t="s">
        <v>367</v>
      </c>
      <c r="F355" s="937">
        <v>24894</v>
      </c>
      <c r="G355" s="495">
        <v>18670.5</v>
      </c>
      <c r="H355" s="496">
        <f>G355/F355</f>
        <v>0.75</v>
      </c>
      <c r="I355" s="497">
        <v>24894</v>
      </c>
      <c r="J355" s="1136">
        <v>25641</v>
      </c>
      <c r="K355" s="1240"/>
      <c r="L355" s="1258">
        <f>J355+K355</f>
        <v>25641</v>
      </c>
      <c r="M355" s="1103">
        <f t="shared" si="206"/>
        <v>1.0300072306579899</v>
      </c>
      <c r="N355" s="500"/>
      <c r="O355" s="939"/>
      <c r="P355" s="939"/>
      <c r="Q355" s="940"/>
      <c r="R355" s="939"/>
      <c r="S355" s="939"/>
      <c r="T355" s="940"/>
      <c r="U355" s="940"/>
      <c r="V355" s="940"/>
      <c r="W355" s="940"/>
      <c r="X355" s="495"/>
      <c r="Y355" s="940"/>
    </row>
    <row r="356" spans="1:25" x14ac:dyDescent="0.2">
      <c r="A356" s="52"/>
      <c r="B356" s="52"/>
      <c r="C356" s="240"/>
      <c r="D356" s="446"/>
      <c r="E356" s="828"/>
      <c r="F356" s="938"/>
      <c r="G356" s="504"/>
      <c r="H356" s="504"/>
      <c r="I356" s="512"/>
      <c r="J356" s="1137"/>
      <c r="K356" s="497"/>
      <c r="L356" s="1258"/>
      <c r="M356" s="259"/>
      <c r="N356" s="506"/>
      <c r="O356" s="941"/>
      <c r="P356" s="941"/>
      <c r="Q356" s="942"/>
      <c r="R356" s="941"/>
      <c r="S356" s="941"/>
      <c r="T356" s="942"/>
      <c r="U356" s="942"/>
      <c r="V356" s="942"/>
      <c r="W356" s="942"/>
      <c r="X356" s="504"/>
      <c r="Y356" s="942"/>
    </row>
    <row r="357" spans="1:25" x14ac:dyDescent="0.2">
      <c r="A357" s="52"/>
      <c r="B357" s="52"/>
      <c r="C357" s="79"/>
      <c r="D357" s="400">
        <v>4010</v>
      </c>
      <c r="E357" s="81" t="s">
        <v>139</v>
      </c>
      <c r="F357" s="201">
        <v>532080</v>
      </c>
      <c r="G357" s="56">
        <v>177391.06</v>
      </c>
      <c r="H357" s="101">
        <f t="shared" ref="H357:H365" si="226">G357/F357</f>
        <v>0.3333917080138325</v>
      </c>
      <c r="I357" s="58">
        <v>532080</v>
      </c>
      <c r="J357" s="1108">
        <v>0</v>
      </c>
      <c r="K357" s="58"/>
      <c r="L357" s="59">
        <f>J357+K357</f>
        <v>0</v>
      </c>
      <c r="M357" s="280">
        <f t="shared" si="206"/>
        <v>0</v>
      </c>
      <c r="N357" s="399"/>
      <c r="O357" s="392"/>
      <c r="P357" s="392"/>
      <c r="Q357" s="393"/>
      <c r="R357" s="392"/>
      <c r="S357" s="392"/>
      <c r="T357" s="393"/>
      <c r="U357" s="393"/>
      <c r="V357" s="393"/>
      <c r="W357" s="393"/>
      <c r="X357" s="56">
        <f>J357</f>
        <v>0</v>
      </c>
      <c r="Y357" s="393">
        <f t="shared" ref="Y357:Y363" si="227">SUM(O357:X357)</f>
        <v>0</v>
      </c>
    </row>
    <row r="358" spans="1:25" x14ac:dyDescent="0.2">
      <c r="A358" s="52"/>
      <c r="B358" s="52"/>
      <c r="C358" s="79"/>
      <c r="D358" s="400">
        <v>4110</v>
      </c>
      <c r="E358" s="81" t="s">
        <v>140</v>
      </c>
      <c r="F358" s="82">
        <v>91780</v>
      </c>
      <c r="G358" s="56">
        <v>30576.37</v>
      </c>
      <c r="H358" s="101">
        <f t="shared" si="226"/>
        <v>0.33314850730006534</v>
      </c>
      <c r="I358" s="58">
        <v>91780</v>
      </c>
      <c r="J358" s="1108">
        <v>0</v>
      </c>
      <c r="K358" s="58"/>
      <c r="L358" s="59">
        <f t="shared" ref="L358:L364" si="228">J358+K358</f>
        <v>0</v>
      </c>
      <c r="M358" s="280">
        <f t="shared" si="206"/>
        <v>0</v>
      </c>
      <c r="N358" s="399"/>
      <c r="O358" s="392"/>
      <c r="P358" s="392"/>
      <c r="Q358" s="393"/>
      <c r="R358" s="392"/>
      <c r="S358" s="392"/>
      <c r="T358" s="393"/>
      <c r="U358" s="393"/>
      <c r="V358" s="393"/>
      <c r="W358" s="393"/>
      <c r="X358" s="56">
        <f t="shared" ref="X358:X364" si="229">J358</f>
        <v>0</v>
      </c>
      <c r="Y358" s="393">
        <f t="shared" si="227"/>
        <v>0</v>
      </c>
    </row>
    <row r="359" spans="1:25" x14ac:dyDescent="0.2">
      <c r="A359" s="52"/>
      <c r="B359" s="52"/>
      <c r="C359" s="203"/>
      <c r="D359" s="402">
        <v>4120</v>
      </c>
      <c r="E359" s="119" t="s">
        <v>141</v>
      </c>
      <c r="F359" s="120">
        <v>12704</v>
      </c>
      <c r="G359" s="56">
        <v>4341.4799999999996</v>
      </c>
      <c r="H359" s="101">
        <f t="shared" si="226"/>
        <v>0.34174118387909319</v>
      </c>
      <c r="I359" s="58">
        <v>12704</v>
      </c>
      <c r="J359" s="1108">
        <v>0</v>
      </c>
      <c r="K359" s="58"/>
      <c r="L359" s="59">
        <f t="shared" si="228"/>
        <v>0</v>
      </c>
      <c r="M359" s="280">
        <f t="shared" si="206"/>
        <v>0</v>
      </c>
      <c r="N359" s="399"/>
      <c r="O359" s="392"/>
      <c r="P359" s="392"/>
      <c r="Q359" s="393"/>
      <c r="R359" s="392"/>
      <c r="S359" s="392"/>
      <c r="T359" s="393"/>
      <c r="U359" s="393"/>
      <c r="V359" s="393"/>
      <c r="W359" s="393"/>
      <c r="X359" s="56">
        <f t="shared" si="229"/>
        <v>0</v>
      </c>
      <c r="Y359" s="393">
        <f t="shared" si="227"/>
        <v>0</v>
      </c>
    </row>
    <row r="360" spans="1:25" x14ac:dyDescent="0.2">
      <c r="A360" s="52"/>
      <c r="B360" s="52"/>
      <c r="C360" s="79"/>
      <c r="D360" s="400">
        <v>4210</v>
      </c>
      <c r="E360" s="81" t="s">
        <v>142</v>
      </c>
      <c r="F360" s="82">
        <v>851.73</v>
      </c>
      <c r="G360" s="56">
        <v>551.28</v>
      </c>
      <c r="H360" s="101">
        <f t="shared" si="226"/>
        <v>0.64724736712338415</v>
      </c>
      <c r="I360" s="58">
        <v>851.73</v>
      </c>
      <c r="J360" s="1108">
        <v>0</v>
      </c>
      <c r="K360" s="58"/>
      <c r="L360" s="59">
        <f t="shared" si="228"/>
        <v>0</v>
      </c>
      <c r="M360" s="280">
        <f t="shared" si="206"/>
        <v>0</v>
      </c>
      <c r="N360" s="399"/>
      <c r="O360" s="392"/>
      <c r="P360" s="392"/>
      <c r="Q360" s="393"/>
      <c r="R360" s="392"/>
      <c r="S360" s="392"/>
      <c r="T360" s="393"/>
      <c r="U360" s="393"/>
      <c r="V360" s="393"/>
      <c r="W360" s="393"/>
      <c r="X360" s="56">
        <f t="shared" si="229"/>
        <v>0</v>
      </c>
      <c r="Y360" s="393">
        <f t="shared" si="227"/>
        <v>0</v>
      </c>
    </row>
    <row r="361" spans="1:25" ht="22.5" x14ac:dyDescent="0.2">
      <c r="A361" s="52"/>
      <c r="B361" s="52"/>
      <c r="C361" s="203"/>
      <c r="D361" s="402">
        <v>4240</v>
      </c>
      <c r="E361" s="122" t="s">
        <v>184</v>
      </c>
      <c r="F361" s="120">
        <v>173.25</v>
      </c>
      <c r="G361" s="56">
        <v>0</v>
      </c>
      <c r="H361" s="101">
        <f t="shared" si="226"/>
        <v>0</v>
      </c>
      <c r="I361" s="58">
        <v>173.25</v>
      </c>
      <c r="J361" s="1108">
        <v>0</v>
      </c>
      <c r="K361" s="58"/>
      <c r="L361" s="59">
        <f t="shared" si="228"/>
        <v>0</v>
      </c>
      <c r="M361" s="280">
        <f t="shared" si="206"/>
        <v>0</v>
      </c>
      <c r="N361" s="399"/>
      <c r="O361" s="392"/>
      <c r="P361" s="392"/>
      <c r="Q361" s="393"/>
      <c r="R361" s="392"/>
      <c r="S361" s="392"/>
      <c r="T361" s="393"/>
      <c r="U361" s="393"/>
      <c r="V361" s="393"/>
      <c r="W361" s="393"/>
      <c r="X361" s="56">
        <f t="shared" si="229"/>
        <v>0</v>
      </c>
      <c r="Y361" s="393">
        <f t="shared" si="227"/>
        <v>0</v>
      </c>
    </row>
    <row r="362" spans="1:25" x14ac:dyDescent="0.2">
      <c r="A362" s="52"/>
      <c r="B362" s="52"/>
      <c r="C362" s="240"/>
      <c r="D362" s="446">
        <v>4260</v>
      </c>
      <c r="E362" s="199" t="s">
        <v>149</v>
      </c>
      <c r="F362" s="415">
        <v>6800</v>
      </c>
      <c r="G362" s="100">
        <v>5017.76</v>
      </c>
      <c r="H362" s="101">
        <f t="shared" si="226"/>
        <v>0.73790588235294119</v>
      </c>
      <c r="I362" s="102">
        <v>6800</v>
      </c>
      <c r="J362" s="1112">
        <v>0</v>
      </c>
      <c r="K362" s="102"/>
      <c r="L362" s="103">
        <f t="shared" si="228"/>
        <v>0</v>
      </c>
      <c r="M362" s="259">
        <f t="shared" si="206"/>
        <v>0</v>
      </c>
      <c r="N362" s="399"/>
      <c r="O362" s="392"/>
      <c r="P362" s="392"/>
      <c r="Q362" s="393"/>
      <c r="R362" s="392"/>
      <c r="S362" s="392"/>
      <c r="T362" s="393"/>
      <c r="U362" s="393"/>
      <c r="V362" s="393"/>
      <c r="W362" s="393"/>
      <c r="X362" s="56">
        <f t="shared" si="229"/>
        <v>0</v>
      </c>
      <c r="Y362" s="393">
        <f t="shared" si="227"/>
        <v>0</v>
      </c>
    </row>
    <row r="363" spans="1:25" x14ac:dyDescent="0.2">
      <c r="A363" s="52"/>
      <c r="B363" s="52"/>
      <c r="C363" s="79"/>
      <c r="D363" s="400">
        <v>4300</v>
      </c>
      <c r="E363" s="81" t="s">
        <v>143</v>
      </c>
      <c r="F363" s="82">
        <v>870</v>
      </c>
      <c r="G363" s="56">
        <v>498.38</v>
      </c>
      <c r="H363" s="101">
        <f t="shared" si="226"/>
        <v>0.57285057471264367</v>
      </c>
      <c r="I363" s="58">
        <v>870</v>
      </c>
      <c r="J363" s="1108">
        <v>0</v>
      </c>
      <c r="K363" s="58"/>
      <c r="L363" s="59">
        <f t="shared" si="228"/>
        <v>0</v>
      </c>
      <c r="M363" s="280">
        <f t="shared" si="206"/>
        <v>0</v>
      </c>
      <c r="N363" s="399"/>
      <c r="O363" s="392"/>
      <c r="P363" s="392"/>
      <c r="Q363" s="393"/>
      <c r="R363" s="392"/>
      <c r="S363" s="392"/>
      <c r="T363" s="393"/>
      <c r="U363" s="393"/>
      <c r="V363" s="393"/>
      <c r="W363" s="393"/>
      <c r="X363" s="56">
        <f t="shared" si="229"/>
        <v>0</v>
      </c>
      <c r="Y363" s="393">
        <f t="shared" si="227"/>
        <v>0</v>
      </c>
    </row>
    <row r="364" spans="1:25" x14ac:dyDescent="0.2">
      <c r="A364" s="52"/>
      <c r="B364" s="52"/>
      <c r="C364" s="52"/>
      <c r="D364" s="474">
        <v>4360</v>
      </c>
      <c r="E364" s="128" t="s">
        <v>363</v>
      </c>
      <c r="F364" s="129">
        <v>300</v>
      </c>
      <c r="G364" s="100">
        <v>173.51</v>
      </c>
      <c r="H364" s="101">
        <f t="shared" si="226"/>
        <v>0.57836666666666658</v>
      </c>
      <c r="I364" s="102">
        <v>300</v>
      </c>
      <c r="J364" s="1112">
        <v>0</v>
      </c>
      <c r="K364" s="263"/>
      <c r="L364" s="59">
        <f t="shared" si="228"/>
        <v>0</v>
      </c>
      <c r="M364" s="280">
        <f t="shared" si="206"/>
        <v>0</v>
      </c>
      <c r="N364" s="399"/>
      <c r="O364" s="392"/>
      <c r="P364" s="392"/>
      <c r="Q364" s="393"/>
      <c r="R364" s="392"/>
      <c r="S364" s="392"/>
      <c r="T364" s="393"/>
      <c r="U364" s="393"/>
      <c r="V364" s="393"/>
      <c r="W364" s="393"/>
      <c r="X364" s="56">
        <f t="shared" si="229"/>
        <v>0</v>
      </c>
      <c r="Y364" s="393">
        <f>SUM(O364:X364)</f>
        <v>0</v>
      </c>
    </row>
    <row r="365" spans="1:25" x14ac:dyDescent="0.2">
      <c r="A365" s="52"/>
      <c r="B365" s="228">
        <v>80195</v>
      </c>
      <c r="C365" s="232"/>
      <c r="D365" s="233"/>
      <c r="E365" s="234" t="s">
        <v>14</v>
      </c>
      <c r="F365" s="269">
        <f>SUM(F366:F368)</f>
        <v>158737</v>
      </c>
      <c r="G365" s="269">
        <f t="shared" ref="G365:I365" si="230">SUM(G366:G368)</f>
        <v>158537</v>
      </c>
      <c r="H365" s="578">
        <f t="shared" si="226"/>
        <v>0.99874005430365953</v>
      </c>
      <c r="I365" s="269">
        <f t="shared" si="230"/>
        <v>158737</v>
      </c>
      <c r="J365" s="1122">
        <f>SUM(J367:J368)</f>
        <v>170099</v>
      </c>
      <c r="K365" s="1006">
        <f t="shared" ref="K365:L365" si="231">SUM(K367:K368)</f>
        <v>0</v>
      </c>
      <c r="L365" s="238">
        <f t="shared" si="231"/>
        <v>170099</v>
      </c>
      <c r="M365" s="78">
        <f t="shared" si="206"/>
        <v>1.0715775150091031</v>
      </c>
      <c r="N365" s="802"/>
      <c r="O365" s="443">
        <f t="shared" ref="O365:X365" si="232">SUM(O367:O368)</f>
        <v>1800</v>
      </c>
      <c r="P365" s="443">
        <f t="shared" si="232"/>
        <v>0</v>
      </c>
      <c r="Q365" s="443">
        <f t="shared" si="232"/>
        <v>0</v>
      </c>
      <c r="R365" s="443">
        <f t="shared" si="232"/>
        <v>0</v>
      </c>
      <c r="S365" s="443">
        <f t="shared" si="232"/>
        <v>0</v>
      </c>
      <c r="T365" s="443">
        <f t="shared" si="232"/>
        <v>0</v>
      </c>
      <c r="U365" s="443">
        <f t="shared" si="232"/>
        <v>0</v>
      </c>
      <c r="V365" s="443">
        <f t="shared" si="232"/>
        <v>0</v>
      </c>
      <c r="W365" s="443">
        <f t="shared" si="232"/>
        <v>0</v>
      </c>
      <c r="X365" s="443">
        <f t="shared" si="232"/>
        <v>168299</v>
      </c>
      <c r="Y365" s="443">
        <f t="shared" si="212"/>
        <v>170099</v>
      </c>
    </row>
    <row r="366" spans="1:25" s="586" customFormat="1" ht="33.75" x14ac:dyDescent="0.2">
      <c r="A366" s="23"/>
      <c r="B366" s="274"/>
      <c r="C366" s="312"/>
      <c r="D366" s="540">
        <v>2710</v>
      </c>
      <c r="E366" s="830" t="s">
        <v>368</v>
      </c>
      <c r="F366" s="352">
        <v>1000</v>
      </c>
      <c r="G366" s="257">
        <v>1000</v>
      </c>
      <c r="H366" s="551">
        <f>G366/F366</f>
        <v>1</v>
      </c>
      <c r="I366" s="257">
        <v>1000</v>
      </c>
      <c r="J366" s="1120">
        <v>0</v>
      </c>
      <c r="K366" s="353"/>
      <c r="L366" s="258">
        <f>J366+K366</f>
        <v>0</v>
      </c>
      <c r="M366" s="280">
        <f t="shared" si="206"/>
        <v>0</v>
      </c>
      <c r="N366" s="802"/>
      <c r="O366" s="255"/>
      <c r="P366" s="255"/>
      <c r="Q366" s="255"/>
      <c r="R366" s="255"/>
      <c r="S366" s="255"/>
      <c r="T366" s="255"/>
      <c r="U366" s="255"/>
      <c r="V366" s="255"/>
      <c r="W366" s="255"/>
      <c r="X366" s="255"/>
      <c r="Y366" s="255">
        <f>SUM(O366:X366)</f>
        <v>0</v>
      </c>
    </row>
    <row r="367" spans="1:25" x14ac:dyDescent="0.2">
      <c r="A367" s="52"/>
      <c r="B367" s="52"/>
      <c r="C367" s="333"/>
      <c r="D367" s="468">
        <v>4210</v>
      </c>
      <c r="E367" s="125" t="s">
        <v>142</v>
      </c>
      <c r="F367" s="270">
        <v>200</v>
      </c>
      <c r="G367" s="56">
        <v>0</v>
      </c>
      <c r="H367" s="57">
        <f t="shared" si="202"/>
        <v>0</v>
      </c>
      <c r="I367" s="58">
        <v>200</v>
      </c>
      <c r="J367" s="1108">
        <v>1800</v>
      </c>
      <c r="K367" s="58"/>
      <c r="L367" s="258">
        <f t="shared" ref="L367:L368" si="233">J367+K367</f>
        <v>1800</v>
      </c>
      <c r="M367" s="280">
        <f t="shared" si="206"/>
        <v>9</v>
      </c>
      <c r="N367" s="399" t="s">
        <v>410</v>
      </c>
      <c r="O367" s="392">
        <v>1800</v>
      </c>
      <c r="P367" s="392"/>
      <c r="Q367" s="393"/>
      <c r="R367" s="392"/>
      <c r="S367" s="392"/>
      <c r="T367" s="393"/>
      <c r="U367" s="393"/>
      <c r="V367" s="393"/>
      <c r="W367" s="393"/>
      <c r="X367" s="393"/>
      <c r="Y367" s="393">
        <f t="shared" si="212"/>
        <v>1800</v>
      </c>
    </row>
    <row r="368" spans="1:25" ht="22.5" x14ac:dyDescent="0.2">
      <c r="A368" s="52"/>
      <c r="B368" s="52"/>
      <c r="C368" s="240"/>
      <c r="D368" s="446">
        <v>4440</v>
      </c>
      <c r="E368" s="199" t="s">
        <v>191</v>
      </c>
      <c r="F368" s="200">
        <v>157537</v>
      </c>
      <c r="G368" s="100">
        <v>157537</v>
      </c>
      <c r="H368" s="101">
        <f t="shared" si="202"/>
        <v>1</v>
      </c>
      <c r="I368" s="102">
        <v>157537</v>
      </c>
      <c r="J368" s="1112">
        <v>168299</v>
      </c>
      <c r="K368" s="263"/>
      <c r="L368" s="258">
        <f t="shared" si="233"/>
        <v>168299</v>
      </c>
      <c r="M368" s="280">
        <f t="shared" si="206"/>
        <v>1.0683141103359846</v>
      </c>
      <c r="N368" s="466"/>
      <c r="O368" s="392"/>
      <c r="P368" s="392"/>
      <c r="Q368" s="393"/>
      <c r="R368" s="392"/>
      <c r="S368" s="392"/>
      <c r="T368" s="393"/>
      <c r="U368" s="393"/>
      <c r="V368" s="393"/>
      <c r="W368" s="393"/>
      <c r="X368" s="100">
        <f>J368</f>
        <v>168299</v>
      </c>
      <c r="Y368" s="393">
        <f t="shared" si="212"/>
        <v>168299</v>
      </c>
    </row>
    <row r="369" spans="1:25" s="586" customFormat="1" x14ac:dyDescent="0.2">
      <c r="A369" s="416">
        <v>851</v>
      </c>
      <c r="B369" s="104"/>
      <c r="C369" s="104"/>
      <c r="D369" s="145"/>
      <c r="E369" s="146" t="s">
        <v>227</v>
      </c>
      <c r="F369" s="447">
        <f>F373+F378+F390+F370</f>
        <v>404000</v>
      </c>
      <c r="G369" s="447">
        <f>G373+G378+G390+G370</f>
        <v>315597.52999999997</v>
      </c>
      <c r="H369" s="148">
        <f>G369/F369</f>
        <v>0.78118200495049495</v>
      </c>
      <c r="I369" s="149">
        <f>I373+I378+I390+I370</f>
        <v>393881.43</v>
      </c>
      <c r="J369" s="1121">
        <f>J373+J378+J390</f>
        <v>279000</v>
      </c>
      <c r="K369" s="1218">
        <f t="shared" ref="K369:L369" si="234">K373+K378+K390</f>
        <v>-2000</v>
      </c>
      <c r="L369" s="150">
        <f t="shared" si="234"/>
        <v>277000</v>
      </c>
      <c r="M369" s="171">
        <f t="shared" si="206"/>
        <v>0.6856435643564357</v>
      </c>
      <c r="N369" s="809"/>
      <c r="O369" s="448">
        <f t="shared" ref="O369:X369" si="235">O373+O378+O390</f>
        <v>0</v>
      </c>
      <c r="P369" s="448">
        <f t="shared" si="235"/>
        <v>0</v>
      </c>
      <c r="Q369" s="448">
        <f t="shared" si="235"/>
        <v>0</v>
      </c>
      <c r="R369" s="448">
        <f t="shared" si="235"/>
        <v>0</v>
      </c>
      <c r="S369" s="448">
        <f t="shared" si="235"/>
        <v>2000</v>
      </c>
      <c r="T369" s="448">
        <f t="shared" si="235"/>
        <v>0</v>
      </c>
      <c r="U369" s="448">
        <f t="shared" si="235"/>
        <v>275000</v>
      </c>
      <c r="V369" s="448">
        <f t="shared" si="235"/>
        <v>0</v>
      </c>
      <c r="W369" s="448">
        <f t="shared" si="235"/>
        <v>0</v>
      </c>
      <c r="X369" s="448">
        <f t="shared" si="235"/>
        <v>0</v>
      </c>
      <c r="Y369" s="448">
        <f t="shared" si="212"/>
        <v>277000</v>
      </c>
    </row>
    <row r="370" spans="1:25" s="586" customFormat="1" x14ac:dyDescent="0.2">
      <c r="A370" s="418"/>
      <c r="B370" s="111">
        <v>85111</v>
      </c>
      <c r="C370" s="186"/>
      <c r="D370" s="45"/>
      <c r="E370" s="76" t="s">
        <v>352</v>
      </c>
      <c r="F370" s="946">
        <f>F371+F372</f>
        <v>127000</v>
      </c>
      <c r="G370" s="946">
        <f t="shared" ref="G370:X370" si="236">G371+G372</f>
        <v>127000</v>
      </c>
      <c r="H370" s="953">
        <f>G370/F370</f>
        <v>1</v>
      </c>
      <c r="I370" s="946">
        <f t="shared" si="236"/>
        <v>127000</v>
      </c>
      <c r="J370" s="1148">
        <f t="shared" si="236"/>
        <v>0</v>
      </c>
      <c r="K370" s="1242">
        <f t="shared" si="236"/>
        <v>0</v>
      </c>
      <c r="L370" s="1263">
        <f t="shared" si="236"/>
        <v>0</v>
      </c>
      <c r="M370" s="78">
        <f t="shared" si="206"/>
        <v>0</v>
      </c>
      <c r="N370" s="1013">
        <f t="shared" si="236"/>
        <v>0</v>
      </c>
      <c r="O370" s="946">
        <f t="shared" si="236"/>
        <v>0</v>
      </c>
      <c r="P370" s="946">
        <f t="shared" si="236"/>
        <v>0</v>
      </c>
      <c r="Q370" s="946">
        <f t="shared" si="236"/>
        <v>0</v>
      </c>
      <c r="R370" s="946">
        <f t="shared" si="236"/>
        <v>0</v>
      </c>
      <c r="S370" s="946">
        <f t="shared" si="236"/>
        <v>0</v>
      </c>
      <c r="T370" s="946">
        <f t="shared" si="236"/>
        <v>0</v>
      </c>
      <c r="U370" s="946">
        <f t="shared" si="236"/>
        <v>0</v>
      </c>
      <c r="V370" s="946">
        <f t="shared" si="236"/>
        <v>0</v>
      </c>
      <c r="W370" s="946">
        <f t="shared" si="236"/>
        <v>0</v>
      </c>
      <c r="X370" s="946">
        <f t="shared" si="236"/>
        <v>0</v>
      </c>
      <c r="Y370" s="947">
        <f t="shared" si="212"/>
        <v>0</v>
      </c>
    </row>
    <row r="371" spans="1:25" s="586" customFormat="1" ht="45" x14ac:dyDescent="0.2">
      <c r="A371" s="418"/>
      <c r="B371" s="1449"/>
      <c r="C371" s="432"/>
      <c r="D371" s="446">
        <v>6220</v>
      </c>
      <c r="E371" s="199" t="s">
        <v>260</v>
      </c>
      <c r="F371" s="948">
        <v>27000</v>
      </c>
      <c r="G371" s="434">
        <v>27000</v>
      </c>
      <c r="H371" s="435">
        <f>G371/F371</f>
        <v>1</v>
      </c>
      <c r="I371" s="434">
        <v>27000</v>
      </c>
      <c r="J371" s="1149">
        <v>0</v>
      </c>
      <c r="K371" s="1243"/>
      <c r="L371" s="1264">
        <f>J371+K371</f>
        <v>0</v>
      </c>
      <c r="M371" s="280">
        <f t="shared" si="206"/>
        <v>0</v>
      </c>
      <c r="N371" s="814"/>
      <c r="O371" s="949"/>
      <c r="P371" s="949"/>
      <c r="Q371" s="949"/>
      <c r="R371" s="949"/>
      <c r="S371" s="949"/>
      <c r="T371" s="949"/>
      <c r="U371" s="949"/>
      <c r="V371" s="949"/>
      <c r="W371" s="949"/>
      <c r="X371" s="949"/>
      <c r="Y371" s="952">
        <f t="shared" si="212"/>
        <v>0</v>
      </c>
    </row>
    <row r="372" spans="1:25" s="586" customFormat="1" ht="45" x14ac:dyDescent="0.2">
      <c r="A372" s="418"/>
      <c r="B372" s="1415"/>
      <c r="C372" s="312"/>
      <c r="D372" s="437">
        <v>6300</v>
      </c>
      <c r="E372" s="433" t="s">
        <v>153</v>
      </c>
      <c r="F372" s="950">
        <v>100000</v>
      </c>
      <c r="G372" s="439">
        <v>100000</v>
      </c>
      <c r="H372" s="435">
        <f>G372/F372</f>
        <v>1</v>
      </c>
      <c r="I372" s="439">
        <v>100000</v>
      </c>
      <c r="J372" s="1118">
        <v>0</v>
      </c>
      <c r="K372" s="1214"/>
      <c r="L372" s="1254">
        <f>J372+K372</f>
        <v>0</v>
      </c>
      <c r="M372" s="280">
        <f t="shared" si="206"/>
        <v>0</v>
      </c>
      <c r="N372" s="951"/>
      <c r="O372" s="931"/>
      <c r="P372" s="931"/>
      <c r="Q372" s="931"/>
      <c r="R372" s="931"/>
      <c r="S372" s="931"/>
      <c r="T372" s="931"/>
      <c r="U372" s="931"/>
      <c r="V372" s="931"/>
      <c r="W372" s="931"/>
      <c r="X372" s="931"/>
      <c r="Y372" s="952">
        <f t="shared" si="212"/>
        <v>0</v>
      </c>
    </row>
    <row r="373" spans="1:25" x14ac:dyDescent="0.2">
      <c r="A373" s="23"/>
      <c r="B373" s="111">
        <v>85153</v>
      </c>
      <c r="C373" s="186"/>
      <c r="D373" s="45"/>
      <c r="E373" s="76" t="s">
        <v>228</v>
      </c>
      <c r="F373" s="959">
        <f>SUM(F374:F377)</f>
        <v>5000</v>
      </c>
      <c r="G373" s="959">
        <f>SUM(G374:G377)</f>
        <v>1400</v>
      </c>
      <c r="H373" s="208">
        <f>G373/F373</f>
        <v>0.28000000000000003</v>
      </c>
      <c r="I373" s="115">
        <f>SUM(I374:I377)</f>
        <v>5000</v>
      </c>
      <c r="J373" s="1150">
        <f>SUM(J374:J377)</f>
        <v>2876</v>
      </c>
      <c r="K373" s="1244">
        <f t="shared" ref="K373:L373" si="237">SUM(K374:K377)</f>
        <v>0</v>
      </c>
      <c r="L373" s="1265">
        <f t="shared" si="237"/>
        <v>2876</v>
      </c>
      <c r="M373" s="78">
        <f t="shared" si="206"/>
        <v>0.57520000000000004</v>
      </c>
      <c r="N373" s="817"/>
      <c r="O373" s="444">
        <f>SUM(O374:O377)</f>
        <v>0</v>
      </c>
      <c r="P373" s="444">
        <f t="shared" ref="P373:X373" si="238">SUM(P374:P377)</f>
        <v>0</v>
      </c>
      <c r="Q373" s="444">
        <f t="shared" si="238"/>
        <v>0</v>
      </c>
      <c r="R373" s="444">
        <f t="shared" si="238"/>
        <v>0</v>
      </c>
      <c r="S373" s="444">
        <f t="shared" si="238"/>
        <v>0</v>
      </c>
      <c r="T373" s="444">
        <f t="shared" si="238"/>
        <v>0</v>
      </c>
      <c r="U373" s="444">
        <f t="shared" si="238"/>
        <v>2876</v>
      </c>
      <c r="V373" s="444">
        <f t="shared" si="238"/>
        <v>0</v>
      </c>
      <c r="W373" s="444">
        <f t="shared" si="238"/>
        <v>0</v>
      </c>
      <c r="X373" s="444">
        <f t="shared" si="238"/>
        <v>0</v>
      </c>
      <c r="Y373" s="450">
        <f t="shared" si="212"/>
        <v>2876</v>
      </c>
    </row>
    <row r="374" spans="1:25" s="586" customFormat="1" x14ac:dyDescent="0.2">
      <c r="A374" s="23"/>
      <c r="B374" s="274"/>
      <c r="C374" s="546"/>
      <c r="D374" s="400">
        <v>4110</v>
      </c>
      <c r="E374" s="211" t="s">
        <v>140</v>
      </c>
      <c r="F374" s="364">
        <v>0</v>
      </c>
      <c r="G374" s="255">
        <v>0</v>
      </c>
      <c r="H374" s="256">
        <v>0</v>
      </c>
      <c r="I374" s="410">
        <v>0</v>
      </c>
      <c r="J374" s="1111">
        <v>241</v>
      </c>
      <c r="K374" s="353"/>
      <c r="L374" s="258">
        <f>J374+K374</f>
        <v>241</v>
      </c>
      <c r="M374" s="280">
        <v>0</v>
      </c>
      <c r="N374" s="541"/>
      <c r="O374" s="413"/>
      <c r="P374" s="413"/>
      <c r="Q374" s="413"/>
      <c r="R374" s="413"/>
      <c r="S374" s="413"/>
      <c r="T374" s="413"/>
      <c r="U374" s="413">
        <v>241</v>
      </c>
      <c r="V374" s="413"/>
      <c r="W374" s="413"/>
      <c r="X374" s="413"/>
      <c r="Y374" s="255">
        <f>SUM(O374:X374)</f>
        <v>241</v>
      </c>
    </row>
    <row r="375" spans="1:25" s="586" customFormat="1" x14ac:dyDescent="0.2">
      <c r="A375" s="23"/>
      <c r="B375" s="274"/>
      <c r="C375" s="432"/>
      <c r="D375" s="402">
        <v>4120</v>
      </c>
      <c r="E375" s="212" t="s">
        <v>141</v>
      </c>
      <c r="F375" s="364">
        <v>0</v>
      </c>
      <c r="G375" s="255">
        <v>0</v>
      </c>
      <c r="H375" s="256">
        <v>0</v>
      </c>
      <c r="I375" s="353">
        <v>0</v>
      </c>
      <c r="J375" s="1120">
        <v>35</v>
      </c>
      <c r="K375" s="353"/>
      <c r="L375" s="258">
        <f t="shared" ref="L375:L377" si="239">J375+K375</f>
        <v>35</v>
      </c>
      <c r="M375" s="280">
        <v>0</v>
      </c>
      <c r="N375" s="802"/>
      <c r="O375" s="255"/>
      <c r="P375" s="255"/>
      <c r="Q375" s="255"/>
      <c r="R375" s="255"/>
      <c r="S375" s="255"/>
      <c r="T375" s="255"/>
      <c r="U375" s="255">
        <v>35</v>
      </c>
      <c r="V375" s="255"/>
      <c r="W375" s="255"/>
      <c r="X375" s="255"/>
      <c r="Y375" s="255">
        <f>SUM(O375:X375)</f>
        <v>35</v>
      </c>
    </row>
    <row r="376" spans="1:25" x14ac:dyDescent="0.2">
      <c r="A376" s="52"/>
      <c r="B376" s="52"/>
      <c r="C376" s="240"/>
      <c r="D376" s="446">
        <v>4170</v>
      </c>
      <c r="E376" s="199" t="s">
        <v>148</v>
      </c>
      <c r="F376" s="415">
        <v>3800</v>
      </c>
      <c r="G376" s="100">
        <v>1400</v>
      </c>
      <c r="H376" s="101">
        <f>G376/F376</f>
        <v>0.36842105263157893</v>
      </c>
      <c r="I376" s="102">
        <v>3800</v>
      </c>
      <c r="J376" s="1112">
        <v>1400</v>
      </c>
      <c r="K376" s="102"/>
      <c r="L376" s="279">
        <f t="shared" si="239"/>
        <v>1400</v>
      </c>
      <c r="M376" s="259">
        <f t="shared" si="206"/>
        <v>0.36842105263157893</v>
      </c>
      <c r="N376" s="399"/>
      <c r="O376" s="392"/>
      <c r="P376" s="392"/>
      <c r="Q376" s="393"/>
      <c r="R376" s="392"/>
      <c r="S376" s="392"/>
      <c r="T376" s="393"/>
      <c r="U376" s="56">
        <v>1400</v>
      </c>
      <c r="V376" s="393"/>
      <c r="W376" s="393"/>
      <c r="X376" s="393"/>
      <c r="Y376" s="393">
        <f t="shared" si="212"/>
        <v>1400</v>
      </c>
    </row>
    <row r="377" spans="1:25" x14ac:dyDescent="0.2">
      <c r="A377" s="52"/>
      <c r="B377" s="52"/>
      <c r="C377" s="79"/>
      <c r="D377" s="400">
        <v>4210</v>
      </c>
      <c r="E377" s="81" t="s">
        <v>142</v>
      </c>
      <c r="F377" s="553">
        <v>1200</v>
      </c>
      <c r="G377" s="56">
        <v>0</v>
      </c>
      <c r="H377" s="57">
        <f t="shared" ref="H377:H446" si="240">G377/F377</f>
        <v>0</v>
      </c>
      <c r="I377" s="58">
        <v>1200</v>
      </c>
      <c r="J377" s="1151">
        <v>1200</v>
      </c>
      <c r="K377" s="58"/>
      <c r="L377" s="258">
        <f t="shared" si="239"/>
        <v>1200</v>
      </c>
      <c r="M377" s="280">
        <f t="shared" si="206"/>
        <v>1</v>
      </c>
      <c r="N377" s="399"/>
      <c r="O377" s="392"/>
      <c r="P377" s="392"/>
      <c r="Q377" s="393"/>
      <c r="R377" s="392"/>
      <c r="S377" s="392"/>
      <c r="T377" s="393"/>
      <c r="U377" s="56">
        <v>1200</v>
      </c>
      <c r="V377" s="393"/>
      <c r="W377" s="393"/>
      <c r="X377" s="393"/>
      <c r="Y377" s="393">
        <f t="shared" si="212"/>
        <v>1200</v>
      </c>
    </row>
    <row r="378" spans="1:25" x14ac:dyDescent="0.2">
      <c r="A378" s="52"/>
      <c r="B378" s="246">
        <v>85154</v>
      </c>
      <c r="C378" s="247"/>
      <c r="D378" s="248"/>
      <c r="E378" s="249" t="s">
        <v>229</v>
      </c>
      <c r="F378" s="317">
        <f>SUM(F379:F389)</f>
        <v>270000</v>
      </c>
      <c r="G378" s="317">
        <f t="shared" ref="G378:I378" si="241">SUM(G379:G389)</f>
        <v>187197.52999999997</v>
      </c>
      <c r="H378" s="176">
        <f t="shared" si="240"/>
        <v>0.69332418518518513</v>
      </c>
      <c r="I378" s="317">
        <f t="shared" si="241"/>
        <v>261881.43</v>
      </c>
      <c r="J378" s="1131">
        <f>SUM(J379:J389)</f>
        <v>272124</v>
      </c>
      <c r="K378" s="1226">
        <f t="shared" ref="K378:L378" si="242">SUM(K379:K389)</f>
        <v>0</v>
      </c>
      <c r="L378" s="307">
        <f t="shared" si="242"/>
        <v>272124</v>
      </c>
      <c r="M378" s="78">
        <f t="shared" si="206"/>
        <v>1.0078666666666667</v>
      </c>
      <c r="N378" s="800"/>
      <c r="O378" s="397">
        <f t="shared" ref="O378:X378" si="243">SUM(O379:O389)</f>
        <v>0</v>
      </c>
      <c r="P378" s="397">
        <f t="shared" si="243"/>
        <v>0</v>
      </c>
      <c r="Q378" s="397">
        <f t="shared" si="243"/>
        <v>0</v>
      </c>
      <c r="R378" s="397">
        <f t="shared" si="243"/>
        <v>0</v>
      </c>
      <c r="S378" s="397">
        <f t="shared" si="243"/>
        <v>0</v>
      </c>
      <c r="T378" s="397">
        <f t="shared" si="243"/>
        <v>0</v>
      </c>
      <c r="U378" s="397">
        <f t="shared" si="243"/>
        <v>272124</v>
      </c>
      <c r="V378" s="397">
        <f t="shared" si="243"/>
        <v>0</v>
      </c>
      <c r="W378" s="397">
        <f t="shared" si="243"/>
        <v>0</v>
      </c>
      <c r="X378" s="397">
        <f t="shared" si="243"/>
        <v>0</v>
      </c>
      <c r="Y378" s="397">
        <f t="shared" si="212"/>
        <v>272124</v>
      </c>
    </row>
    <row r="379" spans="1:25" ht="56.25" x14ac:dyDescent="0.2">
      <c r="A379" s="52"/>
      <c r="B379" s="52"/>
      <c r="C379" s="333"/>
      <c r="D379" s="468">
        <v>2360</v>
      </c>
      <c r="E379" s="125" t="s">
        <v>230</v>
      </c>
      <c r="F379" s="610">
        <v>43600</v>
      </c>
      <c r="G379" s="100">
        <v>43600</v>
      </c>
      <c r="H379" s="101">
        <f t="shared" si="240"/>
        <v>1</v>
      </c>
      <c r="I379" s="102">
        <v>43600</v>
      </c>
      <c r="J379" s="1112">
        <v>42300</v>
      </c>
      <c r="K379" s="58"/>
      <c r="L379" s="59">
        <f>J379+K379</f>
        <v>42300</v>
      </c>
      <c r="M379" s="280">
        <f t="shared" si="206"/>
        <v>0.97018348623853212</v>
      </c>
      <c r="N379" s="399"/>
      <c r="O379" s="392"/>
      <c r="P379" s="392"/>
      <c r="Q379" s="393"/>
      <c r="R379" s="392"/>
      <c r="S379" s="392"/>
      <c r="T379" s="393"/>
      <c r="U379" s="56">
        <v>42300</v>
      </c>
      <c r="V379" s="393"/>
      <c r="W379" s="393"/>
      <c r="X379" s="393"/>
      <c r="Y379" s="393">
        <f t="shared" si="212"/>
        <v>42300</v>
      </c>
    </row>
    <row r="380" spans="1:25" ht="33.75" x14ac:dyDescent="0.2">
      <c r="A380" s="52"/>
      <c r="B380" s="52"/>
      <c r="C380" s="52"/>
      <c r="D380" s="540">
        <v>2710</v>
      </c>
      <c r="E380" s="830" t="s">
        <v>425</v>
      </c>
      <c r="F380" s="134">
        <v>10366</v>
      </c>
      <c r="G380" s="100">
        <v>10366</v>
      </c>
      <c r="H380" s="101">
        <f t="shared" si="240"/>
        <v>1</v>
      </c>
      <c r="I380" s="102">
        <v>10366</v>
      </c>
      <c r="J380" s="1112">
        <v>20000</v>
      </c>
      <c r="K380" s="58"/>
      <c r="L380" s="59">
        <f>J380+K380</f>
        <v>20000</v>
      </c>
      <c r="M380" s="280">
        <f t="shared" si="206"/>
        <v>1.9293845263360987</v>
      </c>
      <c r="N380" s="399"/>
      <c r="O380" s="392"/>
      <c r="P380" s="392"/>
      <c r="Q380" s="393"/>
      <c r="R380" s="392"/>
      <c r="S380" s="392"/>
      <c r="T380" s="393"/>
      <c r="U380" s="56">
        <v>20000</v>
      </c>
      <c r="V380" s="393"/>
      <c r="W380" s="393"/>
      <c r="X380" s="393"/>
      <c r="Y380" s="393">
        <f t="shared" si="212"/>
        <v>20000</v>
      </c>
    </row>
    <row r="381" spans="1:25" x14ac:dyDescent="0.2">
      <c r="A381" s="52"/>
      <c r="B381" s="52"/>
      <c r="C381" s="79"/>
      <c r="D381" s="400">
        <v>4110</v>
      </c>
      <c r="E381" s="81" t="s">
        <v>140</v>
      </c>
      <c r="F381" s="553">
        <v>3420</v>
      </c>
      <c r="G381" s="56">
        <v>1994.92</v>
      </c>
      <c r="H381" s="57">
        <f t="shared" si="240"/>
        <v>0.58330994152046789</v>
      </c>
      <c r="I381" s="58">
        <v>3420</v>
      </c>
      <c r="J381" s="1108">
        <f>18666-241</f>
        <v>18425</v>
      </c>
      <c r="K381" s="58"/>
      <c r="L381" s="59">
        <f t="shared" ref="L381:L389" si="244">J381+K381</f>
        <v>18425</v>
      </c>
      <c r="M381" s="280">
        <f t="shared" si="206"/>
        <v>5.3874269005847957</v>
      </c>
      <c r="N381" s="399"/>
      <c r="O381" s="392"/>
      <c r="P381" s="392"/>
      <c r="Q381" s="393"/>
      <c r="R381" s="392"/>
      <c r="S381" s="392"/>
      <c r="T381" s="393"/>
      <c r="U381" s="56">
        <v>18425</v>
      </c>
      <c r="V381" s="393"/>
      <c r="W381" s="393"/>
      <c r="X381" s="393"/>
      <c r="Y381" s="393">
        <f t="shared" si="212"/>
        <v>18425</v>
      </c>
    </row>
    <row r="382" spans="1:25" x14ac:dyDescent="0.2">
      <c r="A382" s="52"/>
      <c r="B382" s="52"/>
      <c r="C382" s="203"/>
      <c r="D382" s="402">
        <v>4120</v>
      </c>
      <c r="E382" s="119" t="s">
        <v>141</v>
      </c>
      <c r="F382" s="140">
        <v>150</v>
      </c>
      <c r="G382" s="56">
        <v>36.75</v>
      </c>
      <c r="H382" s="57">
        <f t="shared" si="240"/>
        <v>0.245</v>
      </c>
      <c r="I382" s="58">
        <v>110.25</v>
      </c>
      <c r="J382" s="1108">
        <f>2668-35</f>
        <v>2633</v>
      </c>
      <c r="K382" s="58"/>
      <c r="L382" s="59">
        <f t="shared" si="244"/>
        <v>2633</v>
      </c>
      <c r="M382" s="280">
        <f t="shared" si="206"/>
        <v>17.553333333333335</v>
      </c>
      <c r="N382" s="399"/>
      <c r="O382" s="392"/>
      <c r="P382" s="392"/>
      <c r="Q382" s="393"/>
      <c r="R382" s="392"/>
      <c r="S382" s="392"/>
      <c r="T382" s="393"/>
      <c r="U382" s="56">
        <v>2633</v>
      </c>
      <c r="V382" s="393"/>
      <c r="W382" s="393"/>
      <c r="X382" s="393"/>
      <c r="Y382" s="393">
        <f t="shared" si="212"/>
        <v>2633</v>
      </c>
    </row>
    <row r="383" spans="1:25" x14ac:dyDescent="0.2">
      <c r="A383" s="52"/>
      <c r="B383" s="52"/>
      <c r="C383" s="240"/>
      <c r="D383" s="446">
        <v>4170</v>
      </c>
      <c r="E383" s="199" t="s">
        <v>148</v>
      </c>
      <c r="F383" s="123">
        <v>116240</v>
      </c>
      <c r="G383" s="100">
        <v>67368.12</v>
      </c>
      <c r="H383" s="101">
        <f t="shared" si="240"/>
        <v>0.57956056434962144</v>
      </c>
      <c r="I383" s="102">
        <v>109193.55</v>
      </c>
      <c r="J383" s="1112">
        <f>108520-1400</f>
        <v>107120</v>
      </c>
      <c r="K383" s="102"/>
      <c r="L383" s="103">
        <f t="shared" si="244"/>
        <v>107120</v>
      </c>
      <c r="M383" s="259">
        <f t="shared" si="206"/>
        <v>0.92154163799036481</v>
      </c>
      <c r="N383" s="399"/>
      <c r="O383" s="392"/>
      <c r="P383" s="392"/>
      <c r="Q383" s="393"/>
      <c r="R383" s="392"/>
      <c r="S383" s="392"/>
      <c r="T383" s="393"/>
      <c r="U383" s="56">
        <v>107120</v>
      </c>
      <c r="V383" s="393"/>
      <c r="W383" s="393"/>
      <c r="X383" s="393"/>
      <c r="Y383" s="393">
        <f t="shared" si="212"/>
        <v>107120</v>
      </c>
    </row>
    <row r="384" spans="1:25" x14ac:dyDescent="0.2">
      <c r="A384" s="52"/>
      <c r="B384" s="52"/>
      <c r="C384" s="203"/>
      <c r="D384" s="402">
        <v>4210</v>
      </c>
      <c r="E384" s="119" t="s">
        <v>142</v>
      </c>
      <c r="F384" s="415">
        <v>29070</v>
      </c>
      <c r="G384" s="56">
        <v>8481.08</v>
      </c>
      <c r="H384" s="57">
        <f t="shared" si="240"/>
        <v>0.29174681802545577</v>
      </c>
      <c r="I384" s="58">
        <v>29070</v>
      </c>
      <c r="J384" s="1108">
        <f>19800-1200</f>
        <v>18600</v>
      </c>
      <c r="K384" s="58"/>
      <c r="L384" s="59">
        <f t="shared" si="244"/>
        <v>18600</v>
      </c>
      <c r="M384" s="280">
        <f t="shared" si="206"/>
        <v>0.63983488132094946</v>
      </c>
      <c r="N384" s="399"/>
      <c r="O384" s="392"/>
      <c r="P384" s="392"/>
      <c r="Q384" s="393"/>
      <c r="R384" s="392"/>
      <c r="S384" s="392"/>
      <c r="T384" s="393"/>
      <c r="U384" s="56">
        <v>18600</v>
      </c>
      <c r="V384" s="393"/>
      <c r="W384" s="393"/>
      <c r="X384" s="393"/>
      <c r="Y384" s="393">
        <f t="shared" si="212"/>
        <v>18600</v>
      </c>
    </row>
    <row r="385" spans="1:25" x14ac:dyDescent="0.2">
      <c r="A385" s="52"/>
      <c r="B385" s="52"/>
      <c r="C385" s="240"/>
      <c r="D385" s="446">
        <v>4260</v>
      </c>
      <c r="E385" s="199" t="s">
        <v>149</v>
      </c>
      <c r="F385" s="120">
        <v>13314</v>
      </c>
      <c r="G385" s="100">
        <v>8750.9699999999993</v>
      </c>
      <c r="H385" s="57">
        <f t="shared" si="240"/>
        <v>0.65727579990986928</v>
      </c>
      <c r="I385" s="102">
        <v>12667.96</v>
      </c>
      <c r="J385" s="1112">
        <v>8000</v>
      </c>
      <c r="K385" s="58"/>
      <c r="L385" s="59">
        <f t="shared" si="244"/>
        <v>8000</v>
      </c>
      <c r="M385" s="280">
        <f t="shared" si="206"/>
        <v>0.60087126333183116</v>
      </c>
      <c r="N385" s="466"/>
      <c r="O385" s="392"/>
      <c r="P385" s="392"/>
      <c r="Q385" s="393"/>
      <c r="R385" s="392"/>
      <c r="S385" s="392"/>
      <c r="T385" s="393"/>
      <c r="U385" s="100">
        <v>8000</v>
      </c>
      <c r="V385" s="393"/>
      <c r="W385" s="393"/>
      <c r="X385" s="393"/>
      <c r="Y385" s="393">
        <f t="shared" si="212"/>
        <v>8000</v>
      </c>
    </row>
    <row r="386" spans="1:25" x14ac:dyDescent="0.2">
      <c r="A386" s="52"/>
      <c r="B386" s="52"/>
      <c r="C386" s="203"/>
      <c r="D386" s="402">
        <v>4270</v>
      </c>
      <c r="E386" s="119" t="s">
        <v>154</v>
      </c>
      <c r="F386" s="445">
        <v>0</v>
      </c>
      <c r="G386" s="56">
        <v>0</v>
      </c>
      <c r="H386" s="57">
        <v>0</v>
      </c>
      <c r="I386" s="58">
        <v>0</v>
      </c>
      <c r="J386" s="1108">
        <v>3200</v>
      </c>
      <c r="K386" s="58"/>
      <c r="L386" s="59">
        <f t="shared" si="244"/>
        <v>3200</v>
      </c>
      <c r="M386" s="280">
        <v>0</v>
      </c>
      <c r="N386" s="399"/>
      <c r="O386" s="392"/>
      <c r="P386" s="392"/>
      <c r="Q386" s="393"/>
      <c r="R386" s="392"/>
      <c r="S386" s="392"/>
      <c r="T386" s="393"/>
      <c r="U386" s="56">
        <v>3200</v>
      </c>
      <c r="V386" s="393"/>
      <c r="W386" s="393"/>
      <c r="X386" s="393"/>
      <c r="Y386" s="393">
        <f t="shared" si="212"/>
        <v>3200</v>
      </c>
    </row>
    <row r="387" spans="1:25" x14ac:dyDescent="0.2">
      <c r="A387" s="52"/>
      <c r="B387" s="52"/>
      <c r="C387" s="240"/>
      <c r="D387" s="446">
        <v>4300</v>
      </c>
      <c r="E387" s="199" t="s">
        <v>143</v>
      </c>
      <c r="F387" s="491">
        <v>51250</v>
      </c>
      <c r="G387" s="100">
        <v>45130.58</v>
      </c>
      <c r="H387" s="57">
        <f t="shared" si="240"/>
        <v>0.88059668292682935</v>
      </c>
      <c r="I387" s="102">
        <v>51250</v>
      </c>
      <c r="J387" s="1112">
        <v>49648</v>
      </c>
      <c r="K387" s="58"/>
      <c r="L387" s="59">
        <f t="shared" si="244"/>
        <v>49648</v>
      </c>
      <c r="M387" s="280">
        <f t="shared" si="206"/>
        <v>0.96874146341463419</v>
      </c>
      <c r="N387" s="466"/>
      <c r="O387" s="392"/>
      <c r="P387" s="392"/>
      <c r="Q387" s="393"/>
      <c r="R387" s="392"/>
      <c r="S387" s="392"/>
      <c r="T387" s="393"/>
      <c r="U387" s="100">
        <v>49648</v>
      </c>
      <c r="V387" s="393"/>
      <c r="W387" s="393"/>
      <c r="X387" s="393"/>
      <c r="Y387" s="393">
        <f t="shared" si="212"/>
        <v>49648</v>
      </c>
    </row>
    <row r="388" spans="1:25" x14ac:dyDescent="0.2">
      <c r="A388" s="52"/>
      <c r="B388" s="52"/>
      <c r="C388" s="203"/>
      <c r="D388" s="402">
        <v>4360</v>
      </c>
      <c r="E388" s="119" t="s">
        <v>363</v>
      </c>
      <c r="F388" s="415">
        <v>2350</v>
      </c>
      <c r="G388" s="56">
        <v>1469.11</v>
      </c>
      <c r="H388" s="57">
        <f t="shared" si="240"/>
        <v>0.62515319148936166</v>
      </c>
      <c r="I388" s="58">
        <v>2203.67</v>
      </c>
      <c r="J388" s="1108">
        <v>2000</v>
      </c>
      <c r="K388" s="58"/>
      <c r="L388" s="59">
        <f t="shared" si="244"/>
        <v>2000</v>
      </c>
      <c r="M388" s="280">
        <f t="shared" si="206"/>
        <v>0.85106382978723405</v>
      </c>
      <c r="N388" s="399"/>
      <c r="O388" s="392"/>
      <c r="P388" s="392"/>
      <c r="Q388" s="393"/>
      <c r="R388" s="392"/>
      <c r="S388" s="392"/>
      <c r="T388" s="393"/>
      <c r="U388" s="56">
        <v>2000</v>
      </c>
      <c r="V388" s="393"/>
      <c r="W388" s="393"/>
      <c r="X388" s="393"/>
      <c r="Y388" s="393">
        <f t="shared" si="212"/>
        <v>2000</v>
      </c>
    </row>
    <row r="389" spans="1:25" x14ac:dyDescent="0.2">
      <c r="A389" s="52"/>
      <c r="B389" s="52"/>
      <c r="C389" s="240"/>
      <c r="D389" s="446">
        <v>4410</v>
      </c>
      <c r="E389" s="199" t="s">
        <v>144</v>
      </c>
      <c r="F389" s="415">
        <v>240</v>
      </c>
      <c r="G389" s="100">
        <v>0</v>
      </c>
      <c r="H389" s="57">
        <f t="shared" si="240"/>
        <v>0</v>
      </c>
      <c r="I389" s="102">
        <v>0</v>
      </c>
      <c r="J389" s="1112">
        <v>198</v>
      </c>
      <c r="K389" s="58"/>
      <c r="L389" s="59">
        <f t="shared" si="244"/>
        <v>198</v>
      </c>
      <c r="M389" s="280">
        <f t="shared" si="206"/>
        <v>0.82499999999999996</v>
      </c>
      <c r="N389" s="466"/>
      <c r="O389" s="392"/>
      <c r="P389" s="392"/>
      <c r="Q389" s="393"/>
      <c r="R389" s="392"/>
      <c r="S389" s="392"/>
      <c r="T389" s="393"/>
      <c r="U389" s="100">
        <v>198</v>
      </c>
      <c r="V389" s="393"/>
      <c r="W389" s="393"/>
      <c r="X389" s="393"/>
      <c r="Y389" s="393">
        <f t="shared" si="212"/>
        <v>198</v>
      </c>
    </row>
    <row r="390" spans="1:25" x14ac:dyDescent="0.2">
      <c r="A390" s="52"/>
      <c r="B390" s="90">
        <v>85195</v>
      </c>
      <c r="C390" s="44"/>
      <c r="D390" s="75"/>
      <c r="E390" s="46" t="s">
        <v>14</v>
      </c>
      <c r="F390" s="47">
        <f>SUM(F391:F391)</f>
        <v>2000</v>
      </c>
      <c r="G390" s="49">
        <f>SUM(G391:G391)</f>
        <v>0</v>
      </c>
      <c r="H390" s="176">
        <f t="shared" si="240"/>
        <v>0</v>
      </c>
      <c r="I390" s="49">
        <f>SUM(I391:I391)</f>
        <v>0</v>
      </c>
      <c r="J390" s="1107">
        <f>SUM(J391:J391)</f>
        <v>4000</v>
      </c>
      <c r="K390" s="1205">
        <f t="shared" ref="K390:L390" si="245">SUM(K391:K391)</f>
        <v>-2000</v>
      </c>
      <c r="L390" s="50">
        <f t="shared" si="245"/>
        <v>2000</v>
      </c>
      <c r="M390" s="78">
        <f t="shared" si="206"/>
        <v>1</v>
      </c>
      <c r="N390" s="800"/>
      <c r="O390" s="397">
        <f t="shared" ref="O390:X390" si="246">SUM(O391:O391)</f>
        <v>0</v>
      </c>
      <c r="P390" s="397">
        <f t="shared" si="246"/>
        <v>0</v>
      </c>
      <c r="Q390" s="397">
        <f t="shared" si="246"/>
        <v>0</v>
      </c>
      <c r="R390" s="397">
        <f>R391</f>
        <v>0</v>
      </c>
      <c r="S390" s="397">
        <f>S391</f>
        <v>2000</v>
      </c>
      <c r="T390" s="397">
        <f t="shared" si="246"/>
        <v>0</v>
      </c>
      <c r="U390" s="397">
        <f t="shared" si="246"/>
        <v>0</v>
      </c>
      <c r="V390" s="397">
        <f t="shared" si="246"/>
        <v>0</v>
      </c>
      <c r="W390" s="397">
        <f t="shared" si="246"/>
        <v>0</v>
      </c>
      <c r="X390" s="397">
        <f t="shared" si="246"/>
        <v>0</v>
      </c>
      <c r="Y390" s="397">
        <f t="shared" si="212"/>
        <v>2000</v>
      </c>
    </row>
    <row r="391" spans="1:25" x14ac:dyDescent="0.2">
      <c r="A391" s="52"/>
      <c r="B391" s="52"/>
      <c r="C391" s="240"/>
      <c r="D391" s="446">
        <v>4300</v>
      </c>
      <c r="E391" s="199" t="s">
        <v>143</v>
      </c>
      <c r="F391" s="415">
        <v>2000</v>
      </c>
      <c r="G391" s="100">
        <v>0</v>
      </c>
      <c r="H391" s="101">
        <f t="shared" si="240"/>
        <v>0</v>
      </c>
      <c r="I391" s="102">
        <v>0</v>
      </c>
      <c r="J391" s="1112">
        <v>4000</v>
      </c>
      <c r="K391" s="1245">
        <v>-2000</v>
      </c>
      <c r="L391" s="138">
        <f>J391+K391</f>
        <v>2000</v>
      </c>
      <c r="M391" s="280">
        <f t="shared" ref="M391:M454" si="247">L391/F391</f>
        <v>1</v>
      </c>
      <c r="N391" s="399"/>
      <c r="O391" s="392"/>
      <c r="P391" s="392"/>
      <c r="Q391" s="393"/>
      <c r="R391" s="392"/>
      <c r="S391" s="392">
        <f>L391</f>
        <v>2000</v>
      </c>
      <c r="T391" s="393"/>
      <c r="U391" s="393"/>
      <c r="V391" s="393"/>
      <c r="W391" s="393"/>
      <c r="X391" s="393"/>
      <c r="Y391" s="393">
        <f t="shared" si="212"/>
        <v>2000</v>
      </c>
    </row>
    <row r="392" spans="1:25" s="586" customFormat="1" x14ac:dyDescent="0.2">
      <c r="A392" s="587">
        <v>852</v>
      </c>
      <c r="B392" s="104"/>
      <c r="C392" s="104"/>
      <c r="D392" s="145"/>
      <c r="E392" s="146" t="s">
        <v>87</v>
      </c>
      <c r="F392" s="588">
        <f>F412+F428+F431+F433+F436+F439+F460+F467+F399+F402+F393+F395+F397</f>
        <v>10902999</v>
      </c>
      <c r="G392" s="588">
        <f>G412+G428+G431+G433+G436+G439+G460+G467+G399+G402+G393+G395+G397</f>
        <v>7412938.6099999994</v>
      </c>
      <c r="H392" s="148">
        <f t="shared" si="240"/>
        <v>0.67989904520765332</v>
      </c>
      <c r="I392" s="183">
        <f>I412+I428+I431+I433+I436+I439+I460+I467+I399+I402+I393+I395+I397+I465</f>
        <v>10734243.42</v>
      </c>
      <c r="J392" s="1125">
        <f>J412+J428+J431+J433+J436+J439+J460+J467+J399+J402+J393+J395+J397+J465</f>
        <v>10515735</v>
      </c>
      <c r="K392" s="1220">
        <f t="shared" ref="K392:L392" si="248">K412+K428+K431+K433+K436+K439+K460+K467+K399+K402+K393+K395+K397+K465</f>
        <v>109910</v>
      </c>
      <c r="L392" s="185">
        <f t="shared" si="248"/>
        <v>10625645</v>
      </c>
      <c r="M392" s="171">
        <f t="shared" si="247"/>
        <v>0.97456167793833604</v>
      </c>
      <c r="N392" s="804"/>
      <c r="O392" s="589">
        <f t="shared" ref="O392:X392" si="249">O412+O428+O431+O433+O436+O439+O460+O467+O399+O402+O393+O395+O397+O465</f>
        <v>0</v>
      </c>
      <c r="P392" s="589">
        <f t="shared" si="249"/>
        <v>0</v>
      </c>
      <c r="Q392" s="589">
        <f t="shared" si="249"/>
        <v>500000</v>
      </c>
      <c r="R392" s="589">
        <f t="shared" si="249"/>
        <v>0</v>
      </c>
      <c r="S392" s="589">
        <f t="shared" si="249"/>
        <v>0</v>
      </c>
      <c r="T392" s="589">
        <f t="shared" si="249"/>
        <v>161050</v>
      </c>
      <c r="U392" s="589">
        <f t="shared" si="249"/>
        <v>0</v>
      </c>
      <c r="V392" s="589">
        <f t="shared" si="249"/>
        <v>0</v>
      </c>
      <c r="W392" s="589">
        <f t="shared" si="249"/>
        <v>9964595</v>
      </c>
      <c r="X392" s="589">
        <f t="shared" si="249"/>
        <v>0</v>
      </c>
      <c r="Y392" s="589">
        <f t="shared" si="212"/>
        <v>10625645</v>
      </c>
    </row>
    <row r="393" spans="1:25" x14ac:dyDescent="0.2">
      <c r="A393" s="52"/>
      <c r="B393" s="188">
        <v>85201</v>
      </c>
      <c r="C393" s="232"/>
      <c r="D393" s="233"/>
      <c r="E393" s="234" t="s">
        <v>369</v>
      </c>
      <c r="F393" s="235">
        <f>F394</f>
        <v>0</v>
      </c>
      <c r="G393" s="237">
        <f>G394</f>
        <v>0</v>
      </c>
      <c r="H393" s="236">
        <v>0</v>
      </c>
      <c r="I393" s="237">
        <f>I394</f>
        <v>0</v>
      </c>
      <c r="J393" s="1122">
        <f>J394</f>
        <v>75000</v>
      </c>
      <c r="K393" s="1006">
        <f t="shared" ref="K393:L393" si="250">K394</f>
        <v>-20000</v>
      </c>
      <c r="L393" s="238">
        <f t="shared" si="250"/>
        <v>55000</v>
      </c>
      <c r="M393" s="78">
        <v>0</v>
      </c>
      <c r="N393" s="802"/>
      <c r="O393" s="443">
        <f>O394</f>
        <v>0</v>
      </c>
      <c r="P393" s="443">
        <f t="shared" ref="P393:X393" si="251">P394</f>
        <v>0</v>
      </c>
      <c r="Q393" s="443">
        <f t="shared" si="251"/>
        <v>0</v>
      </c>
      <c r="R393" s="443">
        <f t="shared" si="251"/>
        <v>0</v>
      </c>
      <c r="S393" s="443">
        <f t="shared" si="251"/>
        <v>0</v>
      </c>
      <c r="T393" s="443">
        <f t="shared" si="251"/>
        <v>0</v>
      </c>
      <c r="U393" s="443">
        <f t="shared" si="251"/>
        <v>0</v>
      </c>
      <c r="V393" s="443">
        <f t="shared" si="251"/>
        <v>0</v>
      </c>
      <c r="W393" s="443">
        <f t="shared" si="251"/>
        <v>55000</v>
      </c>
      <c r="X393" s="443">
        <f t="shared" si="251"/>
        <v>0</v>
      </c>
      <c r="Y393" s="443">
        <f>Y394</f>
        <v>55000</v>
      </c>
    </row>
    <row r="394" spans="1:25" ht="33.75" x14ac:dyDescent="0.2">
      <c r="A394" s="52"/>
      <c r="B394" s="52"/>
      <c r="C394" s="240"/>
      <c r="D394" s="446">
        <v>4330</v>
      </c>
      <c r="E394" s="122" t="s">
        <v>232</v>
      </c>
      <c r="F394" s="590">
        <v>0</v>
      </c>
      <c r="G394" s="100">
        <v>0</v>
      </c>
      <c r="H394" s="101">
        <v>0</v>
      </c>
      <c r="I394" s="102">
        <v>0</v>
      </c>
      <c r="J394" s="1112">
        <v>75000</v>
      </c>
      <c r="K394" s="1245">
        <v>-20000</v>
      </c>
      <c r="L394" s="138">
        <f>J394+K394</f>
        <v>55000</v>
      </c>
      <c r="M394" s="280">
        <v>0</v>
      </c>
      <c r="N394" s="466"/>
      <c r="O394" s="392"/>
      <c r="P394" s="392"/>
      <c r="Q394" s="393"/>
      <c r="R394" s="392"/>
      <c r="S394" s="392"/>
      <c r="T394" s="393"/>
      <c r="U394" s="393"/>
      <c r="V394" s="393"/>
      <c r="W394" s="100">
        <f>L394</f>
        <v>55000</v>
      </c>
      <c r="X394" s="393"/>
      <c r="Y394" s="393">
        <f t="shared" ref="Y394" si="252">SUM(O394:X394)</f>
        <v>55000</v>
      </c>
    </row>
    <row r="395" spans="1:25" x14ac:dyDescent="0.2">
      <c r="A395" s="52"/>
      <c r="B395" s="188">
        <v>85202</v>
      </c>
      <c r="C395" s="232"/>
      <c r="D395" s="233"/>
      <c r="E395" s="234" t="s">
        <v>370</v>
      </c>
      <c r="F395" s="235">
        <f>F396</f>
        <v>0</v>
      </c>
      <c r="G395" s="235">
        <f>G396</f>
        <v>0</v>
      </c>
      <c r="H395" s="236">
        <v>0</v>
      </c>
      <c r="I395" s="237">
        <f>I396</f>
        <v>0</v>
      </c>
      <c r="J395" s="1122">
        <f>J396</f>
        <v>641683</v>
      </c>
      <c r="K395" s="1006">
        <f t="shared" ref="K395:L395" si="253">K396</f>
        <v>-50000</v>
      </c>
      <c r="L395" s="238">
        <f t="shared" si="253"/>
        <v>591683</v>
      </c>
      <c r="M395" s="78">
        <v>0</v>
      </c>
      <c r="N395" s="802"/>
      <c r="O395" s="443">
        <f>O396</f>
        <v>0</v>
      </c>
      <c r="P395" s="443">
        <f t="shared" ref="P395:X395" si="254">P396</f>
        <v>0</v>
      </c>
      <c r="Q395" s="443">
        <f t="shared" si="254"/>
        <v>0</v>
      </c>
      <c r="R395" s="443">
        <f t="shared" si="254"/>
        <v>0</v>
      </c>
      <c r="S395" s="443">
        <f t="shared" si="254"/>
        <v>0</v>
      </c>
      <c r="T395" s="443">
        <f t="shared" si="254"/>
        <v>0</v>
      </c>
      <c r="U395" s="443">
        <f t="shared" si="254"/>
        <v>0</v>
      </c>
      <c r="V395" s="443">
        <f t="shared" si="254"/>
        <v>0</v>
      </c>
      <c r="W395" s="443">
        <f t="shared" si="254"/>
        <v>591683</v>
      </c>
      <c r="X395" s="443">
        <f t="shared" si="254"/>
        <v>0</v>
      </c>
      <c r="Y395" s="443">
        <f>Y396</f>
        <v>591683</v>
      </c>
    </row>
    <row r="396" spans="1:25" ht="33.75" x14ac:dyDescent="0.2">
      <c r="A396" s="52"/>
      <c r="B396" s="52"/>
      <c r="C396" s="240"/>
      <c r="D396" s="446">
        <v>4330</v>
      </c>
      <c r="E396" s="122" t="s">
        <v>232</v>
      </c>
      <c r="F396" s="590">
        <v>0</v>
      </c>
      <c r="G396" s="100">
        <v>0</v>
      </c>
      <c r="H396" s="101">
        <v>0</v>
      </c>
      <c r="I396" s="102">
        <v>0</v>
      </c>
      <c r="J396" s="1112">
        <v>641683</v>
      </c>
      <c r="K396" s="1245">
        <v>-50000</v>
      </c>
      <c r="L396" s="138">
        <f>J396+K396</f>
        <v>591683</v>
      </c>
      <c r="M396" s="280">
        <v>0</v>
      </c>
      <c r="N396" s="466"/>
      <c r="O396" s="392"/>
      <c r="P396" s="392"/>
      <c r="Q396" s="393"/>
      <c r="R396" s="392"/>
      <c r="S396" s="392"/>
      <c r="T396" s="393"/>
      <c r="U396" s="393"/>
      <c r="V396" s="393"/>
      <c r="W396" s="100">
        <f>L396</f>
        <v>591683</v>
      </c>
      <c r="X396" s="393"/>
      <c r="Y396" s="393">
        <f t="shared" ref="Y396" si="255">SUM(O396:X396)</f>
        <v>591683</v>
      </c>
    </row>
    <row r="397" spans="1:25" x14ac:dyDescent="0.2">
      <c r="A397" s="52"/>
      <c r="B397" s="188">
        <v>85204</v>
      </c>
      <c r="C397" s="232"/>
      <c r="D397" s="233"/>
      <c r="E397" s="234" t="s">
        <v>371</v>
      </c>
      <c r="F397" s="235">
        <f>F398</f>
        <v>0</v>
      </c>
      <c r="G397" s="235">
        <f>G398</f>
        <v>0</v>
      </c>
      <c r="H397" s="236">
        <v>0</v>
      </c>
      <c r="I397" s="237">
        <f>I398</f>
        <v>0</v>
      </c>
      <c r="J397" s="1122">
        <f>J398</f>
        <v>99960</v>
      </c>
      <c r="K397" s="1006">
        <f t="shared" ref="K397:L397" si="256">K398</f>
        <v>-25000</v>
      </c>
      <c r="L397" s="238">
        <f t="shared" si="256"/>
        <v>74960</v>
      </c>
      <c r="M397" s="78">
        <v>0</v>
      </c>
      <c r="N397" s="802"/>
      <c r="O397" s="443">
        <f>O398</f>
        <v>0</v>
      </c>
      <c r="P397" s="443">
        <f t="shared" ref="P397:X397" si="257">P398</f>
        <v>0</v>
      </c>
      <c r="Q397" s="443">
        <f t="shared" si="257"/>
        <v>0</v>
      </c>
      <c r="R397" s="443">
        <f t="shared" si="257"/>
        <v>0</v>
      </c>
      <c r="S397" s="443">
        <f t="shared" si="257"/>
        <v>0</v>
      </c>
      <c r="T397" s="443">
        <f t="shared" si="257"/>
        <v>0</v>
      </c>
      <c r="U397" s="443">
        <f t="shared" si="257"/>
        <v>0</v>
      </c>
      <c r="V397" s="443">
        <f t="shared" si="257"/>
        <v>0</v>
      </c>
      <c r="W397" s="443">
        <f t="shared" si="257"/>
        <v>74960</v>
      </c>
      <c r="X397" s="443">
        <f t="shared" si="257"/>
        <v>0</v>
      </c>
      <c r="Y397" s="443">
        <f>Y398</f>
        <v>74960</v>
      </c>
    </row>
    <row r="398" spans="1:25" ht="33.75" x14ac:dyDescent="0.2">
      <c r="A398" s="52"/>
      <c r="B398" s="52"/>
      <c r="C398" s="240"/>
      <c r="D398" s="446">
        <v>4330</v>
      </c>
      <c r="E398" s="122" t="s">
        <v>232</v>
      </c>
      <c r="F398" s="590">
        <v>0</v>
      </c>
      <c r="G398" s="100">
        <v>0</v>
      </c>
      <c r="H398" s="101">
        <v>0</v>
      </c>
      <c r="I398" s="102">
        <v>0</v>
      </c>
      <c r="J398" s="1112">
        <v>99960</v>
      </c>
      <c r="K398" s="1245">
        <v>-25000</v>
      </c>
      <c r="L398" s="138">
        <f>J398+K398</f>
        <v>74960</v>
      </c>
      <c r="M398" s="280">
        <v>0</v>
      </c>
      <c r="N398" s="466"/>
      <c r="O398" s="392"/>
      <c r="P398" s="392"/>
      <c r="Q398" s="393"/>
      <c r="R398" s="392"/>
      <c r="S398" s="392"/>
      <c r="T398" s="393"/>
      <c r="U398" s="393"/>
      <c r="V398" s="393"/>
      <c r="W398" s="100">
        <f>L398</f>
        <v>74960</v>
      </c>
      <c r="X398" s="393"/>
      <c r="Y398" s="393">
        <f t="shared" ref="Y398" si="258">SUM(O398:X398)</f>
        <v>74960</v>
      </c>
    </row>
    <row r="399" spans="1:25" ht="22.5" x14ac:dyDescent="0.2">
      <c r="A399" s="52"/>
      <c r="B399" s="188">
        <v>85205</v>
      </c>
      <c r="C399" s="232"/>
      <c r="D399" s="233"/>
      <c r="E399" s="234" t="s">
        <v>231</v>
      </c>
      <c r="F399" s="235">
        <f>SUM(F400:F401)</f>
        <v>1800</v>
      </c>
      <c r="G399" s="237">
        <f>SUM(G400:G401)</f>
        <v>684.98</v>
      </c>
      <c r="H399" s="236">
        <f t="shared" si="240"/>
        <v>0.38054444444444446</v>
      </c>
      <c r="I399" s="237">
        <f>SUM(I400:I401)</f>
        <v>1800</v>
      </c>
      <c r="J399" s="1122">
        <f>SUM(J400:J401)</f>
        <v>1800</v>
      </c>
      <c r="K399" s="1006">
        <f t="shared" ref="K399:L399" si="259">SUM(K400:K401)</f>
        <v>0</v>
      </c>
      <c r="L399" s="238">
        <f t="shared" si="259"/>
        <v>1800</v>
      </c>
      <c r="M399" s="78">
        <f t="shared" si="247"/>
        <v>1</v>
      </c>
      <c r="N399" s="802"/>
      <c r="O399" s="443">
        <f t="shared" ref="O399:Y399" si="260">SUM(O400:O401)</f>
        <v>0</v>
      </c>
      <c r="P399" s="443">
        <f t="shared" si="260"/>
        <v>0</v>
      </c>
      <c r="Q399" s="443">
        <f t="shared" si="260"/>
        <v>0</v>
      </c>
      <c r="R399" s="443">
        <f t="shared" si="260"/>
        <v>0</v>
      </c>
      <c r="S399" s="443">
        <f t="shared" si="260"/>
        <v>0</v>
      </c>
      <c r="T399" s="443">
        <f t="shared" si="260"/>
        <v>0</v>
      </c>
      <c r="U399" s="443">
        <f t="shared" si="260"/>
        <v>0</v>
      </c>
      <c r="V399" s="443">
        <f t="shared" si="260"/>
        <v>0</v>
      </c>
      <c r="W399" s="443">
        <f t="shared" si="260"/>
        <v>1800</v>
      </c>
      <c r="X399" s="443">
        <f t="shared" si="260"/>
        <v>0</v>
      </c>
      <c r="Y399" s="443">
        <f t="shared" si="260"/>
        <v>1800</v>
      </c>
    </row>
    <row r="400" spans="1:25" x14ac:dyDescent="0.2">
      <c r="A400" s="52"/>
      <c r="B400" s="52"/>
      <c r="C400" s="79"/>
      <c r="D400" s="400">
        <v>4210</v>
      </c>
      <c r="E400" s="81" t="s">
        <v>142</v>
      </c>
      <c r="F400" s="92">
        <v>300</v>
      </c>
      <c r="G400" s="65">
        <v>134.97999999999999</v>
      </c>
      <c r="H400" s="66">
        <f t="shared" si="240"/>
        <v>0.4499333333333333</v>
      </c>
      <c r="I400" s="58">
        <v>300</v>
      </c>
      <c r="J400" s="1108">
        <v>300</v>
      </c>
      <c r="K400" s="58"/>
      <c r="L400" s="59">
        <f>J400+K400</f>
        <v>300</v>
      </c>
      <c r="M400" s="280">
        <f t="shared" si="247"/>
        <v>1</v>
      </c>
      <c r="N400" s="399"/>
      <c r="O400" s="392"/>
      <c r="P400" s="392"/>
      <c r="Q400" s="393"/>
      <c r="R400" s="392"/>
      <c r="S400" s="392"/>
      <c r="T400" s="393"/>
      <c r="U400" s="393"/>
      <c r="V400" s="393"/>
      <c r="W400" s="100">
        <f t="shared" ref="W400:W401" si="261">J400</f>
        <v>300</v>
      </c>
      <c r="X400" s="393"/>
      <c r="Y400" s="393">
        <f t="shared" si="212"/>
        <v>300</v>
      </c>
    </row>
    <row r="401" spans="1:25" x14ac:dyDescent="0.2">
      <c r="A401" s="52"/>
      <c r="B401" s="52"/>
      <c r="C401" s="203"/>
      <c r="D401" s="446">
        <v>4300</v>
      </c>
      <c r="E401" s="213" t="s">
        <v>143</v>
      </c>
      <c r="F401" s="93">
        <v>1500</v>
      </c>
      <c r="G401" s="56">
        <v>550</v>
      </c>
      <c r="H401" s="57">
        <f t="shared" si="240"/>
        <v>0.36666666666666664</v>
      </c>
      <c r="I401" s="58">
        <v>1500</v>
      </c>
      <c r="J401" s="1135">
        <v>1500</v>
      </c>
      <c r="K401" s="58"/>
      <c r="L401" s="59">
        <f>J401+K401</f>
        <v>1500</v>
      </c>
      <c r="M401" s="280">
        <f t="shared" si="247"/>
        <v>1</v>
      </c>
      <c r="N401" s="492"/>
      <c r="O401" s="806"/>
      <c r="P401" s="806"/>
      <c r="Q401" s="807"/>
      <c r="R401" s="806"/>
      <c r="S401" s="806"/>
      <c r="T401" s="807"/>
      <c r="U401" s="807"/>
      <c r="V401" s="807"/>
      <c r="W401" s="100">
        <f t="shared" si="261"/>
        <v>1500</v>
      </c>
      <c r="X401" s="807"/>
      <c r="Y401" s="393">
        <f t="shared" si="212"/>
        <v>1500</v>
      </c>
    </row>
    <row r="402" spans="1:25" x14ac:dyDescent="0.2">
      <c r="A402" s="52"/>
      <c r="B402" s="591">
        <v>85206</v>
      </c>
      <c r="C402" s="449"/>
      <c r="D402" s="205"/>
      <c r="E402" s="206" t="s">
        <v>88</v>
      </c>
      <c r="F402" s="207">
        <f>SUM(F403:F411)</f>
        <v>237510</v>
      </c>
      <c r="G402" s="207">
        <f t="shared" ref="G402:I402" si="262">SUM(G403:G411)</f>
        <v>134145.88999999998</v>
      </c>
      <c r="H402" s="176">
        <f t="shared" si="240"/>
        <v>0.5648010189044671</v>
      </c>
      <c r="I402" s="207">
        <f t="shared" si="262"/>
        <v>225431.09999999998</v>
      </c>
      <c r="J402" s="1152">
        <f>SUM(J403:J411)</f>
        <v>109393</v>
      </c>
      <c r="K402" s="1186">
        <f t="shared" ref="K402:L402" si="263">SUM(K403:K411)</f>
        <v>0</v>
      </c>
      <c r="L402" s="1266">
        <f t="shared" si="263"/>
        <v>109393</v>
      </c>
      <c r="M402" s="78">
        <f t="shared" si="247"/>
        <v>0.46058271230685022</v>
      </c>
      <c r="N402" s="805"/>
      <c r="O402" s="592">
        <f>SUM(O403:O411)</f>
        <v>0</v>
      </c>
      <c r="P402" s="592">
        <f t="shared" ref="P402:X402" si="264">SUM(P403:P411)</f>
        <v>0</v>
      </c>
      <c r="Q402" s="592">
        <f t="shared" si="264"/>
        <v>0</v>
      </c>
      <c r="R402" s="592">
        <f t="shared" si="264"/>
        <v>0</v>
      </c>
      <c r="S402" s="592">
        <f t="shared" si="264"/>
        <v>0</v>
      </c>
      <c r="T402" s="592">
        <f t="shared" si="264"/>
        <v>0</v>
      </c>
      <c r="U402" s="592">
        <f t="shared" si="264"/>
        <v>0</v>
      </c>
      <c r="V402" s="592">
        <f t="shared" si="264"/>
        <v>0</v>
      </c>
      <c r="W402" s="592">
        <f t="shared" si="264"/>
        <v>109393</v>
      </c>
      <c r="X402" s="592">
        <f t="shared" si="264"/>
        <v>0</v>
      </c>
      <c r="Y402" s="592">
        <f t="shared" si="212"/>
        <v>109393</v>
      </c>
    </row>
    <row r="403" spans="1:25" x14ac:dyDescent="0.2">
      <c r="A403" s="52"/>
      <c r="B403" s="253"/>
      <c r="C403" s="593"/>
      <c r="D403" s="594">
        <v>3020</v>
      </c>
      <c r="E403" s="119" t="s">
        <v>174</v>
      </c>
      <c r="F403" s="254">
        <v>800</v>
      </c>
      <c r="G403" s="254">
        <v>0</v>
      </c>
      <c r="H403" s="595">
        <f>G403/F403</f>
        <v>0</v>
      </c>
      <c r="I403" s="596">
        <v>800</v>
      </c>
      <c r="J403" s="1153">
        <v>1292</v>
      </c>
      <c r="K403" s="1246"/>
      <c r="L403" s="1267">
        <f>J403+K403</f>
        <v>1292</v>
      </c>
      <c r="M403" s="280">
        <f t="shared" si="247"/>
        <v>1.615</v>
      </c>
      <c r="N403" s="451"/>
      <c r="O403" s="392"/>
      <c r="P403" s="392"/>
      <c r="Q403" s="393"/>
      <c r="R403" s="392"/>
      <c r="S403" s="392"/>
      <c r="T403" s="393"/>
      <c r="U403" s="393"/>
      <c r="V403" s="393"/>
      <c r="W403" s="254">
        <f>J403</f>
        <v>1292</v>
      </c>
      <c r="X403" s="393"/>
      <c r="Y403" s="393">
        <f t="shared" si="212"/>
        <v>1292</v>
      </c>
    </row>
    <row r="404" spans="1:25" x14ac:dyDescent="0.2">
      <c r="A404" s="52"/>
      <c r="B404" s="597"/>
      <c r="C404" s="23"/>
      <c r="D404" s="598">
        <v>4010</v>
      </c>
      <c r="E404" s="199" t="s">
        <v>139</v>
      </c>
      <c r="F404" s="599">
        <v>83506.8</v>
      </c>
      <c r="G404" s="600">
        <v>40576.31</v>
      </c>
      <c r="H404" s="595">
        <f t="shared" ref="H404:H412" si="265">G404/F404</f>
        <v>0.48590426168886841</v>
      </c>
      <c r="I404" s="600">
        <v>83506.8</v>
      </c>
      <c r="J404" s="1111">
        <v>76065</v>
      </c>
      <c r="K404" s="1234"/>
      <c r="L404" s="1267">
        <f t="shared" ref="L404:L411" si="266">J404+K404</f>
        <v>76065</v>
      </c>
      <c r="M404" s="259">
        <f t="shared" si="247"/>
        <v>0.91088390406529762</v>
      </c>
      <c r="N404" s="451"/>
      <c r="O404" s="392"/>
      <c r="P404" s="392"/>
      <c r="Q404" s="393"/>
      <c r="R404" s="392"/>
      <c r="S404" s="392"/>
      <c r="T404" s="393"/>
      <c r="U404" s="393"/>
      <c r="V404" s="393"/>
      <c r="W404" s="254">
        <f t="shared" ref="W404:W411" si="267">J404</f>
        <v>76065</v>
      </c>
      <c r="X404" s="393"/>
      <c r="Y404" s="393">
        <f t="shared" si="212"/>
        <v>76065</v>
      </c>
    </row>
    <row r="405" spans="1:25" x14ac:dyDescent="0.2">
      <c r="A405" s="52"/>
      <c r="B405" s="597"/>
      <c r="C405" s="312"/>
      <c r="D405" s="402">
        <v>4040</v>
      </c>
      <c r="E405" s="119" t="s">
        <v>169</v>
      </c>
      <c r="F405" s="438">
        <v>4181</v>
      </c>
      <c r="G405" s="314">
        <v>3600.64</v>
      </c>
      <c r="H405" s="595">
        <f t="shared" si="265"/>
        <v>0.8611911026070318</v>
      </c>
      <c r="I405" s="314">
        <v>3600.64</v>
      </c>
      <c r="J405" s="1120">
        <v>4656</v>
      </c>
      <c r="K405" s="1234"/>
      <c r="L405" s="1267">
        <f t="shared" si="266"/>
        <v>4656</v>
      </c>
      <c r="M405" s="280">
        <f t="shared" si="247"/>
        <v>1.1136091844056446</v>
      </c>
      <c r="N405" s="451"/>
      <c r="O405" s="392"/>
      <c r="P405" s="392"/>
      <c r="Q405" s="393"/>
      <c r="R405" s="392"/>
      <c r="S405" s="392"/>
      <c r="T405" s="393"/>
      <c r="U405" s="393"/>
      <c r="V405" s="393"/>
      <c r="W405" s="254">
        <f t="shared" si="267"/>
        <v>4656</v>
      </c>
      <c r="X405" s="393"/>
      <c r="Y405" s="393">
        <f t="shared" si="212"/>
        <v>4656</v>
      </c>
    </row>
    <row r="406" spans="1:25" x14ac:dyDescent="0.2">
      <c r="A406" s="52"/>
      <c r="B406" s="597"/>
      <c r="C406" s="432"/>
      <c r="D406" s="602">
        <v>4110</v>
      </c>
      <c r="E406" s="122" t="s">
        <v>140</v>
      </c>
      <c r="F406" s="603">
        <v>15100.16</v>
      </c>
      <c r="G406" s="604">
        <v>8430.06</v>
      </c>
      <c r="H406" s="595">
        <f t="shared" si="265"/>
        <v>0.55827620369585484</v>
      </c>
      <c r="I406" s="604">
        <v>15100.16</v>
      </c>
      <c r="J406" s="1141">
        <v>13900</v>
      </c>
      <c r="K406" s="1234"/>
      <c r="L406" s="1267">
        <f t="shared" si="266"/>
        <v>13900</v>
      </c>
      <c r="M406" s="280">
        <f t="shared" si="247"/>
        <v>0.92052004746969573</v>
      </c>
      <c r="N406" s="451"/>
      <c r="O406" s="392"/>
      <c r="P406" s="392"/>
      <c r="Q406" s="393"/>
      <c r="R406" s="392"/>
      <c r="S406" s="392"/>
      <c r="T406" s="393"/>
      <c r="U406" s="393"/>
      <c r="V406" s="393"/>
      <c r="W406" s="254">
        <f t="shared" si="267"/>
        <v>13900</v>
      </c>
      <c r="X406" s="393"/>
      <c r="Y406" s="393">
        <f t="shared" si="212"/>
        <v>13900</v>
      </c>
    </row>
    <row r="407" spans="1:25" x14ac:dyDescent="0.2">
      <c r="A407" s="52"/>
      <c r="B407" s="597"/>
      <c r="C407" s="432"/>
      <c r="D407" s="602">
        <v>4120</v>
      </c>
      <c r="E407" s="122" t="s">
        <v>141</v>
      </c>
      <c r="F407" s="603">
        <v>2148.04</v>
      </c>
      <c r="G407" s="604">
        <v>994.46</v>
      </c>
      <c r="H407" s="595">
        <f t="shared" si="265"/>
        <v>0.46296158358317352</v>
      </c>
      <c r="I407" s="604">
        <v>2148.04</v>
      </c>
      <c r="J407" s="1141">
        <v>1978</v>
      </c>
      <c r="K407" s="1234"/>
      <c r="L407" s="1267">
        <f t="shared" si="266"/>
        <v>1978</v>
      </c>
      <c r="M407" s="280">
        <f t="shared" si="247"/>
        <v>0.92083946295227281</v>
      </c>
      <c r="N407" s="523"/>
      <c r="O407" s="392"/>
      <c r="P407" s="392"/>
      <c r="Q407" s="393"/>
      <c r="R407" s="392"/>
      <c r="S407" s="392"/>
      <c r="T407" s="393"/>
      <c r="U407" s="393"/>
      <c r="V407" s="393"/>
      <c r="W407" s="254">
        <f t="shared" si="267"/>
        <v>1978</v>
      </c>
      <c r="X407" s="393"/>
      <c r="Y407" s="393">
        <f t="shared" si="212"/>
        <v>1978</v>
      </c>
    </row>
    <row r="408" spans="1:25" x14ac:dyDescent="0.2">
      <c r="A408" s="52"/>
      <c r="B408" s="597"/>
      <c r="C408" s="432"/>
      <c r="D408" s="602">
        <v>4210</v>
      </c>
      <c r="E408" s="122" t="s">
        <v>142</v>
      </c>
      <c r="F408" s="603">
        <v>3200</v>
      </c>
      <c r="G408" s="604">
        <v>2247.67</v>
      </c>
      <c r="H408" s="595">
        <f t="shared" si="265"/>
        <v>0.70239687500000003</v>
      </c>
      <c r="I408" s="604">
        <v>3200</v>
      </c>
      <c r="J408" s="1141">
        <v>3200</v>
      </c>
      <c r="K408" s="1234"/>
      <c r="L408" s="1267">
        <f t="shared" si="266"/>
        <v>3200</v>
      </c>
      <c r="M408" s="280">
        <f t="shared" si="247"/>
        <v>1</v>
      </c>
      <c r="N408" s="451"/>
      <c r="O408" s="392"/>
      <c r="P408" s="392"/>
      <c r="Q408" s="393"/>
      <c r="R408" s="392"/>
      <c r="S408" s="392"/>
      <c r="T408" s="393"/>
      <c r="U408" s="393"/>
      <c r="V408" s="393"/>
      <c r="W408" s="254">
        <f t="shared" si="267"/>
        <v>3200</v>
      </c>
      <c r="X408" s="393"/>
      <c r="Y408" s="393">
        <f t="shared" si="212"/>
        <v>3200</v>
      </c>
    </row>
    <row r="409" spans="1:25" ht="33.75" x14ac:dyDescent="0.2">
      <c r="A409" s="52"/>
      <c r="B409" s="597"/>
      <c r="C409" s="312"/>
      <c r="D409" s="540">
        <v>4330</v>
      </c>
      <c r="E409" s="125" t="s">
        <v>232</v>
      </c>
      <c r="F409" s="438">
        <v>120272</v>
      </c>
      <c r="G409" s="314">
        <v>72926.5</v>
      </c>
      <c r="H409" s="256">
        <f t="shared" si="265"/>
        <v>0.60634644805108417</v>
      </c>
      <c r="I409" s="314">
        <v>109622.47</v>
      </c>
      <c r="J409" s="1120">
        <v>0</v>
      </c>
      <c r="K409" s="353"/>
      <c r="L409" s="1277">
        <f t="shared" si="266"/>
        <v>0</v>
      </c>
      <c r="M409" s="280">
        <f t="shared" si="247"/>
        <v>0</v>
      </c>
      <c r="N409" s="451"/>
      <c r="O409" s="392"/>
      <c r="P409" s="392"/>
      <c r="Q409" s="393"/>
      <c r="R409" s="392"/>
      <c r="S409" s="392"/>
      <c r="T409" s="393"/>
      <c r="U409" s="393"/>
      <c r="V409" s="393"/>
      <c r="W409" s="254">
        <f t="shared" si="267"/>
        <v>0</v>
      </c>
      <c r="X409" s="393"/>
      <c r="Y409" s="393">
        <f t="shared" si="212"/>
        <v>0</v>
      </c>
    </row>
    <row r="410" spans="1:25" x14ac:dyDescent="0.2">
      <c r="A410" s="52"/>
      <c r="B410" s="597"/>
      <c r="C410" s="312"/>
      <c r="D410" s="601">
        <v>4410</v>
      </c>
      <c r="E410" s="125" t="s">
        <v>144</v>
      </c>
      <c r="F410" s="438">
        <v>6000</v>
      </c>
      <c r="G410" s="314">
        <v>3068.25</v>
      </c>
      <c r="H410" s="256">
        <f t="shared" si="265"/>
        <v>0.51137500000000002</v>
      </c>
      <c r="I410" s="314">
        <v>5150.99</v>
      </c>
      <c r="J410" s="1120">
        <v>6000</v>
      </c>
      <c r="K410" s="353"/>
      <c r="L410" s="1267">
        <f t="shared" si="266"/>
        <v>6000</v>
      </c>
      <c r="M410" s="280">
        <f t="shared" si="247"/>
        <v>1</v>
      </c>
      <c r="N410" s="451"/>
      <c r="O410" s="392"/>
      <c r="P410" s="392"/>
      <c r="Q410" s="393"/>
      <c r="R410" s="392"/>
      <c r="S410" s="392"/>
      <c r="T410" s="393"/>
      <c r="U410" s="393"/>
      <c r="V410" s="393"/>
      <c r="W410" s="254">
        <f t="shared" si="267"/>
        <v>6000</v>
      </c>
      <c r="X410" s="393"/>
      <c r="Y410" s="393">
        <f t="shared" si="212"/>
        <v>6000</v>
      </c>
    </row>
    <row r="411" spans="1:25" ht="22.5" x14ac:dyDescent="0.2">
      <c r="A411" s="52"/>
      <c r="B411" s="605"/>
      <c r="C411" s="432"/>
      <c r="D411" s="569">
        <v>4440</v>
      </c>
      <c r="E411" s="122" t="s">
        <v>191</v>
      </c>
      <c r="F411" s="603">
        <v>2302</v>
      </c>
      <c r="G411" s="604">
        <v>2302</v>
      </c>
      <c r="H411" s="595">
        <f t="shared" si="265"/>
        <v>1</v>
      </c>
      <c r="I411" s="604">
        <v>2302</v>
      </c>
      <c r="J411" s="1141">
        <v>2302</v>
      </c>
      <c r="K411" s="1234"/>
      <c r="L411" s="1267">
        <f t="shared" si="266"/>
        <v>2302</v>
      </c>
      <c r="M411" s="280">
        <f t="shared" si="247"/>
        <v>1</v>
      </c>
      <c r="N411" s="451"/>
      <c r="O411" s="392"/>
      <c r="P411" s="392"/>
      <c r="Q411" s="393"/>
      <c r="R411" s="392"/>
      <c r="S411" s="392"/>
      <c r="T411" s="393"/>
      <c r="U411" s="393"/>
      <c r="V411" s="393"/>
      <c r="W411" s="254">
        <f t="shared" si="267"/>
        <v>2302</v>
      </c>
      <c r="X411" s="393"/>
      <c r="Y411" s="393">
        <f t="shared" si="212"/>
        <v>2302</v>
      </c>
    </row>
    <row r="412" spans="1:25" ht="33.75" x14ac:dyDescent="0.2">
      <c r="A412" s="52"/>
      <c r="B412" s="606">
        <v>85212</v>
      </c>
      <c r="C412" s="426"/>
      <c r="D412" s="152"/>
      <c r="E412" s="272" t="s">
        <v>89</v>
      </c>
      <c r="F412" s="555">
        <f>SUM(F413:F427)</f>
        <v>6801538</v>
      </c>
      <c r="G412" s="555">
        <f t="shared" ref="G412:I412" si="268">SUM(G413:G427)</f>
        <v>4764427.2799999993</v>
      </c>
      <c r="H412" s="1178">
        <f t="shared" si="265"/>
        <v>0.70049263563623398</v>
      </c>
      <c r="I412" s="555">
        <f t="shared" si="268"/>
        <v>6788569.9900000002</v>
      </c>
      <c r="J412" s="1126">
        <f>SUM(J413:J427)</f>
        <v>6305621</v>
      </c>
      <c r="K412" s="1221">
        <f t="shared" ref="K412:L412" si="269">SUM(K413:K427)</f>
        <v>456929</v>
      </c>
      <c r="L412" s="158">
        <f t="shared" si="269"/>
        <v>6762550</v>
      </c>
      <c r="M412" s="78">
        <f t="shared" si="247"/>
        <v>0.99426776708444475</v>
      </c>
      <c r="N412" s="810"/>
      <c r="O412" s="475">
        <f t="shared" ref="O412:X412" si="270">SUM(O413:O427)</f>
        <v>0</v>
      </c>
      <c r="P412" s="475">
        <f t="shared" si="270"/>
        <v>0</v>
      </c>
      <c r="Q412" s="475">
        <f t="shared" si="270"/>
        <v>0</v>
      </c>
      <c r="R412" s="475">
        <f t="shared" si="270"/>
        <v>0</v>
      </c>
      <c r="S412" s="475">
        <f t="shared" si="270"/>
        <v>0</v>
      </c>
      <c r="T412" s="475">
        <f t="shared" si="270"/>
        <v>10500</v>
      </c>
      <c r="U412" s="475">
        <f t="shared" si="270"/>
        <v>0</v>
      </c>
      <c r="V412" s="475">
        <f t="shared" si="270"/>
        <v>0</v>
      </c>
      <c r="W412" s="475">
        <f t="shared" si="270"/>
        <v>6752050</v>
      </c>
      <c r="X412" s="475">
        <f t="shared" si="270"/>
        <v>0</v>
      </c>
      <c r="Y412" s="475">
        <f>SUM(O412:X412)</f>
        <v>6762550</v>
      </c>
    </row>
    <row r="413" spans="1:25" ht="56.25" x14ac:dyDescent="0.2">
      <c r="A413" s="52"/>
      <c r="B413" s="52"/>
      <c r="C413" s="52"/>
      <c r="D413" s="474">
        <v>2910</v>
      </c>
      <c r="E413" s="128" t="s">
        <v>233</v>
      </c>
      <c r="F413" s="260">
        <v>15000</v>
      </c>
      <c r="G413" s="100">
        <v>9174.2999999999993</v>
      </c>
      <c r="H413" s="101">
        <f t="shared" si="240"/>
        <v>0.61161999999999994</v>
      </c>
      <c r="I413" s="102">
        <v>9174.2999999999993</v>
      </c>
      <c r="J413" s="1112">
        <v>9000</v>
      </c>
      <c r="K413" s="58"/>
      <c r="L413" s="59">
        <f>J413+K413</f>
        <v>9000</v>
      </c>
      <c r="M413" s="280">
        <f t="shared" si="247"/>
        <v>0.6</v>
      </c>
      <c r="N413" s="399"/>
      <c r="O413" s="392"/>
      <c r="P413" s="392"/>
      <c r="Q413" s="393"/>
      <c r="R413" s="392"/>
      <c r="S413" s="392"/>
      <c r="T413" s="393">
        <f>J413</f>
        <v>9000</v>
      </c>
      <c r="U413" s="393"/>
      <c r="V413" s="393"/>
      <c r="W413" s="393"/>
      <c r="X413" s="393"/>
      <c r="Y413" s="393">
        <f>SUM(O413:X413)</f>
        <v>9000</v>
      </c>
    </row>
    <row r="414" spans="1:25" x14ac:dyDescent="0.2">
      <c r="A414" s="52"/>
      <c r="B414" s="52"/>
      <c r="C414" s="203"/>
      <c r="D414" s="402">
        <v>3110</v>
      </c>
      <c r="E414" s="119" t="s">
        <v>234</v>
      </c>
      <c r="F414" s="130">
        <v>6382358.3700000001</v>
      </c>
      <c r="G414" s="56">
        <v>4458622.46</v>
      </c>
      <c r="H414" s="101">
        <f t="shared" si="240"/>
        <v>0.69858541334149493</v>
      </c>
      <c r="I414" s="58">
        <v>6382358.3700000001</v>
      </c>
      <c r="J414" s="1108">
        <v>5900000</v>
      </c>
      <c r="K414" s="58">
        <v>426929</v>
      </c>
      <c r="L414" s="59">
        <f t="shared" ref="L414:L427" si="271">J414+K414</f>
        <v>6326929</v>
      </c>
      <c r="M414" s="280">
        <f t="shared" si="247"/>
        <v>0.99131522130431537</v>
      </c>
      <c r="N414" s="399"/>
      <c r="O414" s="392"/>
      <c r="P414" s="392"/>
      <c r="Q414" s="393"/>
      <c r="R414" s="392"/>
      <c r="S414" s="392"/>
      <c r="T414" s="393"/>
      <c r="U414" s="393"/>
      <c r="V414" s="393"/>
      <c r="W414" s="393">
        <f>L414</f>
        <v>6326929</v>
      </c>
      <c r="X414" s="393"/>
      <c r="Y414" s="393">
        <f t="shared" ref="Y414:Y459" si="272">SUM(O414:X414)</f>
        <v>6326929</v>
      </c>
    </row>
    <row r="415" spans="1:25" x14ac:dyDescent="0.2">
      <c r="A415" s="52"/>
      <c r="B415" s="52"/>
      <c r="C415" s="240"/>
      <c r="D415" s="446">
        <v>4010</v>
      </c>
      <c r="E415" s="199" t="s">
        <v>139</v>
      </c>
      <c r="F415" s="200">
        <v>135148</v>
      </c>
      <c r="G415" s="100">
        <v>102319.54</v>
      </c>
      <c r="H415" s="101">
        <f t="shared" si="240"/>
        <v>0.75709252079202061</v>
      </c>
      <c r="I415" s="102">
        <v>135148</v>
      </c>
      <c r="J415" s="1112">
        <v>140358</v>
      </c>
      <c r="K415" s="58"/>
      <c r="L415" s="59">
        <f t="shared" si="271"/>
        <v>140358</v>
      </c>
      <c r="M415" s="280">
        <f t="shared" si="247"/>
        <v>1.0385503300085832</v>
      </c>
      <c r="N415" s="466"/>
      <c r="O415" s="392"/>
      <c r="P415" s="392"/>
      <c r="Q415" s="393"/>
      <c r="R415" s="392"/>
      <c r="S415" s="392"/>
      <c r="T415" s="393"/>
      <c r="U415" s="393"/>
      <c r="V415" s="393"/>
      <c r="W415" s="393">
        <f t="shared" ref="W415:W427" si="273">L415</f>
        <v>140358</v>
      </c>
      <c r="X415" s="393"/>
      <c r="Y415" s="393">
        <f t="shared" si="272"/>
        <v>140358</v>
      </c>
    </row>
    <row r="416" spans="1:25" x14ac:dyDescent="0.2">
      <c r="A416" s="52"/>
      <c r="B416" s="52"/>
      <c r="C416" s="79"/>
      <c r="D416" s="400">
        <v>4040</v>
      </c>
      <c r="E416" s="81" t="s">
        <v>169</v>
      </c>
      <c r="F416" s="134">
        <v>8879.6299999999992</v>
      </c>
      <c r="G416" s="56">
        <v>8879.6299999999992</v>
      </c>
      <c r="H416" s="101">
        <f t="shared" si="240"/>
        <v>1</v>
      </c>
      <c r="I416" s="58">
        <v>8879.6299999999992</v>
      </c>
      <c r="J416" s="1108">
        <v>7838</v>
      </c>
      <c r="K416" s="58"/>
      <c r="L416" s="59">
        <f t="shared" si="271"/>
        <v>7838</v>
      </c>
      <c r="M416" s="280">
        <f t="shared" si="247"/>
        <v>0.88269443659251579</v>
      </c>
      <c r="N416" s="399"/>
      <c r="O416" s="392"/>
      <c r="P416" s="392"/>
      <c r="Q416" s="393"/>
      <c r="R416" s="392"/>
      <c r="S416" s="392"/>
      <c r="T416" s="393"/>
      <c r="U416" s="393"/>
      <c r="V416" s="393"/>
      <c r="W416" s="393">
        <f t="shared" si="273"/>
        <v>7838</v>
      </c>
      <c r="X416" s="393"/>
      <c r="Y416" s="393">
        <f t="shared" si="272"/>
        <v>7838</v>
      </c>
    </row>
    <row r="417" spans="1:25" x14ac:dyDescent="0.2">
      <c r="A417" s="52"/>
      <c r="B417" s="52"/>
      <c r="C417" s="79"/>
      <c r="D417" s="400">
        <v>4110</v>
      </c>
      <c r="E417" s="81" t="s">
        <v>140</v>
      </c>
      <c r="F417" s="82">
        <v>224434</v>
      </c>
      <c r="G417" s="56">
        <v>167917.72</v>
      </c>
      <c r="H417" s="101">
        <f t="shared" si="240"/>
        <v>0.74818307386581351</v>
      </c>
      <c r="I417" s="58">
        <v>224434</v>
      </c>
      <c r="J417" s="1108">
        <v>237203</v>
      </c>
      <c r="K417" s="58">
        <v>18000</v>
      </c>
      <c r="L417" s="59">
        <f t="shared" si="271"/>
        <v>255203</v>
      </c>
      <c r="M417" s="280">
        <f t="shared" si="247"/>
        <v>1.1370959836744878</v>
      </c>
      <c r="N417" s="399"/>
      <c r="O417" s="392"/>
      <c r="P417" s="392"/>
      <c r="Q417" s="393"/>
      <c r="R417" s="392"/>
      <c r="S417" s="392"/>
      <c r="T417" s="393"/>
      <c r="U417" s="393"/>
      <c r="V417" s="393"/>
      <c r="W417" s="393">
        <f t="shared" si="273"/>
        <v>255203</v>
      </c>
      <c r="X417" s="393"/>
      <c r="Y417" s="393">
        <f t="shared" si="272"/>
        <v>255203</v>
      </c>
    </row>
    <row r="418" spans="1:25" x14ac:dyDescent="0.2">
      <c r="A418" s="52"/>
      <c r="B418" s="52"/>
      <c r="C418" s="79"/>
      <c r="D418" s="400">
        <v>4120</v>
      </c>
      <c r="E418" s="81" t="s">
        <v>141</v>
      </c>
      <c r="F418" s="134">
        <v>3192</v>
      </c>
      <c r="G418" s="56">
        <v>1303.2</v>
      </c>
      <c r="H418" s="101">
        <f t="shared" si="240"/>
        <v>0.40827067669172934</v>
      </c>
      <c r="I418" s="58">
        <v>3192</v>
      </c>
      <c r="J418" s="1108">
        <v>3584</v>
      </c>
      <c r="K418" s="58"/>
      <c r="L418" s="59">
        <f t="shared" si="271"/>
        <v>3584</v>
      </c>
      <c r="M418" s="280">
        <f t="shared" si="247"/>
        <v>1.1228070175438596</v>
      </c>
      <c r="N418" s="399"/>
      <c r="O418" s="392"/>
      <c r="P418" s="392"/>
      <c r="Q418" s="393"/>
      <c r="R418" s="392"/>
      <c r="S418" s="392"/>
      <c r="T418" s="393"/>
      <c r="U418" s="393"/>
      <c r="V418" s="393"/>
      <c r="W418" s="393">
        <f t="shared" si="273"/>
        <v>3584</v>
      </c>
      <c r="X418" s="393"/>
      <c r="Y418" s="393">
        <f t="shared" si="272"/>
        <v>3584</v>
      </c>
    </row>
    <row r="419" spans="1:25" x14ac:dyDescent="0.2">
      <c r="A419" s="52"/>
      <c r="B419" s="52"/>
      <c r="C419" s="79"/>
      <c r="D419" s="400">
        <v>4210</v>
      </c>
      <c r="E419" s="81" t="s">
        <v>142</v>
      </c>
      <c r="F419" s="134">
        <v>424.6</v>
      </c>
      <c r="G419" s="56">
        <v>424.6</v>
      </c>
      <c r="H419" s="101">
        <f t="shared" si="240"/>
        <v>1</v>
      </c>
      <c r="I419" s="58">
        <v>424.6</v>
      </c>
      <c r="J419" s="1108">
        <v>0</v>
      </c>
      <c r="K419" s="58">
        <v>12000</v>
      </c>
      <c r="L419" s="59">
        <f t="shared" si="271"/>
        <v>12000</v>
      </c>
      <c r="M419" s="280">
        <f t="shared" si="247"/>
        <v>28.26189354686764</v>
      </c>
      <c r="N419" s="399"/>
      <c r="O419" s="392"/>
      <c r="P419" s="392"/>
      <c r="Q419" s="393"/>
      <c r="R419" s="392"/>
      <c r="S419" s="392"/>
      <c r="T419" s="393"/>
      <c r="U419" s="393"/>
      <c r="V419" s="393"/>
      <c r="W419" s="393">
        <f t="shared" si="273"/>
        <v>12000</v>
      </c>
      <c r="X419" s="393"/>
      <c r="Y419" s="393">
        <f t="shared" si="272"/>
        <v>12000</v>
      </c>
    </row>
    <row r="420" spans="1:25" x14ac:dyDescent="0.2">
      <c r="A420" s="52"/>
      <c r="B420" s="52"/>
      <c r="C420" s="203"/>
      <c r="D420" s="402">
        <v>4270</v>
      </c>
      <c r="E420" s="119" t="s">
        <v>154</v>
      </c>
      <c r="F420" s="519">
        <v>550</v>
      </c>
      <c r="G420" s="56">
        <v>209.1</v>
      </c>
      <c r="H420" s="101">
        <f t="shared" si="240"/>
        <v>0.38018181818181818</v>
      </c>
      <c r="I420" s="58">
        <v>550</v>
      </c>
      <c r="J420" s="1108">
        <v>0</v>
      </c>
      <c r="K420" s="58"/>
      <c r="L420" s="59">
        <f t="shared" si="271"/>
        <v>0</v>
      </c>
      <c r="M420" s="280">
        <f t="shared" si="247"/>
        <v>0</v>
      </c>
      <c r="N420" s="399"/>
      <c r="O420" s="392"/>
      <c r="P420" s="392"/>
      <c r="Q420" s="393"/>
      <c r="R420" s="392"/>
      <c r="S420" s="392"/>
      <c r="T420" s="393"/>
      <c r="U420" s="393"/>
      <c r="V420" s="393"/>
      <c r="W420" s="393">
        <f t="shared" si="273"/>
        <v>0</v>
      </c>
      <c r="X420" s="393"/>
      <c r="Y420" s="393">
        <f t="shared" si="272"/>
        <v>0</v>
      </c>
    </row>
    <row r="421" spans="1:25" x14ac:dyDescent="0.2">
      <c r="A421" s="52"/>
      <c r="B421" s="52"/>
      <c r="C421" s="333"/>
      <c r="D421" s="468">
        <v>4300</v>
      </c>
      <c r="E421" s="125" t="s">
        <v>143</v>
      </c>
      <c r="F421" s="126">
        <v>2500</v>
      </c>
      <c r="G421" s="56">
        <v>1122.45</v>
      </c>
      <c r="H421" s="101">
        <f t="shared" si="240"/>
        <v>0.44898000000000005</v>
      </c>
      <c r="I421" s="58">
        <v>2500</v>
      </c>
      <c r="J421" s="1108">
        <v>0</v>
      </c>
      <c r="K421" s="58"/>
      <c r="L421" s="59">
        <f t="shared" si="271"/>
        <v>0</v>
      </c>
      <c r="M421" s="280">
        <f t="shared" si="247"/>
        <v>0</v>
      </c>
      <c r="N421" s="399"/>
      <c r="O421" s="392"/>
      <c r="P421" s="392"/>
      <c r="Q421" s="393"/>
      <c r="R421" s="392"/>
      <c r="S421" s="392"/>
      <c r="T421" s="393"/>
      <c r="U421" s="393"/>
      <c r="V421" s="393"/>
      <c r="W421" s="393">
        <f t="shared" si="273"/>
        <v>0</v>
      </c>
      <c r="X421" s="393"/>
      <c r="Y421" s="393">
        <f t="shared" si="272"/>
        <v>0</v>
      </c>
    </row>
    <row r="422" spans="1:25" ht="33.75" x14ac:dyDescent="0.2">
      <c r="A422" s="52"/>
      <c r="B422" s="52"/>
      <c r="C422" s="159"/>
      <c r="D422" s="309">
        <v>4360</v>
      </c>
      <c r="E422" s="122" t="s">
        <v>187</v>
      </c>
      <c r="F422" s="161">
        <v>1347</v>
      </c>
      <c r="G422" s="100">
        <v>894.09</v>
      </c>
      <c r="H422" s="101">
        <f t="shared" si="240"/>
        <v>0.66376391982182625</v>
      </c>
      <c r="I422" s="102">
        <v>1347</v>
      </c>
      <c r="J422" s="1112">
        <v>0</v>
      </c>
      <c r="K422" s="58"/>
      <c r="L422" s="59">
        <f t="shared" si="271"/>
        <v>0</v>
      </c>
      <c r="M422" s="280">
        <f t="shared" si="247"/>
        <v>0</v>
      </c>
      <c r="N422" s="399"/>
      <c r="O422" s="392"/>
      <c r="P422" s="392"/>
      <c r="Q422" s="393"/>
      <c r="R422" s="392"/>
      <c r="S422" s="392"/>
      <c r="T422" s="393"/>
      <c r="U422" s="393"/>
      <c r="V422" s="393"/>
      <c r="W422" s="393">
        <f t="shared" si="273"/>
        <v>0</v>
      </c>
      <c r="X422" s="393"/>
      <c r="Y422" s="393">
        <f t="shared" si="272"/>
        <v>0</v>
      </c>
    </row>
    <row r="423" spans="1:25" ht="22.5" x14ac:dyDescent="0.2">
      <c r="A423" s="52"/>
      <c r="B423" s="52"/>
      <c r="C423" s="240"/>
      <c r="D423" s="446">
        <v>4400</v>
      </c>
      <c r="E423" s="199" t="s">
        <v>235</v>
      </c>
      <c r="F423" s="607">
        <v>2975.4</v>
      </c>
      <c r="G423" s="100">
        <v>2231.5500000000002</v>
      </c>
      <c r="H423" s="101">
        <f t="shared" si="240"/>
        <v>0.75</v>
      </c>
      <c r="I423" s="102">
        <v>2975.4</v>
      </c>
      <c r="J423" s="1112">
        <v>2109</v>
      </c>
      <c r="K423" s="58"/>
      <c r="L423" s="59">
        <f t="shared" si="271"/>
        <v>2109</v>
      </c>
      <c r="M423" s="280">
        <f t="shared" si="247"/>
        <v>0.70881226053639845</v>
      </c>
      <c r="N423" s="399"/>
      <c r="O423" s="392"/>
      <c r="P423" s="392"/>
      <c r="Q423" s="393"/>
      <c r="R423" s="392"/>
      <c r="S423" s="392"/>
      <c r="T423" s="393"/>
      <c r="U423" s="393"/>
      <c r="V423" s="393"/>
      <c r="W423" s="393">
        <f t="shared" si="273"/>
        <v>2109</v>
      </c>
      <c r="X423" s="393"/>
      <c r="Y423" s="393">
        <f t="shared" si="272"/>
        <v>2109</v>
      </c>
    </row>
    <row r="424" spans="1:25" ht="22.5" x14ac:dyDescent="0.2">
      <c r="A424" s="52"/>
      <c r="B424" s="52"/>
      <c r="C424" s="203"/>
      <c r="D424" s="309">
        <v>4440</v>
      </c>
      <c r="E424" s="122" t="s">
        <v>191</v>
      </c>
      <c r="F424" s="161">
        <v>4029</v>
      </c>
      <c r="G424" s="100">
        <v>4029</v>
      </c>
      <c r="H424" s="101">
        <f t="shared" si="240"/>
        <v>1</v>
      </c>
      <c r="I424" s="102">
        <v>4029</v>
      </c>
      <c r="J424" s="1112">
        <v>4029</v>
      </c>
      <c r="K424" s="58"/>
      <c r="L424" s="59">
        <f t="shared" si="271"/>
        <v>4029</v>
      </c>
      <c r="M424" s="280">
        <f t="shared" si="247"/>
        <v>1</v>
      </c>
      <c r="N424" s="399"/>
      <c r="O424" s="392"/>
      <c r="P424" s="392"/>
      <c r="Q424" s="393"/>
      <c r="R424" s="392"/>
      <c r="S424" s="392"/>
      <c r="T424" s="393"/>
      <c r="U424" s="393"/>
      <c r="V424" s="393"/>
      <c r="W424" s="393">
        <f t="shared" si="273"/>
        <v>4029</v>
      </c>
      <c r="X424" s="393"/>
      <c r="Y424" s="393">
        <f t="shared" si="272"/>
        <v>4029</v>
      </c>
    </row>
    <row r="425" spans="1:25" ht="33.75" x14ac:dyDescent="0.2">
      <c r="A425" s="52"/>
      <c r="B425" s="52"/>
      <c r="C425" s="159"/>
      <c r="D425" s="309">
        <v>4560</v>
      </c>
      <c r="E425" s="122" t="s">
        <v>236</v>
      </c>
      <c r="F425" s="161">
        <v>7500</v>
      </c>
      <c r="G425" s="100">
        <v>357.69</v>
      </c>
      <c r="H425" s="101">
        <f t="shared" si="240"/>
        <v>4.7691999999999998E-2</v>
      </c>
      <c r="I425" s="102">
        <v>357.69</v>
      </c>
      <c r="J425" s="1112">
        <v>1500</v>
      </c>
      <c r="K425" s="58"/>
      <c r="L425" s="59">
        <f t="shared" si="271"/>
        <v>1500</v>
      </c>
      <c r="M425" s="280">
        <f t="shared" si="247"/>
        <v>0.2</v>
      </c>
      <c r="N425" s="466"/>
      <c r="O425" s="392"/>
      <c r="P425" s="392"/>
      <c r="Q425" s="393"/>
      <c r="R425" s="392"/>
      <c r="S425" s="392"/>
      <c r="T425" s="393">
        <f>J425</f>
        <v>1500</v>
      </c>
      <c r="U425" s="393"/>
      <c r="V425" s="393"/>
      <c r="W425" s="393"/>
      <c r="X425" s="393"/>
      <c r="Y425" s="393">
        <f t="shared" si="272"/>
        <v>1500</v>
      </c>
    </row>
    <row r="426" spans="1:25" ht="22.5" x14ac:dyDescent="0.2">
      <c r="A426" s="52"/>
      <c r="B426" s="52"/>
      <c r="C426" s="333"/>
      <c r="D426" s="468">
        <v>4610</v>
      </c>
      <c r="E426" s="125" t="s">
        <v>163</v>
      </c>
      <c r="F426" s="270">
        <v>12200</v>
      </c>
      <c r="G426" s="56">
        <v>6281.95</v>
      </c>
      <c r="H426" s="57">
        <f t="shared" si="240"/>
        <v>0.51491393442622946</v>
      </c>
      <c r="I426" s="58">
        <v>12200</v>
      </c>
      <c r="J426" s="1108">
        <v>0</v>
      </c>
      <c r="K426" s="58"/>
      <c r="L426" s="59">
        <f t="shared" si="271"/>
        <v>0</v>
      </c>
      <c r="M426" s="280">
        <f t="shared" si="247"/>
        <v>0</v>
      </c>
      <c r="N426" s="466"/>
      <c r="O426" s="392"/>
      <c r="P426" s="392"/>
      <c r="Q426" s="393"/>
      <c r="R426" s="392"/>
      <c r="S426" s="392"/>
      <c r="T426" s="393"/>
      <c r="U426" s="393"/>
      <c r="V426" s="393"/>
      <c r="W426" s="393">
        <f t="shared" si="273"/>
        <v>0</v>
      </c>
      <c r="X426" s="393"/>
      <c r="Y426" s="393">
        <f t="shared" si="272"/>
        <v>0</v>
      </c>
    </row>
    <row r="427" spans="1:25" ht="22.5" x14ac:dyDescent="0.2">
      <c r="A427" s="52"/>
      <c r="B427" s="159"/>
      <c r="C427" s="159"/>
      <c r="D427" s="309">
        <v>4700</v>
      </c>
      <c r="E427" s="122" t="s">
        <v>146</v>
      </c>
      <c r="F427" s="161">
        <v>1000</v>
      </c>
      <c r="G427" s="100">
        <v>660</v>
      </c>
      <c r="H427" s="101">
        <f t="shared" si="240"/>
        <v>0.66</v>
      </c>
      <c r="I427" s="102">
        <v>1000</v>
      </c>
      <c r="J427" s="1112">
        <v>0</v>
      </c>
      <c r="K427" s="102"/>
      <c r="L427" s="103">
        <f t="shared" si="271"/>
        <v>0</v>
      </c>
      <c r="M427" s="259">
        <f t="shared" si="247"/>
        <v>0</v>
      </c>
      <c r="N427" s="399"/>
      <c r="O427" s="392"/>
      <c r="P427" s="392"/>
      <c r="Q427" s="393"/>
      <c r="R427" s="392"/>
      <c r="S427" s="392"/>
      <c r="T427" s="393"/>
      <c r="U427" s="393"/>
      <c r="V427" s="393"/>
      <c r="W427" s="393">
        <f t="shared" si="273"/>
        <v>0</v>
      </c>
      <c r="X427" s="393"/>
      <c r="Y427" s="393">
        <f t="shared" si="272"/>
        <v>0</v>
      </c>
    </row>
    <row r="428" spans="1:25" ht="56.25" x14ac:dyDescent="0.2">
      <c r="A428" s="52"/>
      <c r="B428" s="188">
        <v>85213</v>
      </c>
      <c r="C428" s="232"/>
      <c r="D428" s="233"/>
      <c r="E428" s="234" t="s">
        <v>237</v>
      </c>
      <c r="F428" s="301">
        <f>F430+F429</f>
        <v>66007</v>
      </c>
      <c r="G428" s="301">
        <f>G430+G429</f>
        <v>45204.51</v>
      </c>
      <c r="H428" s="176">
        <f t="shared" si="240"/>
        <v>0.68484418319269169</v>
      </c>
      <c r="I428" s="237">
        <f>I430+I429</f>
        <v>65957</v>
      </c>
      <c r="J428" s="1122">
        <f>J430+J429</f>
        <v>58342</v>
      </c>
      <c r="K428" s="1006">
        <f t="shared" ref="K428:L428" si="274">K430+K429</f>
        <v>-20860</v>
      </c>
      <c r="L428" s="238">
        <f t="shared" si="274"/>
        <v>37482</v>
      </c>
      <c r="M428" s="78">
        <f t="shared" si="247"/>
        <v>0.56784886451436967</v>
      </c>
      <c r="N428" s="541"/>
      <c r="O428" s="450">
        <f t="shared" ref="O428:X428" si="275">O430+O429</f>
        <v>0</v>
      </c>
      <c r="P428" s="450">
        <f t="shared" si="275"/>
        <v>0</v>
      </c>
      <c r="Q428" s="450">
        <f t="shared" si="275"/>
        <v>0</v>
      </c>
      <c r="R428" s="450">
        <f t="shared" si="275"/>
        <v>0</v>
      </c>
      <c r="S428" s="450">
        <f t="shared" si="275"/>
        <v>0</v>
      </c>
      <c r="T428" s="450">
        <f t="shared" si="275"/>
        <v>50</v>
      </c>
      <c r="U428" s="450">
        <f t="shared" si="275"/>
        <v>0</v>
      </c>
      <c r="V428" s="450">
        <f t="shared" si="275"/>
        <v>0</v>
      </c>
      <c r="W428" s="450">
        <f t="shared" si="275"/>
        <v>37432</v>
      </c>
      <c r="X428" s="450">
        <f t="shared" si="275"/>
        <v>0</v>
      </c>
      <c r="Y428" s="450">
        <f t="shared" si="272"/>
        <v>37482</v>
      </c>
    </row>
    <row r="429" spans="1:25" ht="56.25" x14ac:dyDescent="0.2">
      <c r="A429" s="52"/>
      <c r="B429" s="1413"/>
      <c r="C429" s="432"/>
      <c r="D429" s="309">
        <v>2910</v>
      </c>
      <c r="E429" s="609" t="s">
        <v>233</v>
      </c>
      <c r="F429" s="822">
        <v>50</v>
      </c>
      <c r="G429" s="823">
        <v>0</v>
      </c>
      <c r="H429" s="824">
        <f>G429/F429</f>
        <v>0</v>
      </c>
      <c r="I429" s="823">
        <v>0</v>
      </c>
      <c r="J429" s="1154">
        <v>50</v>
      </c>
      <c r="K429" s="1247"/>
      <c r="L429" s="1268">
        <f>J429+K429</f>
        <v>50</v>
      </c>
      <c r="M429" s="280">
        <f t="shared" si="247"/>
        <v>1</v>
      </c>
      <c r="N429" s="517" t="s">
        <v>129</v>
      </c>
      <c r="O429" s="392"/>
      <c r="P429" s="392"/>
      <c r="Q429" s="393"/>
      <c r="R429" s="392"/>
      <c r="S429" s="392"/>
      <c r="T429" s="393">
        <f>J429</f>
        <v>50</v>
      </c>
      <c r="U429" s="393"/>
      <c r="V429" s="393"/>
      <c r="W429" s="393"/>
      <c r="X429" s="393"/>
      <c r="Y429" s="393">
        <f t="shared" si="272"/>
        <v>50</v>
      </c>
    </row>
    <row r="430" spans="1:25" x14ac:dyDescent="0.2">
      <c r="A430" s="52"/>
      <c r="B430" s="1415"/>
      <c r="C430" s="159"/>
      <c r="D430" s="309">
        <v>4130</v>
      </c>
      <c r="E430" s="122" t="s">
        <v>238</v>
      </c>
      <c r="F430" s="123">
        <v>65957</v>
      </c>
      <c r="G430" s="100">
        <v>45204.51</v>
      </c>
      <c r="H430" s="101">
        <f t="shared" si="240"/>
        <v>0.68536334278393507</v>
      </c>
      <c r="I430" s="102">
        <v>65957</v>
      </c>
      <c r="J430" s="1112">
        <v>58292</v>
      </c>
      <c r="K430" s="263">
        <v>-20860</v>
      </c>
      <c r="L430" s="411">
        <f>J430+K430</f>
        <v>37432</v>
      </c>
      <c r="M430" s="280">
        <f t="shared" si="247"/>
        <v>0.56752126385372292</v>
      </c>
      <c r="N430" s="466"/>
      <c r="O430" s="392"/>
      <c r="P430" s="392"/>
      <c r="Q430" s="393"/>
      <c r="R430" s="392"/>
      <c r="S430" s="392"/>
      <c r="T430" s="393"/>
      <c r="U430" s="393"/>
      <c r="V430" s="393"/>
      <c r="W430" s="100">
        <f>L430</f>
        <v>37432</v>
      </c>
      <c r="X430" s="393"/>
      <c r="Y430" s="393">
        <f t="shared" si="272"/>
        <v>37432</v>
      </c>
    </row>
    <row r="431" spans="1:25" ht="22.5" x14ac:dyDescent="0.2">
      <c r="A431" s="52"/>
      <c r="B431" s="606">
        <v>85214</v>
      </c>
      <c r="C431" s="449"/>
      <c r="D431" s="205"/>
      <c r="E431" s="206" t="s">
        <v>91</v>
      </c>
      <c r="F431" s="215">
        <f>SUM(F432:F432)</f>
        <v>573322</v>
      </c>
      <c r="G431" s="209">
        <f>SUM(G432:G432)</f>
        <v>384929.61</v>
      </c>
      <c r="H431" s="578">
        <f t="shared" si="240"/>
        <v>0.67140212655366438</v>
      </c>
      <c r="I431" s="209">
        <f>SUM(I432:I432)</f>
        <v>573322</v>
      </c>
      <c r="J431" s="1155">
        <f>SUM(J432:J432)</f>
        <v>647400</v>
      </c>
      <c r="K431" s="1006">
        <f t="shared" ref="K431:L431" si="276">SUM(K432:K432)</f>
        <v>-85124</v>
      </c>
      <c r="L431" s="238">
        <f t="shared" si="276"/>
        <v>562276</v>
      </c>
      <c r="M431" s="78">
        <f t="shared" si="247"/>
        <v>0.98073334007765267</v>
      </c>
      <c r="N431" s="541"/>
      <c r="O431" s="450">
        <f t="shared" ref="O431:X431" si="277">SUM(O432:O432)</f>
        <v>0</v>
      </c>
      <c r="P431" s="450">
        <f t="shared" si="277"/>
        <v>0</v>
      </c>
      <c r="Q431" s="450">
        <f t="shared" si="277"/>
        <v>0</v>
      </c>
      <c r="R431" s="450">
        <f t="shared" si="277"/>
        <v>0</v>
      </c>
      <c r="S431" s="450">
        <f t="shared" si="277"/>
        <v>0</v>
      </c>
      <c r="T431" s="450">
        <f t="shared" si="277"/>
        <v>0</v>
      </c>
      <c r="U431" s="450">
        <f t="shared" si="277"/>
        <v>0</v>
      </c>
      <c r="V431" s="450">
        <f t="shared" si="277"/>
        <v>0</v>
      </c>
      <c r="W431" s="450">
        <f t="shared" si="277"/>
        <v>562276</v>
      </c>
      <c r="X431" s="450">
        <f t="shared" si="277"/>
        <v>0</v>
      </c>
      <c r="Y431" s="450">
        <f t="shared" si="272"/>
        <v>562276</v>
      </c>
    </row>
    <row r="432" spans="1:25" x14ac:dyDescent="0.2">
      <c r="A432" s="52"/>
      <c r="B432" s="159"/>
      <c r="C432" s="203"/>
      <c r="D432" s="402">
        <v>3110</v>
      </c>
      <c r="E432" s="119" t="s">
        <v>234</v>
      </c>
      <c r="F432" s="140">
        <v>573322</v>
      </c>
      <c r="G432" s="56">
        <v>384929.61</v>
      </c>
      <c r="H432" s="57">
        <f t="shared" si="240"/>
        <v>0.67140212655366438</v>
      </c>
      <c r="I432" s="58">
        <v>573322</v>
      </c>
      <c r="J432" s="1108">
        <v>647400</v>
      </c>
      <c r="K432" s="102">
        <v>-85124</v>
      </c>
      <c r="L432" s="103">
        <f>J432+K432</f>
        <v>562276</v>
      </c>
      <c r="M432" s="280">
        <f t="shared" si="247"/>
        <v>0.98073334007765267</v>
      </c>
      <c r="N432" s="399"/>
      <c r="O432" s="392"/>
      <c r="P432" s="392"/>
      <c r="Q432" s="393"/>
      <c r="R432" s="392"/>
      <c r="S432" s="392"/>
      <c r="T432" s="393"/>
      <c r="U432" s="393"/>
      <c r="V432" s="393"/>
      <c r="W432" s="56">
        <f>L432</f>
        <v>562276</v>
      </c>
      <c r="X432" s="393"/>
      <c r="Y432" s="393">
        <f t="shared" si="272"/>
        <v>562276</v>
      </c>
    </row>
    <row r="433" spans="1:25" ht="19.5" x14ac:dyDescent="0.2">
      <c r="A433" s="52"/>
      <c r="B433" s="111">
        <v>85215</v>
      </c>
      <c r="C433" s="186"/>
      <c r="D433" s="45"/>
      <c r="E433" s="76" t="s">
        <v>92</v>
      </c>
      <c r="F433" s="244">
        <f>F434+F435</f>
        <v>514290</v>
      </c>
      <c r="G433" s="244">
        <f>G434+G435</f>
        <v>342948.67</v>
      </c>
      <c r="H433" s="578">
        <f t="shared" si="240"/>
        <v>0.66683907911878504</v>
      </c>
      <c r="I433" s="115">
        <f>I434+I435</f>
        <v>481952.34</v>
      </c>
      <c r="J433" s="1132">
        <f>J434+J435</f>
        <v>500000</v>
      </c>
      <c r="K433" s="1228">
        <f t="shared" ref="K433:L433" si="278">K434+K435</f>
        <v>0</v>
      </c>
      <c r="L433" s="116">
        <f t="shared" si="278"/>
        <v>500000</v>
      </c>
      <c r="M433" s="117">
        <f t="shared" si="247"/>
        <v>0.97221412043788524</v>
      </c>
      <c r="N433" s="880" t="str">
        <f t="shared" ref="N433" si="279">N434</f>
        <v>w tym zadanie zlecone 0,00</v>
      </c>
      <c r="O433" s="397">
        <f>O434+O435</f>
        <v>0</v>
      </c>
      <c r="P433" s="397">
        <f>P434+P435</f>
        <v>0</v>
      </c>
      <c r="Q433" s="397">
        <f t="shared" ref="Q433:X433" si="280">Q434+Q435</f>
        <v>500000</v>
      </c>
      <c r="R433" s="397">
        <f t="shared" si="280"/>
        <v>0</v>
      </c>
      <c r="S433" s="397">
        <f t="shared" si="280"/>
        <v>0</v>
      </c>
      <c r="T433" s="397">
        <f t="shared" si="280"/>
        <v>0</v>
      </c>
      <c r="U433" s="397">
        <f t="shared" si="280"/>
        <v>0</v>
      </c>
      <c r="V433" s="397">
        <f t="shared" si="280"/>
        <v>0</v>
      </c>
      <c r="W433" s="397">
        <f t="shared" si="280"/>
        <v>0</v>
      </c>
      <c r="X433" s="397">
        <f t="shared" si="280"/>
        <v>0</v>
      </c>
      <c r="Y433" s="397">
        <f t="shared" si="272"/>
        <v>500000</v>
      </c>
    </row>
    <row r="434" spans="1:25" ht="19.5" x14ac:dyDescent="0.2">
      <c r="A434" s="52"/>
      <c r="B434" s="52"/>
      <c r="C434" s="79"/>
      <c r="D434" s="400">
        <v>3110</v>
      </c>
      <c r="E434" s="81" t="s">
        <v>234</v>
      </c>
      <c r="F434" s="201">
        <v>514025.29</v>
      </c>
      <c r="G434" s="56">
        <v>342948.67</v>
      </c>
      <c r="H434" s="57">
        <f t="shared" si="240"/>
        <v>0.66718248434819227</v>
      </c>
      <c r="I434" s="58">
        <v>481687.63</v>
      </c>
      <c r="J434" s="1108">
        <v>500000</v>
      </c>
      <c r="K434" s="58"/>
      <c r="L434" s="59">
        <f>J434+K434</f>
        <v>500000</v>
      </c>
      <c r="M434" s="280">
        <f t="shared" si="247"/>
        <v>0.97271478607599249</v>
      </c>
      <c r="N434" s="399" t="s">
        <v>239</v>
      </c>
      <c r="O434" s="392"/>
      <c r="P434" s="392"/>
      <c r="Q434" s="393">
        <v>500000</v>
      </c>
      <c r="R434" s="392"/>
      <c r="S434" s="392"/>
      <c r="T434" s="393"/>
      <c r="U434" s="393"/>
      <c r="V434" s="393"/>
      <c r="W434" s="393"/>
      <c r="X434" s="393"/>
      <c r="Y434" s="393">
        <f t="shared" si="272"/>
        <v>500000</v>
      </c>
    </row>
    <row r="435" spans="1:25" x14ac:dyDescent="0.2">
      <c r="A435" s="52"/>
      <c r="B435" s="52"/>
      <c r="C435" s="53"/>
      <c r="D435" s="398">
        <v>4210</v>
      </c>
      <c r="E435" s="81" t="s">
        <v>142</v>
      </c>
      <c r="F435" s="943">
        <v>264.70999999999998</v>
      </c>
      <c r="G435" s="162">
        <v>0</v>
      </c>
      <c r="H435" s="57">
        <f t="shared" si="240"/>
        <v>0</v>
      </c>
      <c r="I435" s="162">
        <v>264.70999999999998</v>
      </c>
      <c r="J435" s="1112">
        <v>0</v>
      </c>
      <c r="K435" s="263"/>
      <c r="L435" s="59">
        <f>J435+K435</f>
        <v>0</v>
      </c>
      <c r="M435" s="280">
        <f t="shared" si="247"/>
        <v>0</v>
      </c>
      <c r="N435" s="466"/>
      <c r="O435" s="467"/>
      <c r="P435" s="467"/>
      <c r="Q435" s="884"/>
      <c r="R435" s="467"/>
      <c r="S435" s="467"/>
      <c r="T435" s="884"/>
      <c r="U435" s="884"/>
      <c r="V435" s="884"/>
      <c r="W435" s="884"/>
      <c r="X435" s="884"/>
      <c r="Y435" s="884"/>
    </row>
    <row r="436" spans="1:25" x14ac:dyDescent="0.2">
      <c r="A436" s="52"/>
      <c r="B436" s="246">
        <v>85216</v>
      </c>
      <c r="C436" s="247"/>
      <c r="D436" s="248"/>
      <c r="E436" s="249" t="s">
        <v>93</v>
      </c>
      <c r="F436" s="317">
        <f>SUM(F437:F438)</f>
        <v>320362</v>
      </c>
      <c r="G436" s="306">
        <f>SUM(G437:G438)</f>
        <v>233203.55</v>
      </c>
      <c r="H436" s="176">
        <f t="shared" si="240"/>
        <v>0.72793761432379622</v>
      </c>
      <c r="I436" s="306">
        <f>SUM(I437:I438)</f>
        <v>319863</v>
      </c>
      <c r="J436" s="1131">
        <f>SUM(J437:J438)</f>
        <v>280500</v>
      </c>
      <c r="K436" s="1226">
        <f t="shared" ref="K436:L436" si="281">SUM(K437:K438)</f>
        <v>-104676</v>
      </c>
      <c r="L436" s="307">
        <f t="shared" si="281"/>
        <v>175824</v>
      </c>
      <c r="M436" s="78">
        <f t="shared" si="247"/>
        <v>0.54882913703872493</v>
      </c>
      <c r="N436" s="803"/>
      <c r="O436" s="475">
        <f t="shared" ref="O436:X436" si="282">SUM(O437:O438)</f>
        <v>0</v>
      </c>
      <c r="P436" s="475">
        <f t="shared" si="282"/>
        <v>0</v>
      </c>
      <c r="Q436" s="475">
        <f t="shared" si="282"/>
        <v>0</v>
      </c>
      <c r="R436" s="475">
        <f t="shared" si="282"/>
        <v>0</v>
      </c>
      <c r="S436" s="475">
        <f t="shared" si="282"/>
        <v>0</v>
      </c>
      <c r="T436" s="475">
        <f t="shared" si="282"/>
        <v>500</v>
      </c>
      <c r="U436" s="475">
        <f t="shared" si="282"/>
        <v>0</v>
      </c>
      <c r="V436" s="475">
        <f t="shared" si="282"/>
        <v>0</v>
      </c>
      <c r="W436" s="475">
        <f t="shared" si="282"/>
        <v>175324</v>
      </c>
      <c r="X436" s="475">
        <f t="shared" si="282"/>
        <v>0</v>
      </c>
      <c r="Y436" s="475">
        <f t="shared" si="272"/>
        <v>175824</v>
      </c>
    </row>
    <row r="437" spans="1:25" ht="56.25" x14ac:dyDescent="0.2">
      <c r="A437" s="52"/>
      <c r="B437" s="52"/>
      <c r="C437" s="52"/>
      <c r="D437" s="474">
        <v>2910</v>
      </c>
      <c r="E437" s="128" t="s">
        <v>233</v>
      </c>
      <c r="F437" s="129">
        <v>500</v>
      </c>
      <c r="G437" s="100">
        <v>1</v>
      </c>
      <c r="H437" s="101">
        <f t="shared" si="240"/>
        <v>2E-3</v>
      </c>
      <c r="I437" s="102">
        <v>1</v>
      </c>
      <c r="J437" s="1112">
        <v>500</v>
      </c>
      <c r="K437" s="58"/>
      <c r="L437" s="59">
        <f>J437+K437</f>
        <v>500</v>
      </c>
      <c r="M437" s="280">
        <f t="shared" si="247"/>
        <v>1</v>
      </c>
      <c r="N437" s="466" t="s">
        <v>129</v>
      </c>
      <c r="O437" s="392"/>
      <c r="P437" s="392"/>
      <c r="Q437" s="393"/>
      <c r="R437" s="392"/>
      <c r="S437" s="392"/>
      <c r="T437" s="100">
        <f>J437</f>
        <v>500</v>
      </c>
      <c r="U437" s="393"/>
      <c r="V437" s="393"/>
      <c r="W437" s="393"/>
      <c r="X437" s="393"/>
      <c r="Y437" s="393">
        <f t="shared" si="272"/>
        <v>500</v>
      </c>
    </row>
    <row r="438" spans="1:25" x14ac:dyDescent="0.2">
      <c r="A438" s="52"/>
      <c r="B438" s="52"/>
      <c r="C438" s="79"/>
      <c r="D438" s="400">
        <v>3110</v>
      </c>
      <c r="E438" s="81" t="s">
        <v>234</v>
      </c>
      <c r="F438" s="201">
        <v>319862</v>
      </c>
      <c r="G438" s="56">
        <v>233202.55</v>
      </c>
      <c r="H438" s="57">
        <f t="shared" si="240"/>
        <v>0.72907238121439866</v>
      </c>
      <c r="I438" s="58">
        <v>319862</v>
      </c>
      <c r="J438" s="1108">
        <v>280000</v>
      </c>
      <c r="K438" s="58">
        <v>-104676</v>
      </c>
      <c r="L438" s="59">
        <f>J438+K438</f>
        <v>175324</v>
      </c>
      <c r="M438" s="280">
        <f t="shared" si="247"/>
        <v>0.54812387842256971</v>
      </c>
      <c r="N438" s="399"/>
      <c r="O438" s="392"/>
      <c r="P438" s="392"/>
      <c r="Q438" s="393"/>
      <c r="R438" s="392"/>
      <c r="S438" s="392"/>
      <c r="T438" s="393"/>
      <c r="U438" s="393"/>
      <c r="V438" s="393"/>
      <c r="W438" s="56">
        <f>L438</f>
        <v>175324</v>
      </c>
      <c r="X438" s="393"/>
      <c r="Y438" s="393">
        <f t="shared" si="272"/>
        <v>175324</v>
      </c>
    </row>
    <row r="439" spans="1:25" x14ac:dyDescent="0.2">
      <c r="A439" s="52"/>
      <c r="B439" s="246">
        <v>85219</v>
      </c>
      <c r="C439" s="247"/>
      <c r="D439" s="248"/>
      <c r="E439" s="249" t="s">
        <v>94</v>
      </c>
      <c r="F439" s="317">
        <f>SUM(F440:F458)</f>
        <v>1270741</v>
      </c>
      <c r="G439" s="317">
        <f t="shared" ref="G439:I439" si="283">SUM(G440:G458)</f>
        <v>833520.25</v>
      </c>
      <c r="H439" s="176">
        <f t="shared" si="240"/>
        <v>0.65593244414085949</v>
      </c>
      <c r="I439" s="317">
        <f t="shared" si="283"/>
        <v>1252691.0000000002</v>
      </c>
      <c r="J439" s="1131">
        <f>SUM(J440:J459)</f>
        <v>1281779</v>
      </c>
      <c r="K439" s="1226">
        <f t="shared" ref="K439:L439" si="284">SUM(K440:K459)</f>
        <v>1405</v>
      </c>
      <c r="L439" s="307">
        <f t="shared" si="284"/>
        <v>1283184</v>
      </c>
      <c r="M439" s="78">
        <f t="shared" si="247"/>
        <v>1.0097919245542561</v>
      </c>
      <c r="N439" s="803">
        <f>SUM(N440:N458)</f>
        <v>0</v>
      </c>
      <c r="O439" s="397">
        <f t="shared" ref="O439:X439" si="285">SUM(O440:O459)</f>
        <v>0</v>
      </c>
      <c r="P439" s="397">
        <f t="shared" si="285"/>
        <v>0</v>
      </c>
      <c r="Q439" s="397">
        <f t="shared" si="285"/>
        <v>0</v>
      </c>
      <c r="R439" s="397">
        <f t="shared" si="285"/>
        <v>0</v>
      </c>
      <c r="S439" s="397">
        <f t="shared" si="285"/>
        <v>0</v>
      </c>
      <c r="T439" s="397">
        <f t="shared" si="285"/>
        <v>0</v>
      </c>
      <c r="U439" s="397">
        <f t="shared" si="285"/>
        <v>0</v>
      </c>
      <c r="V439" s="397">
        <f t="shared" si="285"/>
        <v>0</v>
      </c>
      <c r="W439" s="397">
        <f t="shared" si="285"/>
        <v>1283184</v>
      </c>
      <c r="X439" s="397">
        <f t="shared" si="285"/>
        <v>0</v>
      </c>
      <c r="Y439" s="397">
        <f t="shared" si="272"/>
        <v>1283184</v>
      </c>
    </row>
    <row r="440" spans="1:25" x14ac:dyDescent="0.2">
      <c r="A440" s="52"/>
      <c r="B440" s="1405"/>
      <c r="C440" s="240"/>
      <c r="D440" s="446">
        <v>3020</v>
      </c>
      <c r="E440" s="199" t="s">
        <v>174</v>
      </c>
      <c r="F440" s="415">
        <v>6156</v>
      </c>
      <c r="G440" s="100">
        <v>2139.31</v>
      </c>
      <c r="H440" s="101">
        <f t="shared" si="240"/>
        <v>0.34751624431448991</v>
      </c>
      <c r="I440" s="102">
        <v>6156</v>
      </c>
      <c r="J440" s="1112">
        <v>6156</v>
      </c>
      <c r="K440" s="58"/>
      <c r="L440" s="59">
        <f>J440+K440</f>
        <v>6156</v>
      </c>
      <c r="M440" s="280">
        <f t="shared" si="247"/>
        <v>1</v>
      </c>
      <c r="N440" s="466"/>
      <c r="O440" s="392"/>
      <c r="P440" s="392"/>
      <c r="Q440" s="393"/>
      <c r="R440" s="392"/>
      <c r="S440" s="392"/>
      <c r="T440" s="393"/>
      <c r="U440" s="393"/>
      <c r="V440" s="393"/>
      <c r="W440" s="56">
        <f>L440</f>
        <v>6156</v>
      </c>
      <c r="X440" s="393"/>
      <c r="Y440" s="393">
        <f t="shared" si="272"/>
        <v>6156</v>
      </c>
    </row>
    <row r="441" spans="1:25" x14ac:dyDescent="0.2">
      <c r="A441" s="52"/>
      <c r="B441" s="1406"/>
      <c r="C441" s="79"/>
      <c r="D441" s="400">
        <v>4010</v>
      </c>
      <c r="E441" s="81" t="s">
        <v>139</v>
      </c>
      <c r="F441" s="201">
        <v>818187</v>
      </c>
      <c r="G441" s="56">
        <v>517674.02</v>
      </c>
      <c r="H441" s="101">
        <f t="shared" si="240"/>
        <v>0.63270868395611279</v>
      </c>
      <c r="I441" s="58">
        <v>812805.15</v>
      </c>
      <c r="J441" s="1108">
        <v>758605</v>
      </c>
      <c r="K441" s="58"/>
      <c r="L441" s="59">
        <f t="shared" ref="L441:L459" si="286">J441+K441</f>
        <v>758605</v>
      </c>
      <c r="M441" s="280">
        <f t="shared" si="247"/>
        <v>0.9271780167614494</v>
      </c>
      <c r="N441" s="399"/>
      <c r="O441" s="392"/>
      <c r="P441" s="392"/>
      <c r="Q441" s="393"/>
      <c r="R441" s="392"/>
      <c r="S441" s="392"/>
      <c r="T441" s="393"/>
      <c r="U441" s="393"/>
      <c r="V441" s="393"/>
      <c r="W441" s="56">
        <f t="shared" ref="W441:W459" si="287">L441</f>
        <v>758605</v>
      </c>
      <c r="X441" s="393"/>
      <c r="Y441" s="393">
        <f t="shared" si="272"/>
        <v>758605</v>
      </c>
    </row>
    <row r="442" spans="1:25" x14ac:dyDescent="0.2">
      <c r="A442" s="52"/>
      <c r="B442" s="1406"/>
      <c r="C442" s="203"/>
      <c r="D442" s="402">
        <v>4040</v>
      </c>
      <c r="E442" s="119" t="s">
        <v>169</v>
      </c>
      <c r="F442" s="120">
        <v>54563</v>
      </c>
      <c r="G442" s="56">
        <v>53334.42</v>
      </c>
      <c r="H442" s="101">
        <f t="shared" si="240"/>
        <v>0.97748327621281816</v>
      </c>
      <c r="I442" s="58">
        <v>53334.42</v>
      </c>
      <c r="J442" s="1108">
        <v>56846</v>
      </c>
      <c r="K442" s="58"/>
      <c r="L442" s="59">
        <f t="shared" si="286"/>
        <v>56846</v>
      </c>
      <c r="M442" s="280">
        <f t="shared" si="247"/>
        <v>1.0418415409709876</v>
      </c>
      <c r="N442" s="399"/>
      <c r="O442" s="392"/>
      <c r="P442" s="392"/>
      <c r="Q442" s="393"/>
      <c r="R442" s="392"/>
      <c r="S442" s="392"/>
      <c r="T442" s="393"/>
      <c r="U442" s="393"/>
      <c r="V442" s="393"/>
      <c r="W442" s="56">
        <f t="shared" si="287"/>
        <v>56846</v>
      </c>
      <c r="X442" s="393"/>
      <c r="Y442" s="393">
        <f t="shared" si="272"/>
        <v>56846</v>
      </c>
    </row>
    <row r="443" spans="1:25" x14ac:dyDescent="0.2">
      <c r="A443" s="52"/>
      <c r="B443" s="1406"/>
      <c r="C443" s="333"/>
      <c r="D443" s="468">
        <v>4110</v>
      </c>
      <c r="E443" s="125" t="s">
        <v>140</v>
      </c>
      <c r="F443" s="126">
        <v>137132</v>
      </c>
      <c r="G443" s="56">
        <v>88452.26</v>
      </c>
      <c r="H443" s="101">
        <f t="shared" si="240"/>
        <v>0.64501545955721495</v>
      </c>
      <c r="I443" s="58">
        <v>137132</v>
      </c>
      <c r="J443" s="1108">
        <v>139480</v>
      </c>
      <c r="K443" s="58"/>
      <c r="L443" s="59">
        <f t="shared" si="286"/>
        <v>139480</v>
      </c>
      <c r="M443" s="280">
        <f t="shared" si="247"/>
        <v>1.0171221888399498</v>
      </c>
      <c r="N443" s="399"/>
      <c r="O443" s="392"/>
      <c r="P443" s="392"/>
      <c r="Q443" s="393"/>
      <c r="R443" s="392"/>
      <c r="S443" s="392"/>
      <c r="T443" s="393"/>
      <c r="U443" s="393"/>
      <c r="V443" s="393"/>
      <c r="W443" s="56">
        <f t="shared" si="287"/>
        <v>139480</v>
      </c>
      <c r="X443" s="393"/>
      <c r="Y443" s="393">
        <f t="shared" si="272"/>
        <v>139480</v>
      </c>
    </row>
    <row r="444" spans="1:25" x14ac:dyDescent="0.2">
      <c r="A444" s="52"/>
      <c r="B444" s="1406"/>
      <c r="C444" s="159"/>
      <c r="D444" s="309">
        <v>4120</v>
      </c>
      <c r="E444" s="122" t="s">
        <v>141</v>
      </c>
      <c r="F444" s="123">
        <v>19938</v>
      </c>
      <c r="G444" s="100">
        <v>8218.18</v>
      </c>
      <c r="H444" s="101">
        <f t="shared" si="240"/>
        <v>0.41218677901494633</v>
      </c>
      <c r="I444" s="102">
        <v>19913.73</v>
      </c>
      <c r="J444" s="1112">
        <v>19844</v>
      </c>
      <c r="K444" s="58"/>
      <c r="L444" s="59">
        <f t="shared" si="286"/>
        <v>19844</v>
      </c>
      <c r="M444" s="280">
        <f t="shared" si="247"/>
        <v>0.9952853846925469</v>
      </c>
      <c r="N444" s="399"/>
      <c r="O444" s="392"/>
      <c r="P444" s="392"/>
      <c r="Q444" s="393"/>
      <c r="R444" s="392"/>
      <c r="S444" s="392"/>
      <c r="T444" s="393"/>
      <c r="U444" s="393"/>
      <c r="V444" s="393"/>
      <c r="W444" s="56">
        <f t="shared" si="287"/>
        <v>19844</v>
      </c>
      <c r="X444" s="393"/>
      <c r="Y444" s="393">
        <f t="shared" si="272"/>
        <v>19844</v>
      </c>
    </row>
    <row r="445" spans="1:25" ht="22.5" x14ac:dyDescent="0.2">
      <c r="A445" s="52"/>
      <c r="B445" s="1406"/>
      <c r="C445" s="52"/>
      <c r="D445" s="474">
        <v>4140</v>
      </c>
      <c r="E445" s="128" t="s">
        <v>180</v>
      </c>
      <c r="F445" s="260">
        <v>1414</v>
      </c>
      <c r="G445" s="100">
        <v>1414</v>
      </c>
      <c r="H445" s="101">
        <f t="shared" si="240"/>
        <v>1</v>
      </c>
      <c r="I445" s="102">
        <v>1414</v>
      </c>
      <c r="J445" s="1112">
        <v>24000</v>
      </c>
      <c r="K445" s="1216">
        <v>-20000</v>
      </c>
      <c r="L445" s="59">
        <f t="shared" si="286"/>
        <v>4000</v>
      </c>
      <c r="M445" s="280">
        <f t="shared" si="247"/>
        <v>2.8288543140028288</v>
      </c>
      <c r="N445" s="399"/>
      <c r="O445" s="392"/>
      <c r="P445" s="392"/>
      <c r="Q445" s="393"/>
      <c r="R445" s="392"/>
      <c r="S445" s="392"/>
      <c r="T445" s="393"/>
      <c r="U445" s="393"/>
      <c r="V445" s="393"/>
      <c r="W445" s="56">
        <f t="shared" si="287"/>
        <v>4000</v>
      </c>
      <c r="X445" s="393"/>
      <c r="Y445" s="393">
        <f t="shared" si="272"/>
        <v>4000</v>
      </c>
    </row>
    <row r="446" spans="1:25" x14ac:dyDescent="0.2">
      <c r="A446" s="52"/>
      <c r="B446" s="1406"/>
      <c r="C446" s="79"/>
      <c r="D446" s="400">
        <v>4170</v>
      </c>
      <c r="E446" s="81" t="s">
        <v>148</v>
      </c>
      <c r="F446" s="134">
        <v>10000</v>
      </c>
      <c r="G446" s="56">
        <v>5306</v>
      </c>
      <c r="H446" s="101">
        <f t="shared" si="240"/>
        <v>0.53059999999999996</v>
      </c>
      <c r="I446" s="58">
        <v>10000</v>
      </c>
      <c r="J446" s="1108">
        <v>10000</v>
      </c>
      <c r="K446" s="58"/>
      <c r="L446" s="59">
        <f t="shared" si="286"/>
        <v>10000</v>
      </c>
      <c r="M446" s="280">
        <f t="shared" si="247"/>
        <v>1</v>
      </c>
      <c r="N446" s="399"/>
      <c r="O446" s="392"/>
      <c r="P446" s="392"/>
      <c r="Q446" s="393"/>
      <c r="R446" s="392"/>
      <c r="S446" s="392"/>
      <c r="T446" s="393"/>
      <c r="U446" s="393"/>
      <c r="V446" s="393"/>
      <c r="W446" s="56">
        <f t="shared" si="287"/>
        <v>10000</v>
      </c>
      <c r="X446" s="393"/>
      <c r="Y446" s="393">
        <f t="shared" si="272"/>
        <v>10000</v>
      </c>
    </row>
    <row r="447" spans="1:25" x14ac:dyDescent="0.2">
      <c r="A447" s="52"/>
      <c r="B447" s="1406"/>
      <c r="C447" s="79"/>
      <c r="D447" s="402">
        <v>4210</v>
      </c>
      <c r="E447" s="119" t="s">
        <v>142</v>
      </c>
      <c r="F447" s="120">
        <v>34900</v>
      </c>
      <c r="G447" s="56">
        <v>19791.080000000002</v>
      </c>
      <c r="H447" s="101">
        <f t="shared" ref="H447:H458" si="288">G447/F447</f>
        <v>0.56707965616045852</v>
      </c>
      <c r="I447" s="58">
        <v>32388.11</v>
      </c>
      <c r="J447" s="1108">
        <v>39400</v>
      </c>
      <c r="K447" s="1216">
        <f>9405-4000</f>
        <v>5405</v>
      </c>
      <c r="L447" s="59">
        <f t="shared" si="286"/>
        <v>44805</v>
      </c>
      <c r="M447" s="280">
        <f t="shared" si="247"/>
        <v>1.2838108882521491</v>
      </c>
      <c r="N447" s="399"/>
      <c r="O447" s="392"/>
      <c r="P447" s="392"/>
      <c r="Q447" s="393"/>
      <c r="R447" s="392"/>
      <c r="S447" s="392"/>
      <c r="T447" s="393"/>
      <c r="U447" s="393"/>
      <c r="V447" s="393"/>
      <c r="W447" s="56">
        <f t="shared" si="287"/>
        <v>44805</v>
      </c>
      <c r="X447" s="393"/>
      <c r="Y447" s="393">
        <f t="shared" si="272"/>
        <v>44805</v>
      </c>
    </row>
    <row r="448" spans="1:25" x14ac:dyDescent="0.2">
      <c r="A448" s="52"/>
      <c r="B448" s="1406"/>
      <c r="C448" s="203"/>
      <c r="D448" s="309">
        <v>4260</v>
      </c>
      <c r="E448" s="122" t="s">
        <v>149</v>
      </c>
      <c r="F448" s="123">
        <v>13000</v>
      </c>
      <c r="G448" s="100">
        <v>6888.42</v>
      </c>
      <c r="H448" s="101">
        <f t="shared" si="288"/>
        <v>0.52987846153846152</v>
      </c>
      <c r="I448" s="102">
        <v>10332.629999999999</v>
      </c>
      <c r="J448" s="1112">
        <v>13000</v>
      </c>
      <c r="K448" s="58"/>
      <c r="L448" s="59">
        <f t="shared" si="286"/>
        <v>13000</v>
      </c>
      <c r="M448" s="280">
        <f t="shared" si="247"/>
        <v>1</v>
      </c>
      <c r="N448" s="466"/>
      <c r="O448" s="392"/>
      <c r="P448" s="392"/>
      <c r="Q448" s="393"/>
      <c r="R448" s="392"/>
      <c r="S448" s="392"/>
      <c r="T448" s="393"/>
      <c r="U448" s="393"/>
      <c r="V448" s="393"/>
      <c r="W448" s="56">
        <f t="shared" si="287"/>
        <v>13000</v>
      </c>
      <c r="X448" s="393"/>
      <c r="Y448" s="393">
        <f t="shared" si="272"/>
        <v>13000</v>
      </c>
    </row>
    <row r="449" spans="1:25" x14ac:dyDescent="0.2">
      <c r="A449" s="52"/>
      <c r="B449" s="1406"/>
      <c r="C449" s="240"/>
      <c r="D449" s="446">
        <v>4270</v>
      </c>
      <c r="E449" s="199" t="s">
        <v>154</v>
      </c>
      <c r="F449" s="415">
        <v>1000</v>
      </c>
      <c r="G449" s="100">
        <v>0</v>
      </c>
      <c r="H449" s="101">
        <f t="shared" si="288"/>
        <v>0</v>
      </c>
      <c r="I449" s="102">
        <v>1000</v>
      </c>
      <c r="J449" s="1112">
        <v>1000</v>
      </c>
      <c r="K449" s="102"/>
      <c r="L449" s="103">
        <f t="shared" si="286"/>
        <v>1000</v>
      </c>
      <c r="M449" s="259">
        <f t="shared" si="247"/>
        <v>1</v>
      </c>
      <c r="N449" s="399"/>
      <c r="O449" s="392"/>
      <c r="P449" s="392"/>
      <c r="Q449" s="393"/>
      <c r="R449" s="392"/>
      <c r="S449" s="392"/>
      <c r="T449" s="393"/>
      <c r="U449" s="393"/>
      <c r="V449" s="393"/>
      <c r="W449" s="56">
        <f t="shared" si="287"/>
        <v>1000</v>
      </c>
      <c r="X449" s="393"/>
      <c r="Y449" s="393">
        <f t="shared" si="272"/>
        <v>1000</v>
      </c>
    </row>
    <row r="450" spans="1:25" x14ac:dyDescent="0.2">
      <c r="A450" s="52"/>
      <c r="B450" s="1406"/>
      <c r="C450" s="203"/>
      <c r="D450" s="402">
        <v>4280</v>
      </c>
      <c r="E450" s="119" t="s">
        <v>185</v>
      </c>
      <c r="F450" s="491">
        <v>1000</v>
      </c>
      <c r="G450" s="56">
        <v>550</v>
      </c>
      <c r="H450" s="101">
        <f t="shared" si="288"/>
        <v>0.55000000000000004</v>
      </c>
      <c r="I450" s="58">
        <v>1000</v>
      </c>
      <c r="J450" s="1108">
        <v>1500</v>
      </c>
      <c r="K450" s="58"/>
      <c r="L450" s="59">
        <f t="shared" si="286"/>
        <v>1500</v>
      </c>
      <c r="M450" s="280">
        <f t="shared" si="247"/>
        <v>1.5</v>
      </c>
      <c r="N450" s="399"/>
      <c r="O450" s="392"/>
      <c r="P450" s="392"/>
      <c r="Q450" s="393"/>
      <c r="R450" s="392"/>
      <c r="S450" s="392"/>
      <c r="T450" s="393"/>
      <c r="U450" s="393"/>
      <c r="V450" s="393"/>
      <c r="W450" s="56">
        <f t="shared" si="287"/>
        <v>1500</v>
      </c>
      <c r="X450" s="393"/>
      <c r="Y450" s="393">
        <f t="shared" si="272"/>
        <v>1500</v>
      </c>
    </row>
    <row r="451" spans="1:25" x14ac:dyDescent="0.2">
      <c r="A451" s="52"/>
      <c r="B451" s="1406"/>
      <c r="C451" s="159"/>
      <c r="D451" s="309">
        <v>4300</v>
      </c>
      <c r="E451" s="122" t="s">
        <v>143</v>
      </c>
      <c r="F451" s="123">
        <v>63525</v>
      </c>
      <c r="G451" s="100">
        <v>48083.12</v>
      </c>
      <c r="H451" s="101">
        <f t="shared" si="288"/>
        <v>0.75691648957103508</v>
      </c>
      <c r="I451" s="102">
        <v>63525</v>
      </c>
      <c r="J451" s="1112">
        <v>65082</v>
      </c>
      <c r="K451" s="58">
        <v>15000</v>
      </c>
      <c r="L451" s="59">
        <f t="shared" si="286"/>
        <v>80082</v>
      </c>
      <c r="M451" s="280">
        <f t="shared" si="247"/>
        <v>1.260637544273908</v>
      </c>
      <c r="N451" s="399"/>
      <c r="O451" s="392"/>
      <c r="P451" s="392"/>
      <c r="Q451" s="393"/>
      <c r="R451" s="392"/>
      <c r="S451" s="392"/>
      <c r="T451" s="393"/>
      <c r="U451" s="393"/>
      <c r="V451" s="393"/>
      <c r="W451" s="56">
        <f t="shared" si="287"/>
        <v>80082</v>
      </c>
      <c r="X451" s="393"/>
      <c r="Y451" s="393">
        <f t="shared" si="272"/>
        <v>80082</v>
      </c>
    </row>
    <row r="452" spans="1:25" ht="33.75" x14ac:dyDescent="0.2">
      <c r="A452" s="52"/>
      <c r="B452" s="1406"/>
      <c r="C452" s="333"/>
      <c r="D452" s="468">
        <v>4360</v>
      </c>
      <c r="E452" s="125" t="s">
        <v>187</v>
      </c>
      <c r="F452" s="270">
        <v>10600</v>
      </c>
      <c r="G452" s="56">
        <v>5488.63</v>
      </c>
      <c r="H452" s="57">
        <f t="shared" si="288"/>
        <v>0.5177952830188679</v>
      </c>
      <c r="I452" s="58">
        <v>9232.94</v>
      </c>
      <c r="J452" s="1108">
        <v>10600</v>
      </c>
      <c r="K452" s="58"/>
      <c r="L452" s="59">
        <f t="shared" si="286"/>
        <v>10600</v>
      </c>
      <c r="M452" s="280">
        <f t="shared" si="247"/>
        <v>1</v>
      </c>
      <c r="N452" s="466"/>
      <c r="O452" s="392"/>
      <c r="P452" s="392"/>
      <c r="Q452" s="393"/>
      <c r="R452" s="392"/>
      <c r="S452" s="392"/>
      <c r="T452" s="393"/>
      <c r="U452" s="393"/>
      <c r="V452" s="393"/>
      <c r="W452" s="56">
        <f t="shared" si="287"/>
        <v>10600</v>
      </c>
      <c r="X452" s="393"/>
      <c r="Y452" s="393">
        <f t="shared" si="272"/>
        <v>10600</v>
      </c>
    </row>
    <row r="453" spans="1:25" ht="22.5" x14ac:dyDescent="0.2">
      <c r="A453" s="52"/>
      <c r="B453" s="1406"/>
      <c r="C453" s="333"/>
      <c r="D453" s="468">
        <v>4390</v>
      </c>
      <c r="E453" s="125" t="s">
        <v>189</v>
      </c>
      <c r="F453" s="610">
        <v>18000</v>
      </c>
      <c r="G453" s="100">
        <v>13500</v>
      </c>
      <c r="H453" s="101">
        <f t="shared" si="288"/>
        <v>0.75</v>
      </c>
      <c r="I453" s="102">
        <v>18000</v>
      </c>
      <c r="J453" s="1112">
        <v>22140</v>
      </c>
      <c r="K453" s="58"/>
      <c r="L453" s="59">
        <f t="shared" si="286"/>
        <v>22140</v>
      </c>
      <c r="M453" s="280">
        <f t="shared" si="247"/>
        <v>1.23</v>
      </c>
      <c r="N453" s="466"/>
      <c r="O453" s="392"/>
      <c r="P453" s="392"/>
      <c r="Q453" s="393"/>
      <c r="R453" s="392"/>
      <c r="S453" s="392"/>
      <c r="T453" s="393"/>
      <c r="U453" s="393"/>
      <c r="V453" s="393"/>
      <c r="W453" s="56">
        <f t="shared" si="287"/>
        <v>22140</v>
      </c>
      <c r="X453" s="393"/>
      <c r="Y453" s="393">
        <f t="shared" si="272"/>
        <v>22140</v>
      </c>
    </row>
    <row r="454" spans="1:25" ht="22.5" x14ac:dyDescent="0.2">
      <c r="A454" s="52"/>
      <c r="B454" s="1406"/>
      <c r="C454" s="52"/>
      <c r="D454" s="474">
        <v>4400</v>
      </c>
      <c r="E454" s="128" t="s">
        <v>235</v>
      </c>
      <c r="F454" s="260">
        <v>33000</v>
      </c>
      <c r="G454" s="100">
        <v>22518.45</v>
      </c>
      <c r="H454" s="101">
        <f t="shared" si="288"/>
        <v>0.68237727272727278</v>
      </c>
      <c r="I454" s="102">
        <v>30024.6</v>
      </c>
      <c r="J454" s="1112">
        <v>33000</v>
      </c>
      <c r="K454" s="58"/>
      <c r="L454" s="59">
        <f t="shared" si="286"/>
        <v>33000</v>
      </c>
      <c r="M454" s="280">
        <f t="shared" si="247"/>
        <v>1</v>
      </c>
      <c r="N454" s="466"/>
      <c r="O454" s="392"/>
      <c r="P454" s="392"/>
      <c r="Q454" s="393"/>
      <c r="R454" s="392"/>
      <c r="S454" s="392"/>
      <c r="T454" s="393"/>
      <c r="U454" s="393"/>
      <c r="V454" s="393"/>
      <c r="W454" s="56">
        <f t="shared" si="287"/>
        <v>33000</v>
      </c>
      <c r="X454" s="393"/>
      <c r="Y454" s="393">
        <f t="shared" si="272"/>
        <v>33000</v>
      </c>
    </row>
    <row r="455" spans="1:25" x14ac:dyDescent="0.2">
      <c r="A455" s="52"/>
      <c r="B455" s="1406"/>
      <c r="C455" s="79"/>
      <c r="D455" s="400">
        <v>4410</v>
      </c>
      <c r="E455" s="81" t="s">
        <v>144</v>
      </c>
      <c r="F455" s="134">
        <v>12500</v>
      </c>
      <c r="G455" s="56">
        <v>5948.72</v>
      </c>
      <c r="H455" s="101">
        <f t="shared" si="288"/>
        <v>0.47589760000000003</v>
      </c>
      <c r="I455" s="58">
        <v>10995.08</v>
      </c>
      <c r="J455" s="1108">
        <v>13000</v>
      </c>
      <c r="K455" s="58"/>
      <c r="L455" s="59">
        <f t="shared" si="286"/>
        <v>13000</v>
      </c>
      <c r="M455" s="280">
        <f t="shared" ref="M455:M522" si="289">L455/F455</f>
        <v>1.04</v>
      </c>
      <c r="N455" s="399"/>
      <c r="O455" s="392"/>
      <c r="P455" s="392"/>
      <c r="Q455" s="393"/>
      <c r="R455" s="392"/>
      <c r="S455" s="392"/>
      <c r="T455" s="393"/>
      <c r="U455" s="393"/>
      <c r="V455" s="393"/>
      <c r="W455" s="56">
        <f t="shared" si="287"/>
        <v>13000</v>
      </c>
      <c r="X455" s="393"/>
      <c r="Y455" s="393">
        <f t="shared" si="272"/>
        <v>13000</v>
      </c>
    </row>
    <row r="456" spans="1:25" x14ac:dyDescent="0.2">
      <c r="A456" s="52"/>
      <c r="B456" s="1406"/>
      <c r="C456" s="79"/>
      <c r="D456" s="400">
        <v>4430</v>
      </c>
      <c r="E456" s="81" t="s">
        <v>145</v>
      </c>
      <c r="F456" s="134">
        <v>800</v>
      </c>
      <c r="G456" s="56">
        <v>201.34</v>
      </c>
      <c r="H456" s="101">
        <f t="shared" si="288"/>
        <v>0.25167499999999998</v>
      </c>
      <c r="I456" s="58">
        <v>411.34</v>
      </c>
      <c r="J456" s="1108">
        <v>800</v>
      </c>
      <c r="K456" s="58"/>
      <c r="L456" s="59">
        <f t="shared" si="286"/>
        <v>800</v>
      </c>
      <c r="M456" s="280">
        <f t="shared" si="289"/>
        <v>1</v>
      </c>
      <c r="N456" s="399"/>
      <c r="O456" s="392"/>
      <c r="P456" s="392"/>
      <c r="Q456" s="393"/>
      <c r="R456" s="392"/>
      <c r="S456" s="392"/>
      <c r="T456" s="393"/>
      <c r="U456" s="393"/>
      <c r="V456" s="393"/>
      <c r="W456" s="56">
        <f t="shared" si="287"/>
        <v>800</v>
      </c>
      <c r="X456" s="393"/>
      <c r="Y456" s="393">
        <f t="shared" si="272"/>
        <v>800</v>
      </c>
    </row>
    <row r="457" spans="1:25" ht="22.5" x14ac:dyDescent="0.2">
      <c r="A457" s="52"/>
      <c r="B457" s="1406"/>
      <c r="C457" s="79"/>
      <c r="D457" s="400">
        <v>4440</v>
      </c>
      <c r="E457" s="81" t="s">
        <v>191</v>
      </c>
      <c r="F457" s="82">
        <v>29326</v>
      </c>
      <c r="G457" s="56">
        <v>29326</v>
      </c>
      <c r="H457" s="101">
        <f t="shared" si="288"/>
        <v>1</v>
      </c>
      <c r="I457" s="58">
        <v>29326</v>
      </c>
      <c r="J457" s="1108">
        <v>29326</v>
      </c>
      <c r="K457" s="58"/>
      <c r="L457" s="59">
        <f t="shared" si="286"/>
        <v>29326</v>
      </c>
      <c r="M457" s="280">
        <f t="shared" si="289"/>
        <v>1</v>
      </c>
      <c r="N457" s="399"/>
      <c r="O457" s="392"/>
      <c r="P457" s="392"/>
      <c r="Q457" s="393"/>
      <c r="R457" s="392"/>
      <c r="S457" s="392"/>
      <c r="T457" s="393"/>
      <c r="U457" s="393"/>
      <c r="V457" s="393"/>
      <c r="W457" s="56">
        <f t="shared" si="287"/>
        <v>29326</v>
      </c>
      <c r="X457" s="393"/>
      <c r="Y457" s="393">
        <f t="shared" si="272"/>
        <v>29326</v>
      </c>
    </row>
    <row r="458" spans="1:25" ht="22.5" x14ac:dyDescent="0.2">
      <c r="A458" s="52"/>
      <c r="B458" s="1406"/>
      <c r="C458" s="203"/>
      <c r="D458" s="402">
        <v>4700</v>
      </c>
      <c r="E458" s="119" t="s">
        <v>146</v>
      </c>
      <c r="F458" s="491">
        <v>5700</v>
      </c>
      <c r="G458" s="56">
        <v>4686.3</v>
      </c>
      <c r="H458" s="101">
        <f t="shared" si="288"/>
        <v>0.82215789473684209</v>
      </c>
      <c r="I458" s="58">
        <v>5700</v>
      </c>
      <c r="J458" s="1108">
        <v>3000</v>
      </c>
      <c r="K458" s="58">
        <v>1000</v>
      </c>
      <c r="L458" s="59">
        <f t="shared" si="286"/>
        <v>4000</v>
      </c>
      <c r="M458" s="280">
        <f t="shared" si="289"/>
        <v>0.70175438596491224</v>
      </c>
      <c r="N458" s="399"/>
      <c r="O458" s="392"/>
      <c r="P458" s="392"/>
      <c r="Q458" s="393"/>
      <c r="R458" s="392"/>
      <c r="S458" s="392"/>
      <c r="T458" s="393"/>
      <c r="U458" s="393"/>
      <c r="V458" s="393"/>
      <c r="W458" s="56">
        <f t="shared" si="287"/>
        <v>4000</v>
      </c>
      <c r="X458" s="393"/>
      <c r="Y458" s="393">
        <f t="shared" si="272"/>
        <v>4000</v>
      </c>
    </row>
    <row r="459" spans="1:25" ht="22.5" x14ac:dyDescent="0.2">
      <c r="A459" s="52"/>
      <c r="B459" s="1407"/>
      <c r="C459" s="159"/>
      <c r="D459" s="309">
        <v>6060</v>
      </c>
      <c r="E459" s="119" t="s">
        <v>164</v>
      </c>
      <c r="F459" s="93">
        <v>0</v>
      </c>
      <c r="G459" s="162">
        <v>0</v>
      </c>
      <c r="H459" s="101">
        <v>0</v>
      </c>
      <c r="I459" s="162">
        <v>0</v>
      </c>
      <c r="J459" s="1112">
        <v>35000</v>
      </c>
      <c r="K459" s="1216"/>
      <c r="L459" s="59">
        <f t="shared" si="286"/>
        <v>35000</v>
      </c>
      <c r="M459" s="280">
        <v>0</v>
      </c>
      <c r="N459" s="466" t="s">
        <v>389</v>
      </c>
      <c r="O459" s="467"/>
      <c r="P459" s="467"/>
      <c r="Q459" s="884"/>
      <c r="R459" s="467"/>
      <c r="S459" s="467"/>
      <c r="T459" s="884"/>
      <c r="U459" s="884"/>
      <c r="V459" s="884"/>
      <c r="W459" s="56">
        <f t="shared" si="287"/>
        <v>35000</v>
      </c>
      <c r="X459" s="884"/>
      <c r="Y459" s="393">
        <f t="shared" si="272"/>
        <v>35000</v>
      </c>
    </row>
    <row r="460" spans="1:25" ht="22.5" x14ac:dyDescent="0.2">
      <c r="A460" s="52"/>
      <c r="B460" s="111">
        <v>85228</v>
      </c>
      <c r="C460" s="186"/>
      <c r="D460" s="45"/>
      <c r="E460" s="76" t="s">
        <v>95</v>
      </c>
      <c r="F460" s="244">
        <f>SUM(F461:F464)</f>
        <v>785029</v>
      </c>
      <c r="G460" s="244">
        <f t="shared" ref="G460:I460" si="290">SUM(G461:G464)</f>
        <v>486335.88</v>
      </c>
      <c r="H460" s="114">
        <f>G460/F460</f>
        <v>0.61951326638888504</v>
      </c>
      <c r="I460" s="244">
        <f t="shared" si="290"/>
        <v>692880.79</v>
      </c>
      <c r="J460" s="1132">
        <f>SUM(J461:J464)</f>
        <v>229857</v>
      </c>
      <c r="K460" s="1228">
        <f t="shared" ref="K460:L460" si="291">SUM(K461:K464)</f>
        <v>-42764</v>
      </c>
      <c r="L460" s="116">
        <f t="shared" si="291"/>
        <v>187093</v>
      </c>
      <c r="M460" s="78">
        <f t="shared" si="289"/>
        <v>0.23832622743873155</v>
      </c>
      <c r="N460" s="817"/>
      <c r="O460" s="444">
        <f t="shared" ref="O460:X460" si="292">SUM(O461:O464)</f>
        <v>0</v>
      </c>
      <c r="P460" s="444">
        <f t="shared" si="292"/>
        <v>0</v>
      </c>
      <c r="Q460" s="444">
        <f t="shared" si="292"/>
        <v>0</v>
      </c>
      <c r="R460" s="444">
        <f t="shared" si="292"/>
        <v>0</v>
      </c>
      <c r="S460" s="444">
        <f t="shared" si="292"/>
        <v>0</v>
      </c>
      <c r="T460" s="444">
        <f t="shared" si="292"/>
        <v>0</v>
      </c>
      <c r="U460" s="444">
        <f t="shared" si="292"/>
        <v>0</v>
      </c>
      <c r="V460" s="444">
        <f t="shared" si="292"/>
        <v>0</v>
      </c>
      <c r="W460" s="444">
        <f t="shared" si="292"/>
        <v>187093</v>
      </c>
      <c r="X460" s="444">
        <f t="shared" si="292"/>
        <v>0</v>
      </c>
      <c r="Y460" s="444">
        <f>SUM(O460:X460)</f>
        <v>187093</v>
      </c>
    </row>
    <row r="461" spans="1:25" x14ac:dyDescent="0.2">
      <c r="A461" s="52"/>
      <c r="B461" s="52"/>
      <c r="C461" s="79"/>
      <c r="D461" s="400">
        <v>4110</v>
      </c>
      <c r="E461" s="81" t="s">
        <v>140</v>
      </c>
      <c r="F461" s="82">
        <v>11610</v>
      </c>
      <c r="G461" s="56">
        <v>6929.2</v>
      </c>
      <c r="H461" s="101">
        <f t="shared" ref="H461:H473" si="293">G461/F461</f>
        <v>0.59683031869078385</v>
      </c>
      <c r="I461" s="58">
        <v>11148.75</v>
      </c>
      <c r="J461" s="1108">
        <v>11193</v>
      </c>
      <c r="K461" s="58"/>
      <c r="L461" s="59">
        <f>J461+K461</f>
        <v>11193</v>
      </c>
      <c r="M461" s="280">
        <f t="shared" si="289"/>
        <v>0.96408268733850133</v>
      </c>
      <c r="N461" s="399"/>
      <c r="O461" s="392"/>
      <c r="P461" s="392"/>
      <c r="Q461" s="393"/>
      <c r="R461" s="392"/>
      <c r="S461" s="392"/>
      <c r="T461" s="393"/>
      <c r="U461" s="393"/>
      <c r="V461" s="393"/>
      <c r="W461" s="56">
        <f>L461</f>
        <v>11193</v>
      </c>
      <c r="X461" s="393"/>
      <c r="Y461" s="393">
        <f t="shared" ref="Y461:Y464" si="294">SUM(O461:X461)</f>
        <v>11193</v>
      </c>
    </row>
    <row r="462" spans="1:25" x14ac:dyDescent="0.2">
      <c r="A462" s="52"/>
      <c r="B462" s="52"/>
      <c r="C462" s="79"/>
      <c r="D462" s="400">
        <v>4170</v>
      </c>
      <c r="E462" s="81" t="s">
        <v>148</v>
      </c>
      <c r="F462" s="82">
        <v>65000</v>
      </c>
      <c r="G462" s="56">
        <v>45405.37</v>
      </c>
      <c r="H462" s="101">
        <f t="shared" si="293"/>
        <v>0.69854415384615387</v>
      </c>
      <c r="I462" s="58">
        <v>64856</v>
      </c>
      <c r="J462" s="1108">
        <v>65000</v>
      </c>
      <c r="K462" s="58"/>
      <c r="L462" s="59">
        <f t="shared" ref="L462:L464" si="295">J462+K462</f>
        <v>65000</v>
      </c>
      <c r="M462" s="280">
        <f t="shared" si="289"/>
        <v>1</v>
      </c>
      <c r="N462" s="399"/>
      <c r="O462" s="392"/>
      <c r="P462" s="392"/>
      <c r="Q462" s="393"/>
      <c r="R462" s="392"/>
      <c r="S462" s="392"/>
      <c r="T462" s="393"/>
      <c r="U462" s="393"/>
      <c r="V462" s="393"/>
      <c r="W462" s="56">
        <f t="shared" ref="W462:W463" si="296">L462</f>
        <v>65000</v>
      </c>
      <c r="X462" s="393"/>
      <c r="Y462" s="393">
        <f t="shared" si="294"/>
        <v>65000</v>
      </c>
    </row>
    <row r="463" spans="1:25" x14ac:dyDescent="0.2">
      <c r="A463" s="52"/>
      <c r="B463" s="52"/>
      <c r="C463" s="203"/>
      <c r="D463" s="402">
        <v>4300</v>
      </c>
      <c r="E463" s="119" t="s">
        <v>143</v>
      </c>
      <c r="F463" s="491">
        <v>115927</v>
      </c>
      <c r="G463" s="56">
        <v>58897.56</v>
      </c>
      <c r="H463" s="101">
        <f t="shared" si="293"/>
        <v>0.50805731192905879</v>
      </c>
      <c r="I463" s="58">
        <v>109966</v>
      </c>
      <c r="J463" s="1108">
        <v>153664</v>
      </c>
      <c r="K463" s="58">
        <v>-42764</v>
      </c>
      <c r="L463" s="59">
        <f t="shared" si="295"/>
        <v>110900</v>
      </c>
      <c r="M463" s="280">
        <f t="shared" si="289"/>
        <v>0.95663650400683187</v>
      </c>
      <c r="N463" s="399"/>
      <c r="O463" s="392"/>
      <c r="P463" s="392"/>
      <c r="Q463" s="393"/>
      <c r="R463" s="392"/>
      <c r="S463" s="392"/>
      <c r="T463" s="393"/>
      <c r="U463" s="393"/>
      <c r="V463" s="393"/>
      <c r="W463" s="56">
        <f t="shared" si="296"/>
        <v>110900</v>
      </c>
      <c r="X463" s="393"/>
      <c r="Y463" s="393">
        <f t="shared" si="294"/>
        <v>110900</v>
      </c>
    </row>
    <row r="464" spans="1:25" ht="33.75" x14ac:dyDescent="0.2">
      <c r="A464" s="52"/>
      <c r="B464" s="308"/>
      <c r="C464" s="159"/>
      <c r="D464" s="309">
        <v>4330</v>
      </c>
      <c r="E464" s="122" t="s">
        <v>240</v>
      </c>
      <c r="F464" s="204">
        <v>592492</v>
      </c>
      <c r="G464" s="100">
        <v>375103.75</v>
      </c>
      <c r="H464" s="101">
        <f t="shared" si="293"/>
        <v>0.63309504600906008</v>
      </c>
      <c r="I464" s="102">
        <v>506910.04</v>
      </c>
      <c r="J464" s="1112">
        <v>0</v>
      </c>
      <c r="K464" s="58"/>
      <c r="L464" s="59">
        <f t="shared" si="295"/>
        <v>0</v>
      </c>
      <c r="M464" s="280">
        <f t="shared" si="289"/>
        <v>0</v>
      </c>
      <c r="N464" s="399"/>
      <c r="O464" s="392"/>
      <c r="P464" s="392"/>
      <c r="Q464" s="393"/>
      <c r="R464" s="392"/>
      <c r="S464" s="392"/>
      <c r="T464" s="393"/>
      <c r="U464" s="393"/>
      <c r="V464" s="393"/>
      <c r="W464" s="56">
        <f t="shared" ref="W464" si="297">J464</f>
        <v>0</v>
      </c>
      <c r="X464" s="393"/>
      <c r="Y464" s="393">
        <f t="shared" si="294"/>
        <v>0</v>
      </c>
    </row>
    <row r="465" spans="1:25" x14ac:dyDescent="0.2">
      <c r="A465" s="52"/>
      <c r="B465" s="228">
        <v>85232</v>
      </c>
      <c r="C465" s="232"/>
      <c r="D465" s="233"/>
      <c r="E465" s="234" t="s">
        <v>399</v>
      </c>
      <c r="F465" s="269">
        <f>F466</f>
        <v>0</v>
      </c>
      <c r="G465" s="269">
        <f>G466</f>
        <v>0</v>
      </c>
      <c r="H465" s="176">
        <v>0</v>
      </c>
      <c r="I465" s="237">
        <f>I466</f>
        <v>0</v>
      </c>
      <c r="J465" s="1122">
        <f>J466</f>
        <v>150000</v>
      </c>
      <c r="K465" s="1006">
        <f t="shared" ref="K465:L465" si="298">K466</f>
        <v>0</v>
      </c>
      <c r="L465" s="238">
        <f t="shared" si="298"/>
        <v>150000</v>
      </c>
      <c r="M465" s="78">
        <v>0</v>
      </c>
      <c r="N465" s="817"/>
      <c r="O465" s="444">
        <f>O466</f>
        <v>0</v>
      </c>
      <c r="P465" s="444">
        <f t="shared" ref="P465:X465" si="299">P466</f>
        <v>0</v>
      </c>
      <c r="Q465" s="444">
        <f t="shared" si="299"/>
        <v>0</v>
      </c>
      <c r="R465" s="444">
        <f t="shared" si="299"/>
        <v>0</v>
      </c>
      <c r="S465" s="444">
        <f t="shared" si="299"/>
        <v>0</v>
      </c>
      <c r="T465" s="444">
        <f t="shared" si="299"/>
        <v>150000</v>
      </c>
      <c r="U465" s="444">
        <f t="shared" si="299"/>
        <v>0</v>
      </c>
      <c r="V465" s="444">
        <f t="shared" si="299"/>
        <v>0</v>
      </c>
      <c r="W465" s="444">
        <f t="shared" si="299"/>
        <v>0</v>
      </c>
      <c r="X465" s="444">
        <f t="shared" si="299"/>
        <v>0</v>
      </c>
      <c r="Y465" s="444">
        <f>SUM(O465:X465)</f>
        <v>150000</v>
      </c>
    </row>
    <row r="466" spans="1:25" ht="45" x14ac:dyDescent="0.2">
      <c r="A466" s="52"/>
      <c r="B466" s="52"/>
      <c r="C466" s="240"/>
      <c r="D466" s="446">
        <v>2410</v>
      </c>
      <c r="E466" s="199" t="s">
        <v>426</v>
      </c>
      <c r="F466" s="445">
        <v>0</v>
      </c>
      <c r="G466" s="100">
        <v>0</v>
      </c>
      <c r="H466" s="101">
        <v>0</v>
      </c>
      <c r="I466" s="102">
        <v>0</v>
      </c>
      <c r="J466" s="1112">
        <v>150000</v>
      </c>
      <c r="K466" s="263"/>
      <c r="L466" s="138">
        <f>J466+K466</f>
        <v>150000</v>
      </c>
      <c r="M466" s="259">
        <v>0</v>
      </c>
      <c r="N466" s="399"/>
      <c r="O466" s="392"/>
      <c r="P466" s="392"/>
      <c r="Q466" s="393"/>
      <c r="R466" s="392"/>
      <c r="S466" s="392"/>
      <c r="T466" s="393">
        <v>150000</v>
      </c>
      <c r="U466" s="393"/>
      <c r="V466" s="393"/>
      <c r="W466" s="56"/>
      <c r="X466" s="393"/>
      <c r="Y466" s="393">
        <f t="shared" ref="Y466" si="300">SUM(O466:X466)</f>
        <v>150000</v>
      </c>
    </row>
    <row r="467" spans="1:25" x14ac:dyDescent="0.2">
      <c r="A467" s="52"/>
      <c r="B467" s="90">
        <v>85295</v>
      </c>
      <c r="C467" s="44"/>
      <c r="D467" s="75"/>
      <c r="E467" s="46" t="s">
        <v>14</v>
      </c>
      <c r="F467" s="244">
        <f>SUM(F468:F473)</f>
        <v>332400</v>
      </c>
      <c r="G467" s="244">
        <f t="shared" ref="G467:I467" si="301">SUM(G468:G473)</f>
        <v>187537.99</v>
      </c>
      <c r="H467" s="578">
        <f>G467/F467</f>
        <v>0.56419371239470517</v>
      </c>
      <c r="I467" s="244">
        <f t="shared" si="301"/>
        <v>331776.2</v>
      </c>
      <c r="J467" s="1107">
        <f>SUM(J468:J473)</f>
        <v>134400</v>
      </c>
      <c r="K467" s="1205">
        <f t="shared" ref="K467:L467" si="302">SUM(K468:K473)</f>
        <v>0</v>
      </c>
      <c r="L467" s="50">
        <f t="shared" si="302"/>
        <v>134400</v>
      </c>
      <c r="M467" s="78">
        <f t="shared" si="289"/>
        <v>0.40433212996389889</v>
      </c>
      <c r="N467" s="800"/>
      <c r="O467" s="397">
        <f t="shared" ref="O467:X467" si="303">SUM(O468:O473)</f>
        <v>0</v>
      </c>
      <c r="P467" s="397">
        <f t="shared" si="303"/>
        <v>0</v>
      </c>
      <c r="Q467" s="397">
        <f t="shared" si="303"/>
        <v>0</v>
      </c>
      <c r="R467" s="397">
        <f t="shared" si="303"/>
        <v>0</v>
      </c>
      <c r="S467" s="397">
        <f t="shared" si="303"/>
        <v>0</v>
      </c>
      <c r="T467" s="397">
        <f t="shared" si="303"/>
        <v>0</v>
      </c>
      <c r="U467" s="397">
        <f t="shared" si="303"/>
        <v>0</v>
      </c>
      <c r="V467" s="397">
        <f t="shared" si="303"/>
        <v>0</v>
      </c>
      <c r="W467" s="397">
        <f t="shared" si="303"/>
        <v>134400</v>
      </c>
      <c r="X467" s="397">
        <f t="shared" si="303"/>
        <v>0</v>
      </c>
      <c r="Y467" s="397">
        <f>SUM(O467:X467)</f>
        <v>134400</v>
      </c>
    </row>
    <row r="468" spans="1:25" ht="19.5" x14ac:dyDescent="0.2">
      <c r="A468" s="52"/>
      <c r="B468" s="52"/>
      <c r="C468" s="79"/>
      <c r="D468" s="446">
        <v>3110</v>
      </c>
      <c r="E468" s="199" t="s">
        <v>234</v>
      </c>
      <c r="F468" s="200">
        <v>327900</v>
      </c>
      <c r="G468" s="100">
        <v>186227.42</v>
      </c>
      <c r="H468" s="101">
        <f t="shared" si="293"/>
        <v>0.56793967673071066</v>
      </c>
      <c r="I468" s="102">
        <v>327900</v>
      </c>
      <c r="J468" s="1112">
        <v>130000</v>
      </c>
      <c r="K468" s="58"/>
      <c r="L468" s="59">
        <f>J468+K468</f>
        <v>130000</v>
      </c>
      <c r="M468" s="280">
        <f t="shared" si="289"/>
        <v>0.39646233607807257</v>
      </c>
      <c r="N468" s="466" t="s">
        <v>241</v>
      </c>
      <c r="O468" s="392"/>
      <c r="P468" s="392"/>
      <c r="Q468" s="393"/>
      <c r="R468" s="392"/>
      <c r="S468" s="392"/>
      <c r="T468" s="393"/>
      <c r="U468" s="393"/>
      <c r="V468" s="393"/>
      <c r="W468" s="100">
        <f>J468</f>
        <v>130000</v>
      </c>
      <c r="X468" s="393"/>
      <c r="Y468" s="393">
        <f>SUM(O468:X468)</f>
        <v>130000</v>
      </c>
    </row>
    <row r="469" spans="1:25" x14ac:dyDescent="0.2">
      <c r="A469" s="52"/>
      <c r="B469" s="52"/>
      <c r="C469" s="79"/>
      <c r="D469" s="400">
        <v>4010</v>
      </c>
      <c r="E469" s="81" t="s">
        <v>139</v>
      </c>
      <c r="F469" s="553">
        <v>1337</v>
      </c>
      <c r="G469" s="56">
        <v>439.87</v>
      </c>
      <c r="H469" s="101">
        <f t="shared" si="293"/>
        <v>0.32899775617053106</v>
      </c>
      <c r="I469" s="58">
        <v>1319.61</v>
      </c>
      <c r="J469" s="1108">
        <v>0</v>
      </c>
      <c r="K469" s="58"/>
      <c r="L469" s="59">
        <f t="shared" ref="L469:L473" si="304">J469+K469</f>
        <v>0</v>
      </c>
      <c r="M469" s="280">
        <f t="shared" si="289"/>
        <v>0</v>
      </c>
      <c r="N469" s="399"/>
      <c r="O469" s="392"/>
      <c r="P469" s="392"/>
      <c r="Q469" s="393"/>
      <c r="R469" s="392"/>
      <c r="S469" s="392"/>
      <c r="T469" s="393"/>
      <c r="U469" s="393"/>
      <c r="V469" s="393"/>
      <c r="W469" s="100">
        <f t="shared" ref="W469:W473" si="305">J469</f>
        <v>0</v>
      </c>
      <c r="X469" s="393"/>
      <c r="Y469" s="393">
        <f t="shared" ref="Y469:Y518" si="306">SUM(O469:X469)</f>
        <v>0</v>
      </c>
    </row>
    <row r="470" spans="1:25" x14ac:dyDescent="0.2">
      <c r="A470" s="52"/>
      <c r="B470" s="52"/>
      <c r="C470" s="203"/>
      <c r="D470" s="402">
        <v>4110</v>
      </c>
      <c r="E470" s="119" t="s">
        <v>140</v>
      </c>
      <c r="F470" s="544">
        <v>230</v>
      </c>
      <c r="G470" s="56">
        <v>75.75</v>
      </c>
      <c r="H470" s="101">
        <f t="shared" si="293"/>
        <v>0.32934782608695651</v>
      </c>
      <c r="I470" s="58">
        <v>224.25</v>
      </c>
      <c r="J470" s="1108">
        <v>0</v>
      </c>
      <c r="K470" s="58"/>
      <c r="L470" s="59">
        <f t="shared" si="304"/>
        <v>0</v>
      </c>
      <c r="M470" s="280">
        <f t="shared" si="289"/>
        <v>0</v>
      </c>
      <c r="N470" s="399"/>
      <c r="O470" s="392"/>
      <c r="P470" s="392"/>
      <c r="Q470" s="393"/>
      <c r="R470" s="392"/>
      <c r="S470" s="392"/>
      <c r="T470" s="393"/>
      <c r="U470" s="393"/>
      <c r="V470" s="393"/>
      <c r="W470" s="100">
        <f t="shared" si="305"/>
        <v>0</v>
      </c>
      <c r="X470" s="393"/>
      <c r="Y470" s="393">
        <f t="shared" si="306"/>
        <v>0</v>
      </c>
    </row>
    <row r="471" spans="1:25" x14ac:dyDescent="0.2">
      <c r="A471" s="52"/>
      <c r="B471" s="52"/>
      <c r="C471" s="159"/>
      <c r="D471" s="309">
        <v>4120</v>
      </c>
      <c r="E471" s="122" t="s">
        <v>141</v>
      </c>
      <c r="F471" s="524">
        <v>33</v>
      </c>
      <c r="G471" s="100">
        <v>10.78</v>
      </c>
      <c r="H471" s="101">
        <f t="shared" si="293"/>
        <v>0.32666666666666666</v>
      </c>
      <c r="I471" s="102">
        <v>32.340000000000003</v>
      </c>
      <c r="J471" s="1112">
        <v>0</v>
      </c>
      <c r="K471" s="58"/>
      <c r="L471" s="59">
        <f t="shared" si="304"/>
        <v>0</v>
      </c>
      <c r="M471" s="280">
        <f t="shared" si="289"/>
        <v>0</v>
      </c>
      <c r="N471" s="399"/>
      <c r="O471" s="392"/>
      <c r="P471" s="392"/>
      <c r="Q471" s="393"/>
      <c r="R471" s="392"/>
      <c r="S471" s="392"/>
      <c r="T471" s="393"/>
      <c r="U471" s="393"/>
      <c r="V471" s="393"/>
      <c r="W471" s="100">
        <f t="shared" si="305"/>
        <v>0</v>
      </c>
      <c r="X471" s="393"/>
      <c r="Y471" s="393">
        <f t="shared" si="306"/>
        <v>0</v>
      </c>
    </row>
    <row r="472" spans="1:25" x14ac:dyDescent="0.2">
      <c r="A472" s="52"/>
      <c r="B472" s="52"/>
      <c r="C472" s="203"/>
      <c r="D472" s="402">
        <v>4210</v>
      </c>
      <c r="E472" s="119" t="s">
        <v>142</v>
      </c>
      <c r="F472" s="491">
        <v>2000</v>
      </c>
      <c r="G472" s="56">
        <v>481.77</v>
      </c>
      <c r="H472" s="101">
        <f t="shared" si="293"/>
        <v>0.24088499999999999</v>
      </c>
      <c r="I472" s="58">
        <v>2000</v>
      </c>
      <c r="J472" s="1108">
        <v>3500</v>
      </c>
      <c r="K472" s="58"/>
      <c r="L472" s="59">
        <f t="shared" si="304"/>
        <v>3500</v>
      </c>
      <c r="M472" s="280">
        <f t="shared" si="289"/>
        <v>1.75</v>
      </c>
      <c r="N472" s="399"/>
      <c r="O472" s="392"/>
      <c r="P472" s="392"/>
      <c r="Q472" s="393"/>
      <c r="R472" s="392"/>
      <c r="S472" s="392"/>
      <c r="T472" s="393"/>
      <c r="U472" s="393"/>
      <c r="V472" s="393"/>
      <c r="W472" s="100">
        <f t="shared" si="305"/>
        <v>3500</v>
      </c>
      <c r="X472" s="393"/>
      <c r="Y472" s="393">
        <f t="shared" si="306"/>
        <v>3500</v>
      </c>
    </row>
    <row r="473" spans="1:25" x14ac:dyDescent="0.2">
      <c r="A473" s="52"/>
      <c r="B473" s="52"/>
      <c r="C473" s="333"/>
      <c r="D473" s="468">
        <v>4300</v>
      </c>
      <c r="E473" s="125" t="s">
        <v>143</v>
      </c>
      <c r="F473" s="270">
        <v>900</v>
      </c>
      <c r="G473" s="56">
        <v>302.39999999999998</v>
      </c>
      <c r="H473" s="57">
        <f t="shared" si="293"/>
        <v>0.33599999999999997</v>
      </c>
      <c r="I473" s="58">
        <v>300</v>
      </c>
      <c r="J473" s="1108">
        <v>900</v>
      </c>
      <c r="K473" s="58"/>
      <c r="L473" s="59">
        <f t="shared" si="304"/>
        <v>900</v>
      </c>
      <c r="M473" s="280">
        <f t="shared" si="289"/>
        <v>1</v>
      </c>
      <c r="N473" s="466"/>
      <c r="O473" s="392"/>
      <c r="P473" s="392"/>
      <c r="Q473" s="393"/>
      <c r="R473" s="392"/>
      <c r="S473" s="392"/>
      <c r="T473" s="393"/>
      <c r="U473" s="393"/>
      <c r="V473" s="393"/>
      <c r="W473" s="100">
        <f t="shared" si="305"/>
        <v>900</v>
      </c>
      <c r="X473" s="393"/>
      <c r="Y473" s="393">
        <f t="shared" si="306"/>
        <v>900</v>
      </c>
    </row>
    <row r="474" spans="1:25" s="586" customFormat="1" x14ac:dyDescent="0.2">
      <c r="A474" s="416">
        <v>854</v>
      </c>
      <c r="B474" s="104"/>
      <c r="C474" s="477"/>
      <c r="D474" s="105"/>
      <c r="E474" s="478" t="s">
        <v>96</v>
      </c>
      <c r="F474" s="526">
        <f>F475+F487+F490</f>
        <v>853757</v>
      </c>
      <c r="G474" s="109">
        <f>G475+G487+G490</f>
        <v>646622.65999999992</v>
      </c>
      <c r="H474" s="108">
        <f>G474/F474</f>
        <v>0.75738489991882929</v>
      </c>
      <c r="I474" s="109">
        <f>I475+I487+I490</f>
        <v>844317.22</v>
      </c>
      <c r="J474" s="1133">
        <f>J475+J487+J490</f>
        <v>665035</v>
      </c>
      <c r="K474" s="1229">
        <f t="shared" ref="K474:L474" si="307">K475+K487+K490</f>
        <v>-8260</v>
      </c>
      <c r="L474" s="110">
        <f t="shared" si="307"/>
        <v>656775</v>
      </c>
      <c r="M474" s="1163">
        <f t="shared" si="289"/>
        <v>0.76927626947714633</v>
      </c>
      <c r="N474" s="809"/>
      <c r="O474" s="448">
        <f t="shared" ref="O474:X474" si="308">O475+O487+O490</f>
        <v>0</v>
      </c>
      <c r="P474" s="448">
        <f t="shared" si="308"/>
        <v>0</v>
      </c>
      <c r="Q474" s="448">
        <f t="shared" si="308"/>
        <v>0</v>
      </c>
      <c r="R474" s="448">
        <f t="shared" si="308"/>
        <v>0</v>
      </c>
      <c r="S474" s="448">
        <f t="shared" si="308"/>
        <v>0</v>
      </c>
      <c r="T474" s="448">
        <f t="shared" si="308"/>
        <v>0</v>
      </c>
      <c r="U474" s="448">
        <f t="shared" si="308"/>
        <v>0</v>
      </c>
      <c r="V474" s="448">
        <f t="shared" si="308"/>
        <v>0</v>
      </c>
      <c r="W474" s="448">
        <f t="shared" si="308"/>
        <v>0</v>
      </c>
      <c r="X474" s="448">
        <f t="shared" si="308"/>
        <v>656775</v>
      </c>
      <c r="Y474" s="448">
        <f t="shared" si="306"/>
        <v>656775</v>
      </c>
    </row>
    <row r="475" spans="1:25" x14ac:dyDescent="0.2">
      <c r="A475" s="23"/>
      <c r="B475" s="111">
        <v>85401</v>
      </c>
      <c r="C475" s="186"/>
      <c r="D475" s="45"/>
      <c r="E475" s="76" t="s">
        <v>242</v>
      </c>
      <c r="F475" s="244">
        <f>SUM(F476:F486)</f>
        <v>533509</v>
      </c>
      <c r="G475" s="244">
        <f t="shared" ref="G475:I475" si="309">SUM(G476:G486)</f>
        <v>396367.66</v>
      </c>
      <c r="H475" s="1177">
        <f>G475/F475</f>
        <v>0.74294465510422503</v>
      </c>
      <c r="I475" s="244">
        <f t="shared" si="309"/>
        <v>524069.22000000003</v>
      </c>
      <c r="J475" s="1132">
        <f>SUM(J476:J486)</f>
        <v>561416</v>
      </c>
      <c r="K475" s="1228">
        <f t="shared" ref="K475:L475" si="310">SUM(K476:K486)</f>
        <v>-8260</v>
      </c>
      <c r="L475" s="116">
        <f t="shared" si="310"/>
        <v>553156</v>
      </c>
      <c r="M475" s="78">
        <f t="shared" si="289"/>
        <v>1.0368259954377528</v>
      </c>
      <c r="N475" s="817"/>
      <c r="O475" s="444">
        <f t="shared" ref="O475:X475" si="311">SUM(O476:O486)</f>
        <v>0</v>
      </c>
      <c r="P475" s="444">
        <f t="shared" si="311"/>
        <v>0</v>
      </c>
      <c r="Q475" s="444">
        <f t="shared" si="311"/>
        <v>0</v>
      </c>
      <c r="R475" s="444">
        <f t="shared" si="311"/>
        <v>0</v>
      </c>
      <c r="S475" s="444">
        <f t="shared" si="311"/>
        <v>0</v>
      </c>
      <c r="T475" s="444">
        <f t="shared" si="311"/>
        <v>0</v>
      </c>
      <c r="U475" s="444">
        <f t="shared" si="311"/>
        <v>0</v>
      </c>
      <c r="V475" s="444">
        <f t="shared" si="311"/>
        <v>0</v>
      </c>
      <c r="W475" s="444">
        <f t="shared" si="311"/>
        <v>0</v>
      </c>
      <c r="X475" s="444">
        <f t="shared" si="311"/>
        <v>553156</v>
      </c>
      <c r="Y475" s="444">
        <f t="shared" si="306"/>
        <v>553156</v>
      </c>
    </row>
    <row r="476" spans="1:25" x14ac:dyDescent="0.2">
      <c r="A476" s="52"/>
      <c r="B476" s="52"/>
      <c r="C476" s="79"/>
      <c r="D476" s="400">
        <v>3020</v>
      </c>
      <c r="E476" s="81" t="s">
        <v>174</v>
      </c>
      <c r="F476" s="553">
        <v>1079</v>
      </c>
      <c r="G476" s="56">
        <v>486</v>
      </c>
      <c r="H476" s="57">
        <f>G476/F476</f>
        <v>0.45041705282669137</v>
      </c>
      <c r="I476" s="58">
        <v>1079</v>
      </c>
      <c r="J476" s="1108">
        <v>1096</v>
      </c>
      <c r="K476" s="263"/>
      <c r="L476" s="138">
        <f>J476+K476</f>
        <v>1096</v>
      </c>
      <c r="M476" s="280">
        <f t="shared" si="289"/>
        <v>1.015755329008341</v>
      </c>
      <c r="N476" s="399"/>
      <c r="O476" s="392"/>
      <c r="P476" s="392"/>
      <c r="Q476" s="393"/>
      <c r="R476" s="392"/>
      <c r="S476" s="392"/>
      <c r="T476" s="393"/>
      <c r="U476" s="393"/>
      <c r="V476" s="393"/>
      <c r="W476" s="393"/>
      <c r="X476" s="56">
        <f>L476</f>
        <v>1096</v>
      </c>
      <c r="Y476" s="393">
        <f t="shared" si="306"/>
        <v>1096</v>
      </c>
    </row>
    <row r="477" spans="1:25" x14ac:dyDescent="0.2">
      <c r="A477" s="52"/>
      <c r="B477" s="52"/>
      <c r="C477" s="79"/>
      <c r="D477" s="400">
        <v>4010</v>
      </c>
      <c r="E477" s="81" t="s">
        <v>139</v>
      </c>
      <c r="F477" s="553">
        <v>381808</v>
      </c>
      <c r="G477" s="56">
        <v>291319.51</v>
      </c>
      <c r="H477" s="57">
        <f t="shared" ref="H477:H487" si="312">G477/F477</f>
        <v>0.76300001571470477</v>
      </c>
      <c r="I477" s="58">
        <v>381808</v>
      </c>
      <c r="J477" s="1108">
        <v>390317</v>
      </c>
      <c r="K477" s="58"/>
      <c r="L477" s="59">
        <f t="shared" ref="L477:L485" si="313">J477+K477</f>
        <v>390317</v>
      </c>
      <c r="M477" s="280">
        <f t="shared" si="289"/>
        <v>1.0222860704856891</v>
      </c>
      <c r="N477" s="399"/>
      <c r="O477" s="392"/>
      <c r="P477" s="392"/>
      <c r="Q477" s="393"/>
      <c r="R477" s="392"/>
      <c r="S477" s="392"/>
      <c r="T477" s="393"/>
      <c r="U477" s="393"/>
      <c r="V477" s="393"/>
      <c r="W477" s="393"/>
      <c r="X477" s="56">
        <f t="shared" ref="X477:X486" si="314">L477</f>
        <v>390317</v>
      </c>
      <c r="Y477" s="393">
        <f t="shared" si="306"/>
        <v>390317</v>
      </c>
    </row>
    <row r="478" spans="1:25" x14ac:dyDescent="0.2">
      <c r="A478" s="52"/>
      <c r="B478" s="52"/>
      <c r="C478" s="203"/>
      <c r="D478" s="402">
        <v>4040</v>
      </c>
      <c r="E478" s="119" t="s">
        <v>169</v>
      </c>
      <c r="F478" s="544">
        <v>26500</v>
      </c>
      <c r="G478" s="56">
        <v>17476.59</v>
      </c>
      <c r="H478" s="57">
        <f t="shared" si="312"/>
        <v>0.65949396226415091</v>
      </c>
      <c r="I478" s="58">
        <v>17476.59</v>
      </c>
      <c r="J478" s="1108">
        <v>32600</v>
      </c>
      <c r="K478" s="58"/>
      <c r="L478" s="59">
        <f t="shared" si="313"/>
        <v>32600</v>
      </c>
      <c r="M478" s="280">
        <f t="shared" si="289"/>
        <v>1.230188679245283</v>
      </c>
      <c r="N478" s="399"/>
      <c r="O478" s="392"/>
      <c r="P478" s="392"/>
      <c r="Q478" s="393"/>
      <c r="R478" s="392"/>
      <c r="S478" s="392"/>
      <c r="T478" s="393"/>
      <c r="U478" s="393"/>
      <c r="V478" s="393"/>
      <c r="W478" s="393"/>
      <c r="X478" s="56">
        <f t="shared" si="314"/>
        <v>32600</v>
      </c>
      <c r="Y478" s="393">
        <f t="shared" si="306"/>
        <v>32600</v>
      </c>
    </row>
    <row r="479" spans="1:25" x14ac:dyDescent="0.2">
      <c r="A479" s="52"/>
      <c r="B479" s="52"/>
      <c r="C479" s="240"/>
      <c r="D479" s="446">
        <v>4110</v>
      </c>
      <c r="E479" s="199" t="s">
        <v>140</v>
      </c>
      <c r="F479" s="611">
        <v>70300</v>
      </c>
      <c r="G479" s="100">
        <v>51281.25</v>
      </c>
      <c r="H479" s="101">
        <f t="shared" si="312"/>
        <v>0.72946301564722615</v>
      </c>
      <c r="I479" s="102">
        <v>70300</v>
      </c>
      <c r="J479" s="1112">
        <v>72860</v>
      </c>
      <c r="K479" s="102">
        <v>-6650</v>
      </c>
      <c r="L479" s="103">
        <f t="shared" si="313"/>
        <v>66210</v>
      </c>
      <c r="M479" s="259">
        <f t="shared" si="289"/>
        <v>0.94182076813655757</v>
      </c>
      <c r="N479" s="399"/>
      <c r="O479" s="392"/>
      <c r="P479" s="392"/>
      <c r="Q479" s="393"/>
      <c r="R479" s="392"/>
      <c r="S479" s="392"/>
      <c r="T479" s="393"/>
      <c r="U479" s="393"/>
      <c r="V479" s="393"/>
      <c r="W479" s="393"/>
      <c r="X479" s="56">
        <f t="shared" si="314"/>
        <v>66210</v>
      </c>
      <c r="Y479" s="393">
        <f t="shared" si="306"/>
        <v>66210</v>
      </c>
    </row>
    <row r="480" spans="1:25" x14ac:dyDescent="0.2">
      <c r="A480" s="52"/>
      <c r="B480" s="52"/>
      <c r="C480" s="203"/>
      <c r="D480" s="402">
        <v>4120</v>
      </c>
      <c r="E480" s="119" t="s">
        <v>141</v>
      </c>
      <c r="F480" s="544">
        <v>9523</v>
      </c>
      <c r="G480" s="56">
        <v>7260.16</v>
      </c>
      <c r="H480" s="57">
        <f t="shared" si="312"/>
        <v>0.76238160243620712</v>
      </c>
      <c r="I480" s="58">
        <v>9523</v>
      </c>
      <c r="J480" s="1108">
        <v>10361</v>
      </c>
      <c r="K480" s="58">
        <v>-1610</v>
      </c>
      <c r="L480" s="59">
        <f t="shared" si="313"/>
        <v>8751</v>
      </c>
      <c r="M480" s="280">
        <f t="shared" si="289"/>
        <v>0.91893310931429173</v>
      </c>
      <c r="N480" s="399"/>
      <c r="O480" s="392"/>
      <c r="P480" s="392"/>
      <c r="Q480" s="393"/>
      <c r="R480" s="392"/>
      <c r="S480" s="392"/>
      <c r="T480" s="393"/>
      <c r="U480" s="393"/>
      <c r="V480" s="393"/>
      <c r="W480" s="393"/>
      <c r="X480" s="56">
        <f t="shared" si="314"/>
        <v>8751</v>
      </c>
      <c r="Y480" s="393">
        <f t="shared" si="306"/>
        <v>8751</v>
      </c>
    </row>
    <row r="481" spans="1:25" x14ac:dyDescent="0.2">
      <c r="A481" s="52"/>
      <c r="B481" s="52"/>
      <c r="C481" s="240"/>
      <c r="D481" s="446">
        <v>4210</v>
      </c>
      <c r="E481" s="199" t="s">
        <v>142</v>
      </c>
      <c r="F481" s="611">
        <v>10400</v>
      </c>
      <c r="G481" s="100">
        <v>4602.49</v>
      </c>
      <c r="H481" s="57">
        <f t="shared" si="312"/>
        <v>0.44254711538461539</v>
      </c>
      <c r="I481" s="102">
        <v>10400</v>
      </c>
      <c r="J481" s="1112">
        <v>12072</v>
      </c>
      <c r="K481" s="58"/>
      <c r="L481" s="59">
        <f t="shared" si="313"/>
        <v>12072</v>
      </c>
      <c r="M481" s="280">
        <f t="shared" si="289"/>
        <v>1.1607692307692308</v>
      </c>
      <c r="N481" s="466"/>
      <c r="O481" s="392"/>
      <c r="P481" s="392"/>
      <c r="Q481" s="393"/>
      <c r="R481" s="392"/>
      <c r="S481" s="392"/>
      <c r="T481" s="393"/>
      <c r="U481" s="393"/>
      <c r="V481" s="393"/>
      <c r="W481" s="393"/>
      <c r="X481" s="56">
        <f t="shared" si="314"/>
        <v>12072</v>
      </c>
      <c r="Y481" s="393">
        <f t="shared" si="306"/>
        <v>12072</v>
      </c>
    </row>
    <row r="482" spans="1:25" ht="22.5" x14ac:dyDescent="0.2">
      <c r="A482" s="52"/>
      <c r="B482" s="52"/>
      <c r="C482" s="203"/>
      <c r="D482" s="402">
        <v>4240</v>
      </c>
      <c r="E482" s="119" t="s">
        <v>184</v>
      </c>
      <c r="F482" s="544">
        <v>6900</v>
      </c>
      <c r="G482" s="56">
        <v>778.05</v>
      </c>
      <c r="H482" s="57">
        <f t="shared" si="312"/>
        <v>0.11276086956521739</v>
      </c>
      <c r="I482" s="58">
        <v>6900</v>
      </c>
      <c r="J482" s="1108">
        <v>7000</v>
      </c>
      <c r="K482" s="58"/>
      <c r="L482" s="59">
        <f t="shared" si="313"/>
        <v>7000</v>
      </c>
      <c r="M482" s="280">
        <f t="shared" si="289"/>
        <v>1.0144927536231885</v>
      </c>
      <c r="N482" s="399"/>
      <c r="O482" s="392"/>
      <c r="P482" s="392"/>
      <c r="Q482" s="393"/>
      <c r="R482" s="392"/>
      <c r="S482" s="392"/>
      <c r="T482" s="393"/>
      <c r="U482" s="393"/>
      <c r="V482" s="393"/>
      <c r="W482" s="393"/>
      <c r="X482" s="56">
        <f t="shared" si="314"/>
        <v>7000</v>
      </c>
      <c r="Y482" s="393">
        <f t="shared" si="306"/>
        <v>7000</v>
      </c>
    </row>
    <row r="483" spans="1:25" x14ac:dyDescent="0.2">
      <c r="A483" s="52"/>
      <c r="B483" s="52"/>
      <c r="C483" s="159"/>
      <c r="D483" s="309">
        <v>4260</v>
      </c>
      <c r="E483" s="122" t="s">
        <v>149</v>
      </c>
      <c r="F483" s="524">
        <v>6000</v>
      </c>
      <c r="G483" s="100">
        <v>3983.63</v>
      </c>
      <c r="H483" s="57">
        <f t="shared" si="312"/>
        <v>0.6639383333333333</v>
      </c>
      <c r="I483" s="102">
        <v>5583.63</v>
      </c>
      <c r="J483" s="1112">
        <v>6500</v>
      </c>
      <c r="K483" s="58"/>
      <c r="L483" s="59">
        <f t="shared" si="313"/>
        <v>6500</v>
      </c>
      <c r="M483" s="280">
        <f t="shared" si="289"/>
        <v>1.0833333333333333</v>
      </c>
      <c r="N483" s="466"/>
      <c r="O483" s="392"/>
      <c r="P483" s="392"/>
      <c r="Q483" s="393"/>
      <c r="R483" s="392"/>
      <c r="S483" s="392"/>
      <c r="T483" s="393"/>
      <c r="U483" s="393"/>
      <c r="V483" s="393"/>
      <c r="W483" s="393"/>
      <c r="X483" s="56">
        <f t="shared" si="314"/>
        <v>6500</v>
      </c>
      <c r="Y483" s="393">
        <f t="shared" si="306"/>
        <v>6500</v>
      </c>
    </row>
    <row r="484" spans="1:25" x14ac:dyDescent="0.2">
      <c r="A484" s="52"/>
      <c r="B484" s="52"/>
      <c r="C484" s="240"/>
      <c r="D484" s="446">
        <v>4270</v>
      </c>
      <c r="E484" s="199" t="s">
        <v>154</v>
      </c>
      <c r="F484" s="611">
        <v>2100</v>
      </c>
      <c r="G484" s="100">
        <v>935.73</v>
      </c>
      <c r="H484" s="57">
        <f t="shared" si="312"/>
        <v>0.44558571428571431</v>
      </c>
      <c r="I484" s="102">
        <v>2100</v>
      </c>
      <c r="J484" s="1112">
        <v>2500</v>
      </c>
      <c r="K484" s="58"/>
      <c r="L484" s="59">
        <f t="shared" si="313"/>
        <v>2500</v>
      </c>
      <c r="M484" s="280">
        <f t="shared" si="289"/>
        <v>1.1904761904761905</v>
      </c>
      <c r="N484" s="466"/>
      <c r="O484" s="392"/>
      <c r="P484" s="392"/>
      <c r="Q484" s="393"/>
      <c r="R484" s="392"/>
      <c r="S484" s="392"/>
      <c r="T484" s="393"/>
      <c r="U484" s="393"/>
      <c r="V484" s="393"/>
      <c r="W484" s="393"/>
      <c r="X484" s="56">
        <f t="shared" si="314"/>
        <v>2500</v>
      </c>
      <c r="Y484" s="393">
        <f t="shared" si="306"/>
        <v>2500</v>
      </c>
    </row>
    <row r="485" spans="1:25" x14ac:dyDescent="0.2">
      <c r="A485" s="52"/>
      <c r="B485" s="52"/>
      <c r="C485" s="79"/>
      <c r="D485" s="400">
        <v>4300</v>
      </c>
      <c r="E485" s="81" t="s">
        <v>143</v>
      </c>
      <c r="F485" s="553">
        <v>2800</v>
      </c>
      <c r="G485" s="56">
        <v>2145.25</v>
      </c>
      <c r="H485" s="57">
        <f t="shared" si="312"/>
        <v>0.76616071428571431</v>
      </c>
      <c r="I485" s="58">
        <v>2800</v>
      </c>
      <c r="J485" s="1108">
        <v>3100</v>
      </c>
      <c r="K485" s="58"/>
      <c r="L485" s="59">
        <f t="shared" si="313"/>
        <v>3100</v>
      </c>
      <c r="M485" s="280">
        <f t="shared" si="289"/>
        <v>1.1071428571428572</v>
      </c>
      <c r="N485" s="399"/>
      <c r="O485" s="392"/>
      <c r="P485" s="392"/>
      <c r="Q485" s="393"/>
      <c r="R485" s="392"/>
      <c r="S485" s="392"/>
      <c r="T485" s="393"/>
      <c r="U485" s="393"/>
      <c r="V485" s="393"/>
      <c r="W485" s="393"/>
      <c r="X485" s="56">
        <f t="shared" si="314"/>
        <v>3100</v>
      </c>
      <c r="Y485" s="393">
        <f t="shared" si="306"/>
        <v>3100</v>
      </c>
    </row>
    <row r="486" spans="1:25" ht="22.5" x14ac:dyDescent="0.2">
      <c r="A486" s="52"/>
      <c r="B486" s="159"/>
      <c r="C486" s="203"/>
      <c r="D486" s="402">
        <v>4440</v>
      </c>
      <c r="E486" s="119" t="s">
        <v>191</v>
      </c>
      <c r="F486" s="544">
        <v>16099</v>
      </c>
      <c r="G486" s="56">
        <v>16099</v>
      </c>
      <c r="H486" s="57">
        <f t="shared" si="312"/>
        <v>1</v>
      </c>
      <c r="I486" s="58">
        <v>16099</v>
      </c>
      <c r="J486" s="1108">
        <v>23010</v>
      </c>
      <c r="K486" s="58"/>
      <c r="L486" s="59">
        <f>J486+K486</f>
        <v>23010</v>
      </c>
      <c r="M486" s="280">
        <f t="shared" si="289"/>
        <v>1.4292813218212312</v>
      </c>
      <c r="N486" s="399"/>
      <c r="O486" s="392"/>
      <c r="P486" s="392"/>
      <c r="Q486" s="393"/>
      <c r="R486" s="392"/>
      <c r="S486" s="392"/>
      <c r="T486" s="393"/>
      <c r="U486" s="393"/>
      <c r="V486" s="393"/>
      <c r="W486" s="393"/>
      <c r="X486" s="56">
        <f t="shared" si="314"/>
        <v>23010</v>
      </c>
      <c r="Y486" s="393">
        <f t="shared" si="306"/>
        <v>23010</v>
      </c>
    </row>
    <row r="487" spans="1:25" x14ac:dyDescent="0.2">
      <c r="A487" s="52"/>
      <c r="B487" s="111">
        <v>85415</v>
      </c>
      <c r="C487" s="186"/>
      <c r="D487" s="45"/>
      <c r="E487" s="441" t="s">
        <v>97</v>
      </c>
      <c r="F487" s="827">
        <f>SUM(F488:F489)</f>
        <v>316688</v>
      </c>
      <c r="G487" s="827">
        <f t="shared" ref="G487:I487" si="315">SUM(G488:G489)</f>
        <v>247518</v>
      </c>
      <c r="H487" s="176">
        <f t="shared" si="312"/>
        <v>0.78158313545192748</v>
      </c>
      <c r="I487" s="1189">
        <f t="shared" si="315"/>
        <v>316688</v>
      </c>
      <c r="J487" s="1132">
        <f>SUM(J488:J489)</f>
        <v>100000</v>
      </c>
      <c r="K487" s="1235">
        <f t="shared" ref="K487:L487" si="316">SUM(K488:K489)</f>
        <v>0</v>
      </c>
      <c r="L487" s="210">
        <f t="shared" si="316"/>
        <v>100000</v>
      </c>
      <c r="M487" s="78">
        <f t="shared" si="289"/>
        <v>0.31576820087909868</v>
      </c>
      <c r="N487" s="800"/>
      <c r="O487" s="397">
        <f t="shared" ref="O487:X487" si="317">SUM(O488:O489)</f>
        <v>0</v>
      </c>
      <c r="P487" s="397">
        <f t="shared" si="317"/>
        <v>0</v>
      </c>
      <c r="Q487" s="397">
        <f t="shared" si="317"/>
        <v>0</v>
      </c>
      <c r="R487" s="397">
        <f t="shared" si="317"/>
        <v>0</v>
      </c>
      <c r="S487" s="397">
        <f t="shared" si="317"/>
        <v>0</v>
      </c>
      <c r="T487" s="397">
        <f t="shared" si="317"/>
        <v>0</v>
      </c>
      <c r="U487" s="397">
        <f t="shared" si="317"/>
        <v>0</v>
      </c>
      <c r="V487" s="397">
        <f t="shared" si="317"/>
        <v>0</v>
      </c>
      <c r="W487" s="397">
        <f t="shared" si="317"/>
        <v>0</v>
      </c>
      <c r="X487" s="397">
        <f t="shared" si="317"/>
        <v>100000</v>
      </c>
      <c r="Y487" s="397">
        <f t="shared" si="306"/>
        <v>100000</v>
      </c>
    </row>
    <row r="488" spans="1:25" x14ac:dyDescent="0.2">
      <c r="A488" s="52"/>
      <c r="B488" s="52"/>
      <c r="C488" s="79"/>
      <c r="D488" s="400">
        <v>3240</v>
      </c>
      <c r="E488" s="199" t="s">
        <v>213</v>
      </c>
      <c r="F488" s="200">
        <v>298014</v>
      </c>
      <c r="G488" s="56">
        <v>247518</v>
      </c>
      <c r="H488" s="57">
        <f t="shared" ref="H488:H489" si="318">G488/F488</f>
        <v>0.83055829591898367</v>
      </c>
      <c r="I488" s="58">
        <v>298014</v>
      </c>
      <c r="J488" s="1108">
        <v>100000</v>
      </c>
      <c r="K488" s="58"/>
      <c r="L488" s="59">
        <f>J488+K488</f>
        <v>100000</v>
      </c>
      <c r="M488" s="280">
        <f t="shared" si="289"/>
        <v>0.33555470548363497</v>
      </c>
      <c r="N488" s="399"/>
      <c r="O488" s="392"/>
      <c r="P488" s="392"/>
      <c r="Q488" s="393"/>
      <c r="R488" s="392"/>
      <c r="S488" s="392"/>
      <c r="T488" s="393"/>
      <c r="U488" s="393"/>
      <c r="V488" s="393"/>
      <c r="W488" s="393"/>
      <c r="X488" s="393">
        <f>J488</f>
        <v>100000</v>
      </c>
      <c r="Y488" s="393">
        <f t="shared" si="306"/>
        <v>100000</v>
      </c>
    </row>
    <row r="489" spans="1:25" x14ac:dyDescent="0.2">
      <c r="A489" s="52"/>
      <c r="B489" s="52"/>
      <c r="C489" s="79"/>
      <c r="D489" s="400">
        <v>3260</v>
      </c>
      <c r="E489" s="81" t="s">
        <v>243</v>
      </c>
      <c r="F489" s="82">
        <v>18674</v>
      </c>
      <c r="G489" s="56">
        <v>0</v>
      </c>
      <c r="H489" s="57">
        <f t="shared" si="318"/>
        <v>0</v>
      </c>
      <c r="I489" s="58">
        <v>18674</v>
      </c>
      <c r="J489" s="1108">
        <v>0</v>
      </c>
      <c r="K489" s="58"/>
      <c r="L489" s="59">
        <f>J489+K489</f>
        <v>0</v>
      </c>
      <c r="M489" s="280">
        <f t="shared" si="289"/>
        <v>0</v>
      </c>
      <c r="N489" s="399"/>
      <c r="O489" s="392"/>
      <c r="P489" s="392"/>
      <c r="Q489" s="393"/>
      <c r="R489" s="392"/>
      <c r="S489" s="392"/>
      <c r="T489" s="393"/>
      <c r="U489" s="393"/>
      <c r="V489" s="393"/>
      <c r="W489" s="393"/>
      <c r="X489" s="393">
        <f>J489</f>
        <v>0</v>
      </c>
      <c r="Y489" s="393">
        <f t="shared" si="306"/>
        <v>0</v>
      </c>
    </row>
    <row r="490" spans="1:25" x14ac:dyDescent="0.2">
      <c r="A490" s="52"/>
      <c r="B490" s="246">
        <v>85446</v>
      </c>
      <c r="C490" s="247"/>
      <c r="D490" s="248"/>
      <c r="E490" s="249" t="s">
        <v>226</v>
      </c>
      <c r="F490" s="306">
        <f>SUM(F491:F491)</f>
        <v>3560</v>
      </c>
      <c r="G490" s="306">
        <f>SUM(G491:G491)</f>
        <v>2737</v>
      </c>
      <c r="H490" s="176">
        <f t="shared" ref="H490:H496" si="319">G490/F490</f>
        <v>0.76882022471910116</v>
      </c>
      <c r="I490" s="306">
        <f>SUM(I491:I491)</f>
        <v>3560</v>
      </c>
      <c r="J490" s="1131">
        <f>J491</f>
        <v>3619</v>
      </c>
      <c r="K490" s="1226">
        <f t="shared" ref="K490:L490" si="320">K491</f>
        <v>0</v>
      </c>
      <c r="L490" s="307">
        <f t="shared" si="320"/>
        <v>3619</v>
      </c>
      <c r="M490" s="78">
        <f t="shared" si="289"/>
        <v>1.0165730337078651</v>
      </c>
      <c r="N490" s="800"/>
      <c r="O490" s="397">
        <f t="shared" ref="O490:X490" si="321">O491</f>
        <v>0</v>
      </c>
      <c r="P490" s="397">
        <f t="shared" si="321"/>
        <v>0</v>
      </c>
      <c r="Q490" s="397">
        <f t="shared" si="321"/>
        <v>0</v>
      </c>
      <c r="R490" s="397">
        <f t="shared" si="321"/>
        <v>0</v>
      </c>
      <c r="S490" s="397">
        <f t="shared" si="321"/>
        <v>0</v>
      </c>
      <c r="T490" s="397">
        <f t="shared" si="321"/>
        <v>0</v>
      </c>
      <c r="U490" s="397">
        <f t="shared" si="321"/>
        <v>0</v>
      </c>
      <c r="V490" s="397">
        <f t="shared" si="321"/>
        <v>0</v>
      </c>
      <c r="W490" s="397">
        <f t="shared" si="321"/>
        <v>0</v>
      </c>
      <c r="X490" s="397">
        <f t="shared" si="321"/>
        <v>3619</v>
      </c>
      <c r="Y490" s="397">
        <f t="shared" si="306"/>
        <v>3619</v>
      </c>
    </row>
    <row r="491" spans="1:25" ht="22.5" x14ac:dyDescent="0.2">
      <c r="A491" s="52"/>
      <c r="B491" s="452"/>
      <c r="C491" s="458"/>
      <c r="D491" s="474">
        <v>4700</v>
      </c>
      <c r="E491" s="128" t="s">
        <v>146</v>
      </c>
      <c r="F491" s="612">
        <v>3560</v>
      </c>
      <c r="G491" s="100">
        <v>2737</v>
      </c>
      <c r="H491" s="101">
        <f t="shared" si="319"/>
        <v>0.76882022471910116</v>
      </c>
      <c r="I491" s="102">
        <v>3560</v>
      </c>
      <c r="J491" s="1112">
        <v>3619</v>
      </c>
      <c r="K491" s="263"/>
      <c r="L491" s="138">
        <f>J491+K491</f>
        <v>3619</v>
      </c>
      <c r="M491" s="280">
        <f t="shared" si="289"/>
        <v>1.0165730337078651</v>
      </c>
      <c r="N491" s="466"/>
      <c r="O491" s="392"/>
      <c r="P491" s="392"/>
      <c r="Q491" s="393"/>
      <c r="R491" s="392"/>
      <c r="S491" s="392"/>
      <c r="T491" s="393"/>
      <c r="U491" s="393"/>
      <c r="V491" s="393"/>
      <c r="W491" s="393"/>
      <c r="X491" s="393">
        <f>J491</f>
        <v>3619</v>
      </c>
      <c r="Y491" s="393">
        <f t="shared" si="306"/>
        <v>3619</v>
      </c>
    </row>
    <row r="492" spans="1:25" s="586" customFormat="1" ht="22.5" x14ac:dyDescent="0.2">
      <c r="A492" s="416">
        <v>900</v>
      </c>
      <c r="B492" s="72"/>
      <c r="C492" s="72"/>
      <c r="D492" s="84"/>
      <c r="E492" s="85" t="s">
        <v>99</v>
      </c>
      <c r="F492" s="613">
        <f>F493+F496+F507+F509+F514+F519+F523+F525</f>
        <v>3740733.27</v>
      </c>
      <c r="G492" s="87">
        <f>G493+G496+G507+G509+G514+G519+G523+G525</f>
        <v>2171349.3200000003</v>
      </c>
      <c r="H492" s="88">
        <f t="shared" si="319"/>
        <v>0.58046087846300798</v>
      </c>
      <c r="I492" s="87">
        <f>I493+I496+I507+I509+I514+I519+I523+I525</f>
        <v>3389367.79</v>
      </c>
      <c r="J492" s="1110">
        <f>J493+J496+J507+J509+J514+J519+J523+J525</f>
        <v>3881753</v>
      </c>
      <c r="K492" s="1207">
        <f>K493+K496+K507+K509+K514+K519+K523+K525</f>
        <v>-61499.999999999971</v>
      </c>
      <c r="L492" s="89">
        <f>L493+L496+L507+L509+L514+L519+L523+L525</f>
        <v>3820253</v>
      </c>
      <c r="M492" s="171">
        <f t="shared" si="289"/>
        <v>1.0212577920585073</v>
      </c>
      <c r="N492" s="811"/>
      <c r="O492" s="405">
        <f t="shared" ref="O492:X492" si="322">O493+O496+O507+O509+O514+O519+O523+O525</f>
        <v>12200</v>
      </c>
      <c r="P492" s="405">
        <f t="shared" si="322"/>
        <v>0</v>
      </c>
      <c r="Q492" s="405">
        <f t="shared" si="322"/>
        <v>2230500</v>
      </c>
      <c r="R492" s="405">
        <f t="shared" si="322"/>
        <v>0</v>
      </c>
      <c r="S492" s="405">
        <f t="shared" si="322"/>
        <v>3400.45</v>
      </c>
      <c r="T492" s="405">
        <f t="shared" si="322"/>
        <v>298152.55000000005</v>
      </c>
      <c r="U492" s="405">
        <f t="shared" si="322"/>
        <v>0</v>
      </c>
      <c r="V492" s="405">
        <f t="shared" si="322"/>
        <v>1276000</v>
      </c>
      <c r="W492" s="405">
        <f t="shared" si="322"/>
        <v>0</v>
      </c>
      <c r="X492" s="405">
        <f t="shared" si="322"/>
        <v>0</v>
      </c>
      <c r="Y492" s="405">
        <f t="shared" si="306"/>
        <v>3820253</v>
      </c>
    </row>
    <row r="493" spans="1:25" x14ac:dyDescent="0.2">
      <c r="A493" s="23"/>
      <c r="B493" s="246">
        <v>90001</v>
      </c>
      <c r="C493" s="247"/>
      <c r="D493" s="248"/>
      <c r="E493" s="249" t="s">
        <v>100</v>
      </c>
      <c r="F493" s="614">
        <f>SUM(F494:F495)</f>
        <v>112500</v>
      </c>
      <c r="G493" s="614">
        <f>SUM(G494:G495)</f>
        <v>22725.08</v>
      </c>
      <c r="H493" s="251">
        <f t="shared" si="319"/>
        <v>0.20200071111111112</v>
      </c>
      <c r="I493" s="306">
        <f>SUM(I494:I495)</f>
        <v>102500</v>
      </c>
      <c r="J493" s="1131">
        <f>SUM(J494:J495)</f>
        <v>80000</v>
      </c>
      <c r="K493" s="1226">
        <f t="shared" ref="K493:L493" si="323">SUM(K494:K495)</f>
        <v>-20000</v>
      </c>
      <c r="L493" s="307">
        <f t="shared" si="323"/>
        <v>60000</v>
      </c>
      <c r="M493" s="78">
        <f t="shared" si="289"/>
        <v>0.53333333333333333</v>
      </c>
      <c r="N493" s="803"/>
      <c r="O493" s="475">
        <f t="shared" ref="O493:X493" si="324">SUM(O494:O495)</f>
        <v>0</v>
      </c>
      <c r="P493" s="475">
        <f t="shared" si="324"/>
        <v>0</v>
      </c>
      <c r="Q493" s="475">
        <f t="shared" si="324"/>
        <v>30000</v>
      </c>
      <c r="R493" s="475">
        <f t="shared" si="324"/>
        <v>0</v>
      </c>
      <c r="S493" s="475">
        <f t="shared" si="324"/>
        <v>0</v>
      </c>
      <c r="T493" s="475">
        <f t="shared" si="324"/>
        <v>0</v>
      </c>
      <c r="U493" s="475">
        <f t="shared" si="324"/>
        <v>0</v>
      </c>
      <c r="V493" s="475">
        <f t="shared" si="324"/>
        <v>30000</v>
      </c>
      <c r="W493" s="475">
        <f t="shared" si="324"/>
        <v>0</v>
      </c>
      <c r="X493" s="475">
        <f t="shared" si="324"/>
        <v>0</v>
      </c>
      <c r="Y493" s="475">
        <f t="shared" si="306"/>
        <v>60000</v>
      </c>
    </row>
    <row r="494" spans="1:25" x14ac:dyDescent="0.2">
      <c r="A494" s="23"/>
      <c r="B494" s="1413"/>
      <c r="C494" s="312"/>
      <c r="D494" s="446">
        <v>4210</v>
      </c>
      <c r="E494" s="199" t="s">
        <v>142</v>
      </c>
      <c r="F494" s="615">
        <v>10000</v>
      </c>
      <c r="G494" s="255">
        <v>0</v>
      </c>
      <c r="H494" s="256">
        <f t="shared" si="319"/>
        <v>0</v>
      </c>
      <c r="I494" s="257">
        <v>0</v>
      </c>
      <c r="J494" s="1120">
        <v>10000</v>
      </c>
      <c r="K494" s="353"/>
      <c r="L494" s="258">
        <f>J494+K494</f>
        <v>10000</v>
      </c>
      <c r="M494" s="280">
        <f t="shared" si="289"/>
        <v>1</v>
      </c>
      <c r="N494" s="523" t="s">
        <v>244</v>
      </c>
      <c r="O494" s="392"/>
      <c r="P494" s="392"/>
      <c r="Q494" s="393">
        <f>J494</f>
        <v>10000</v>
      </c>
      <c r="R494" s="392"/>
      <c r="S494" s="392"/>
      <c r="T494" s="393"/>
      <c r="U494" s="393"/>
      <c r="V494" s="393"/>
      <c r="W494" s="393"/>
      <c r="X494" s="393"/>
      <c r="Y494" s="393">
        <f t="shared" si="306"/>
        <v>10000</v>
      </c>
    </row>
    <row r="495" spans="1:25" ht="48.75" x14ac:dyDescent="0.2">
      <c r="A495" s="52"/>
      <c r="B495" s="1448"/>
      <c r="C495" s="240"/>
      <c r="D495" s="446">
        <v>4300</v>
      </c>
      <c r="E495" s="199" t="s">
        <v>143</v>
      </c>
      <c r="F495" s="415">
        <v>102500</v>
      </c>
      <c r="G495" s="100">
        <v>22725.08</v>
      </c>
      <c r="H495" s="256">
        <f t="shared" si="319"/>
        <v>0.22170809756097562</v>
      </c>
      <c r="I495" s="102">
        <v>102500</v>
      </c>
      <c r="J495" s="1112">
        <f>20000+50000</f>
        <v>70000</v>
      </c>
      <c r="K495" s="1217">
        <v>-20000</v>
      </c>
      <c r="L495" s="258">
        <f>J495+K495</f>
        <v>50000</v>
      </c>
      <c r="M495" s="280">
        <f t="shared" si="289"/>
        <v>0.48780487804878048</v>
      </c>
      <c r="N495" s="466" t="s">
        <v>327</v>
      </c>
      <c r="O495" s="392"/>
      <c r="P495" s="392"/>
      <c r="Q495" s="393">
        <v>20000</v>
      </c>
      <c r="R495" s="392"/>
      <c r="S495" s="392"/>
      <c r="T495" s="393"/>
      <c r="U495" s="393"/>
      <c r="V495" s="393">
        <v>30000</v>
      </c>
      <c r="W495" s="393"/>
      <c r="X495" s="393"/>
      <c r="Y495" s="393">
        <f t="shared" si="306"/>
        <v>50000</v>
      </c>
    </row>
    <row r="496" spans="1:25" x14ac:dyDescent="0.2">
      <c r="A496" s="52"/>
      <c r="B496" s="246">
        <v>90002</v>
      </c>
      <c r="C496" s="247"/>
      <c r="D496" s="248"/>
      <c r="E496" s="249" t="s">
        <v>101</v>
      </c>
      <c r="F496" s="317">
        <f>SUM(F497:F506)</f>
        <v>1622676</v>
      </c>
      <c r="G496" s="317">
        <f t="shared" ref="G496:I496" si="325">SUM(G497:G506)</f>
        <v>1050935.3</v>
      </c>
      <c r="H496" s="321">
        <f t="shared" si="319"/>
        <v>0.64765566262149687</v>
      </c>
      <c r="I496" s="317">
        <f t="shared" si="325"/>
        <v>1601086.3800000001</v>
      </c>
      <c r="J496" s="1131">
        <f>SUM(J497:J506)</f>
        <v>2095500</v>
      </c>
      <c r="K496" s="1226">
        <f>SUM(K497:K506)</f>
        <v>143500.00000000003</v>
      </c>
      <c r="L496" s="307">
        <f>SUM(L497:L506)</f>
        <v>2239000</v>
      </c>
      <c r="M496" s="78">
        <f t="shared" si="289"/>
        <v>1.3798195080225504</v>
      </c>
      <c r="N496" s="803"/>
      <c r="O496" s="475">
        <f t="shared" ref="O496:X496" si="326">SUM(O497:O506)</f>
        <v>0</v>
      </c>
      <c r="P496" s="475">
        <f t="shared" si="326"/>
        <v>0</v>
      </c>
      <c r="Q496" s="475">
        <f t="shared" si="326"/>
        <v>2085500</v>
      </c>
      <c r="R496" s="475">
        <f t="shared" si="326"/>
        <v>0</v>
      </c>
      <c r="S496" s="475">
        <f t="shared" si="326"/>
        <v>3400.45</v>
      </c>
      <c r="T496" s="475">
        <f t="shared" si="326"/>
        <v>150099.55000000002</v>
      </c>
      <c r="U496" s="475">
        <f t="shared" si="326"/>
        <v>0</v>
      </c>
      <c r="V496" s="475">
        <f t="shared" si="326"/>
        <v>0</v>
      </c>
      <c r="W496" s="475">
        <f t="shared" si="326"/>
        <v>0</v>
      </c>
      <c r="X496" s="475">
        <f t="shared" si="326"/>
        <v>0</v>
      </c>
      <c r="Y496" s="475">
        <f t="shared" si="306"/>
        <v>2239000</v>
      </c>
    </row>
    <row r="497" spans="1:25" ht="45" x14ac:dyDescent="0.2">
      <c r="A497" s="52"/>
      <c r="B497" s="52"/>
      <c r="C497" s="52"/>
      <c r="D497" s="468">
        <v>2320</v>
      </c>
      <c r="E497" s="125" t="s">
        <v>221</v>
      </c>
      <c r="F497" s="516">
        <v>30000</v>
      </c>
      <c r="G497" s="100">
        <v>30000</v>
      </c>
      <c r="H497" s="101">
        <f t="shared" ref="H497:H533" si="327">G497/F497</f>
        <v>1</v>
      </c>
      <c r="I497" s="102">
        <v>30000</v>
      </c>
      <c r="J497" s="1112">
        <v>30000</v>
      </c>
      <c r="K497" s="58"/>
      <c r="L497" s="59">
        <f>J497+K497</f>
        <v>30000</v>
      </c>
      <c r="M497" s="280">
        <f t="shared" si="289"/>
        <v>1</v>
      </c>
      <c r="N497" s="399" t="s">
        <v>245</v>
      </c>
      <c r="O497" s="392"/>
      <c r="P497" s="392"/>
      <c r="Q497" s="393">
        <v>30000</v>
      </c>
      <c r="R497" s="392"/>
      <c r="S497" s="392"/>
      <c r="T497" s="393"/>
      <c r="U497" s="393"/>
      <c r="V497" s="393"/>
      <c r="W497" s="393"/>
      <c r="X497" s="393"/>
      <c r="Y497" s="393">
        <f t="shared" si="306"/>
        <v>30000</v>
      </c>
    </row>
    <row r="498" spans="1:25" x14ac:dyDescent="0.2">
      <c r="A498" s="52"/>
      <c r="B498" s="52"/>
      <c r="C498" s="159"/>
      <c r="D498" s="309">
        <v>4010</v>
      </c>
      <c r="E498" s="122" t="s">
        <v>139</v>
      </c>
      <c r="F498" s="1165">
        <v>0</v>
      </c>
      <c r="G498" s="100">
        <v>0</v>
      </c>
      <c r="H498" s="101">
        <v>0</v>
      </c>
      <c r="I498" s="102">
        <v>0</v>
      </c>
      <c r="J498" s="1112">
        <v>0</v>
      </c>
      <c r="K498" s="58">
        <v>105245.17</v>
      </c>
      <c r="L498" s="59">
        <f t="shared" ref="L498:L506" si="328">J498+K498</f>
        <v>105245.17</v>
      </c>
      <c r="M498" s="280">
        <v>0</v>
      </c>
      <c r="N498" s="399"/>
      <c r="O498" s="392"/>
      <c r="P498" s="392"/>
      <c r="Q498" s="393"/>
      <c r="R498" s="392"/>
      <c r="S498" s="392"/>
      <c r="T498" s="393">
        <f>L498</f>
        <v>105245.17</v>
      </c>
      <c r="U498" s="393"/>
      <c r="V498" s="393"/>
      <c r="W498" s="393"/>
      <c r="X498" s="393"/>
      <c r="Y498" s="393"/>
    </row>
    <row r="499" spans="1:25" x14ac:dyDescent="0.2">
      <c r="A499" s="52"/>
      <c r="B499" s="52"/>
      <c r="C499" s="333"/>
      <c r="D499" s="468">
        <v>4040</v>
      </c>
      <c r="E499" s="125" t="s">
        <v>169</v>
      </c>
      <c r="F499" s="516">
        <v>0</v>
      </c>
      <c r="G499" s="100">
        <v>0</v>
      </c>
      <c r="H499" s="101">
        <v>0</v>
      </c>
      <c r="I499" s="102">
        <v>0</v>
      </c>
      <c r="J499" s="1112">
        <v>0</v>
      </c>
      <c r="K499" s="58">
        <v>8884.35</v>
      </c>
      <c r="L499" s="59">
        <f t="shared" si="328"/>
        <v>8884.35</v>
      </c>
      <c r="M499" s="280">
        <v>0</v>
      </c>
      <c r="N499" s="399"/>
      <c r="O499" s="392"/>
      <c r="P499" s="392"/>
      <c r="Q499" s="393"/>
      <c r="R499" s="392"/>
      <c r="S499" s="392"/>
      <c r="T499" s="393">
        <f t="shared" ref="T499:T505" si="329">L499</f>
        <v>8884.35</v>
      </c>
      <c r="U499" s="393"/>
      <c r="V499" s="393"/>
      <c r="W499" s="393"/>
      <c r="X499" s="393"/>
      <c r="Y499" s="393"/>
    </row>
    <row r="500" spans="1:25" x14ac:dyDescent="0.2">
      <c r="A500" s="52"/>
      <c r="B500" s="52"/>
      <c r="C500" s="333"/>
      <c r="D500" s="468">
        <v>4110</v>
      </c>
      <c r="E500" s="125" t="s">
        <v>140</v>
      </c>
      <c r="F500" s="516">
        <v>0</v>
      </c>
      <c r="G500" s="56">
        <v>0</v>
      </c>
      <c r="H500" s="57">
        <v>0</v>
      </c>
      <c r="I500" s="58">
        <v>0</v>
      </c>
      <c r="J500" s="1108">
        <v>0</v>
      </c>
      <c r="K500" s="58">
        <v>19618.86</v>
      </c>
      <c r="L500" s="59">
        <f t="shared" si="328"/>
        <v>19618.86</v>
      </c>
      <c r="M500" s="280">
        <v>0</v>
      </c>
      <c r="N500" s="399"/>
      <c r="O500" s="392"/>
      <c r="P500" s="392"/>
      <c r="Q500" s="393"/>
      <c r="R500" s="392"/>
      <c r="S500" s="392"/>
      <c r="T500" s="393">
        <f t="shared" si="329"/>
        <v>19618.86</v>
      </c>
      <c r="U500" s="393"/>
      <c r="V500" s="393"/>
      <c r="W500" s="393"/>
      <c r="X500" s="393"/>
      <c r="Y500" s="393"/>
    </row>
    <row r="501" spans="1:25" x14ac:dyDescent="0.2">
      <c r="A501" s="52"/>
      <c r="B501" s="52"/>
      <c r="C501" s="333"/>
      <c r="D501" s="468">
        <v>4120</v>
      </c>
      <c r="E501" s="125" t="s">
        <v>141</v>
      </c>
      <c r="F501" s="516">
        <v>0</v>
      </c>
      <c r="G501" s="100">
        <v>0</v>
      </c>
      <c r="H501" s="101">
        <v>0</v>
      </c>
      <c r="I501" s="102">
        <v>0</v>
      </c>
      <c r="J501" s="1112">
        <v>0</v>
      </c>
      <c r="K501" s="58">
        <v>2796.17</v>
      </c>
      <c r="L501" s="59">
        <f t="shared" si="328"/>
        <v>2796.17</v>
      </c>
      <c r="M501" s="280">
        <v>0</v>
      </c>
      <c r="N501" s="399"/>
      <c r="O501" s="392"/>
      <c r="P501" s="392"/>
      <c r="Q501" s="393"/>
      <c r="R501" s="392"/>
      <c r="S501" s="392"/>
      <c r="T501" s="393">
        <f t="shared" si="329"/>
        <v>2796.17</v>
      </c>
      <c r="U501" s="393"/>
      <c r="V501" s="393"/>
      <c r="W501" s="393"/>
      <c r="X501" s="393"/>
      <c r="Y501" s="393"/>
    </row>
    <row r="502" spans="1:25" ht="19.5" x14ac:dyDescent="0.2">
      <c r="A502" s="52"/>
      <c r="B502" s="52"/>
      <c r="C502" s="333"/>
      <c r="D502" s="468">
        <v>4210</v>
      </c>
      <c r="E502" s="125" t="s">
        <v>142</v>
      </c>
      <c r="F502" s="126">
        <v>30000</v>
      </c>
      <c r="G502" s="56">
        <v>4461.7</v>
      </c>
      <c r="H502" s="57">
        <f>G502/F502</f>
        <v>0.14872333333333332</v>
      </c>
      <c r="I502" s="58">
        <v>24461.7</v>
      </c>
      <c r="J502" s="1108">
        <f>10000+20000</f>
        <v>30000</v>
      </c>
      <c r="K502" s="58"/>
      <c r="L502" s="59">
        <f t="shared" ref="L502:L504" si="330">J502+K502</f>
        <v>30000</v>
      </c>
      <c r="M502" s="280">
        <f>L502/F502</f>
        <v>1</v>
      </c>
      <c r="N502" s="399" t="s">
        <v>246</v>
      </c>
      <c r="O502" s="392"/>
      <c r="P502" s="392"/>
      <c r="Q502" s="393">
        <f>10000+20000</f>
        <v>30000</v>
      </c>
      <c r="R502" s="392"/>
      <c r="S502" s="879"/>
      <c r="T502" s="393"/>
      <c r="U502" s="393"/>
      <c r="V502" s="393"/>
      <c r="W502" s="393"/>
      <c r="X502" s="393"/>
      <c r="Y502" s="393">
        <f>SUM(O502:X502)</f>
        <v>30000</v>
      </c>
    </row>
    <row r="503" spans="1:25" ht="78" x14ac:dyDescent="0.2">
      <c r="A503" s="52"/>
      <c r="B503" s="52"/>
      <c r="C503" s="240"/>
      <c r="D503" s="446">
        <v>4300</v>
      </c>
      <c r="E503" s="199" t="s">
        <v>143</v>
      </c>
      <c r="F503" s="260">
        <v>1559500</v>
      </c>
      <c r="G503" s="56">
        <v>1016473.6</v>
      </c>
      <c r="H503" s="101">
        <f>G503/F503</f>
        <v>0.6517945495351074</v>
      </c>
      <c r="I503" s="102">
        <f>1515523.08+550.8+550.8+30000</f>
        <v>1546624.6800000002</v>
      </c>
      <c r="J503" s="1112">
        <f>1995500+30000</f>
        <v>2025500</v>
      </c>
      <c r="K503" s="58"/>
      <c r="L503" s="59">
        <f t="shared" si="330"/>
        <v>2025500</v>
      </c>
      <c r="M503" s="280">
        <f>L503/F503</f>
        <v>1.2988137223469061</v>
      </c>
      <c r="N503" s="399" t="s">
        <v>383</v>
      </c>
      <c r="O503" s="392"/>
      <c r="P503" s="392"/>
      <c r="Q503" s="393">
        <v>2025500</v>
      </c>
      <c r="R503" s="392"/>
      <c r="S503" s="879"/>
      <c r="T503" s="393"/>
      <c r="U503" s="393"/>
      <c r="V503" s="393"/>
      <c r="W503" s="393"/>
      <c r="X503" s="393"/>
      <c r="Y503" s="393">
        <f>SUM(O503:X503)</f>
        <v>2025500</v>
      </c>
    </row>
    <row r="504" spans="1:25" ht="19.5" x14ac:dyDescent="0.2">
      <c r="A504" s="52"/>
      <c r="B504" s="52"/>
      <c r="C504" s="53"/>
      <c r="D504" s="398">
        <v>4430</v>
      </c>
      <c r="E504" s="179" t="s">
        <v>145</v>
      </c>
      <c r="F504" s="136">
        <v>3176</v>
      </c>
      <c r="G504" s="56">
        <v>0</v>
      </c>
      <c r="H504" s="101">
        <f>G504/F504</f>
        <v>0</v>
      </c>
      <c r="I504" s="58">
        <v>0</v>
      </c>
      <c r="J504" s="1108">
        <v>10000</v>
      </c>
      <c r="K504" s="263"/>
      <c r="L504" s="138">
        <f t="shared" si="330"/>
        <v>10000</v>
      </c>
      <c r="M504" s="280">
        <f>L504/F504</f>
        <v>3.1486146095717884</v>
      </c>
      <c r="N504" s="399" t="s">
        <v>247</v>
      </c>
      <c r="O504" s="392"/>
      <c r="P504" s="392"/>
      <c r="Q504" s="393"/>
      <c r="R504" s="392"/>
      <c r="S504" s="392"/>
      <c r="T504" s="393">
        <f>L504</f>
        <v>10000</v>
      </c>
      <c r="U504" s="393"/>
      <c r="V504" s="393"/>
      <c r="W504" s="393"/>
      <c r="X504" s="393"/>
      <c r="Y504" s="393">
        <f>SUM(O504:X504)</f>
        <v>10000</v>
      </c>
    </row>
    <row r="505" spans="1:25" ht="22.5" x14ac:dyDescent="0.2">
      <c r="A505" s="52"/>
      <c r="B505" s="52"/>
      <c r="C505" s="333"/>
      <c r="D505" s="468">
        <v>4440</v>
      </c>
      <c r="E505" s="125" t="s">
        <v>191</v>
      </c>
      <c r="F505" s="516">
        <v>0</v>
      </c>
      <c r="G505" s="100">
        <v>0</v>
      </c>
      <c r="H505" s="101">
        <v>0</v>
      </c>
      <c r="I505" s="102">
        <v>0</v>
      </c>
      <c r="J505" s="1112">
        <v>0</v>
      </c>
      <c r="K505" s="58">
        <v>3555</v>
      </c>
      <c r="L505" s="59">
        <f t="shared" si="328"/>
        <v>3555</v>
      </c>
      <c r="M505" s="280">
        <v>0</v>
      </c>
      <c r="N505" s="399"/>
      <c r="O505" s="392"/>
      <c r="P505" s="392"/>
      <c r="Q505" s="393"/>
      <c r="R505" s="392"/>
      <c r="S505" s="392"/>
      <c r="T505" s="393">
        <f t="shared" si="329"/>
        <v>3555</v>
      </c>
      <c r="U505" s="393"/>
      <c r="V505" s="393"/>
      <c r="W505" s="393"/>
      <c r="X505" s="393"/>
      <c r="Y505" s="393"/>
    </row>
    <row r="506" spans="1:25" ht="22.5" x14ac:dyDescent="0.2">
      <c r="A506" s="52"/>
      <c r="B506" s="52"/>
      <c r="C506" s="52"/>
      <c r="D506" s="474">
        <v>4700</v>
      </c>
      <c r="E506" s="122" t="s">
        <v>146</v>
      </c>
      <c r="F506" s="516">
        <v>0</v>
      </c>
      <c r="G506" s="100">
        <v>0</v>
      </c>
      <c r="H506" s="101">
        <v>0</v>
      </c>
      <c r="I506" s="102">
        <v>0</v>
      </c>
      <c r="J506" s="1112">
        <v>0</v>
      </c>
      <c r="K506" s="58">
        <v>3400.45</v>
      </c>
      <c r="L506" s="59">
        <f t="shared" si="328"/>
        <v>3400.45</v>
      </c>
      <c r="M506" s="280">
        <v>0</v>
      </c>
      <c r="N506" s="399"/>
      <c r="O506" s="392"/>
      <c r="P506" s="392"/>
      <c r="Q506" s="393"/>
      <c r="R506" s="392"/>
      <c r="S506" s="392">
        <f>L506</f>
        <v>3400.45</v>
      </c>
      <c r="T506" s="393"/>
      <c r="U506" s="393"/>
      <c r="V506" s="393"/>
      <c r="W506" s="393"/>
      <c r="X506" s="393"/>
      <c r="Y506" s="393"/>
    </row>
    <row r="507" spans="1:25" x14ac:dyDescent="0.2">
      <c r="A507" s="52"/>
      <c r="B507" s="90">
        <v>90003</v>
      </c>
      <c r="C507" s="44"/>
      <c r="D507" s="75"/>
      <c r="E507" s="46" t="s">
        <v>248</v>
      </c>
      <c r="F507" s="244">
        <f>SUM(F508)</f>
        <v>337076</v>
      </c>
      <c r="G507" s="49">
        <f>SUM(G508)</f>
        <v>194607.83</v>
      </c>
      <c r="H507" s="176">
        <f t="shared" si="327"/>
        <v>0.57734110408335204</v>
      </c>
      <c r="I507" s="49">
        <f>SUM(I508)</f>
        <v>265600.25</v>
      </c>
      <c r="J507" s="1107">
        <f>SUM(J508)</f>
        <v>355000</v>
      </c>
      <c r="K507" s="1205">
        <f t="shared" ref="K507:L507" si="331">SUM(K508)</f>
        <v>-70000</v>
      </c>
      <c r="L507" s="50">
        <f t="shared" si="331"/>
        <v>285000</v>
      </c>
      <c r="M507" s="78">
        <f t="shared" si="289"/>
        <v>0.84550665131899039</v>
      </c>
      <c r="N507" s="800"/>
      <c r="O507" s="397">
        <f t="shared" ref="O507:X507" si="332">SUM(O508)</f>
        <v>0</v>
      </c>
      <c r="P507" s="397">
        <f t="shared" si="332"/>
        <v>0</v>
      </c>
      <c r="Q507" s="397">
        <f t="shared" si="332"/>
        <v>0</v>
      </c>
      <c r="R507" s="397">
        <f t="shared" si="332"/>
        <v>0</v>
      </c>
      <c r="S507" s="397">
        <f t="shared" si="332"/>
        <v>0</v>
      </c>
      <c r="T507" s="397">
        <f t="shared" si="332"/>
        <v>0</v>
      </c>
      <c r="U507" s="397">
        <f t="shared" si="332"/>
        <v>0</v>
      </c>
      <c r="V507" s="397">
        <f t="shared" si="332"/>
        <v>285000</v>
      </c>
      <c r="W507" s="397">
        <f t="shared" si="332"/>
        <v>0</v>
      </c>
      <c r="X507" s="397">
        <f t="shared" si="332"/>
        <v>0</v>
      </c>
      <c r="Y507" s="397">
        <f t="shared" si="306"/>
        <v>285000</v>
      </c>
    </row>
    <row r="508" spans="1:25" x14ac:dyDescent="0.2">
      <c r="A508" s="52"/>
      <c r="B508" s="52"/>
      <c r="C508" s="79"/>
      <c r="D508" s="400">
        <v>4300</v>
      </c>
      <c r="E508" s="81" t="s">
        <v>143</v>
      </c>
      <c r="F508" s="201">
        <v>337076</v>
      </c>
      <c r="G508" s="56">
        <v>194607.83</v>
      </c>
      <c r="H508" s="57">
        <f t="shared" si="327"/>
        <v>0.57734110408335204</v>
      </c>
      <c r="I508" s="58">
        <v>265600.25</v>
      </c>
      <c r="J508" s="1108">
        <v>355000</v>
      </c>
      <c r="K508" s="1245">
        <v>-70000</v>
      </c>
      <c r="L508" s="138">
        <f>J508+K508</f>
        <v>285000</v>
      </c>
      <c r="M508" s="280">
        <f t="shared" si="289"/>
        <v>0.84550665131899039</v>
      </c>
      <c r="N508" s="399" t="s">
        <v>131</v>
      </c>
      <c r="O508" s="392"/>
      <c r="P508" s="392"/>
      <c r="Q508" s="393"/>
      <c r="R508" s="392"/>
      <c r="S508" s="392"/>
      <c r="T508" s="393"/>
      <c r="U508" s="393"/>
      <c r="V508" s="393">
        <f>L508</f>
        <v>285000</v>
      </c>
      <c r="W508" s="393"/>
      <c r="X508" s="393"/>
      <c r="Y508" s="393">
        <f t="shared" si="306"/>
        <v>285000</v>
      </c>
    </row>
    <row r="509" spans="1:25" x14ac:dyDescent="0.2">
      <c r="A509" s="52"/>
      <c r="B509" s="246">
        <v>90004</v>
      </c>
      <c r="C509" s="247"/>
      <c r="D509" s="248"/>
      <c r="E509" s="249" t="s">
        <v>249</v>
      </c>
      <c r="F509" s="317">
        <f>SUM(F510:F513)</f>
        <v>168502.27</v>
      </c>
      <c r="G509" s="317">
        <f t="shared" ref="G509:I509" si="333">SUM(G510:G513)</f>
        <v>51798.04</v>
      </c>
      <c r="H509" s="176">
        <f t="shared" si="327"/>
        <v>0.30740262430885951</v>
      </c>
      <c r="I509" s="317">
        <f t="shared" si="333"/>
        <v>121288.01</v>
      </c>
      <c r="J509" s="1131">
        <f>SUM(J510:J513)</f>
        <v>163200</v>
      </c>
      <c r="K509" s="1226">
        <f t="shared" ref="K509:L509" si="334">SUM(K510:K513)</f>
        <v>-25000</v>
      </c>
      <c r="L509" s="307">
        <f t="shared" si="334"/>
        <v>138200</v>
      </c>
      <c r="M509" s="78">
        <f t="shared" si="289"/>
        <v>0.82016699240906377</v>
      </c>
      <c r="N509" s="803"/>
      <c r="O509" s="475">
        <f>SUM(O510:O513)</f>
        <v>10200</v>
      </c>
      <c r="P509" s="475">
        <f t="shared" ref="P509:X509" si="335">SUM(P510:P513)</f>
        <v>0</v>
      </c>
      <c r="Q509" s="475">
        <f t="shared" si="335"/>
        <v>100000</v>
      </c>
      <c r="R509" s="475">
        <f t="shared" si="335"/>
        <v>0</v>
      </c>
      <c r="S509" s="475">
        <f t="shared" si="335"/>
        <v>0</v>
      </c>
      <c r="T509" s="475">
        <f t="shared" si="335"/>
        <v>0</v>
      </c>
      <c r="U509" s="475">
        <f t="shared" si="335"/>
        <v>0</v>
      </c>
      <c r="V509" s="475">
        <f t="shared" si="335"/>
        <v>28000</v>
      </c>
      <c r="W509" s="475">
        <f t="shared" si="335"/>
        <v>0</v>
      </c>
      <c r="X509" s="475">
        <f t="shared" si="335"/>
        <v>0</v>
      </c>
      <c r="Y509" s="475">
        <f t="shared" si="306"/>
        <v>138200</v>
      </c>
    </row>
    <row r="510" spans="1:25" ht="19.5" x14ac:dyDescent="0.2">
      <c r="A510" s="52"/>
      <c r="B510" s="52"/>
      <c r="C510" s="333"/>
      <c r="D510" s="468">
        <v>4210</v>
      </c>
      <c r="E510" s="125" t="s">
        <v>142</v>
      </c>
      <c r="F510" s="126">
        <v>63802.27</v>
      </c>
      <c r="G510" s="56">
        <v>19604.240000000002</v>
      </c>
      <c r="H510" s="57">
        <f t="shared" si="327"/>
        <v>0.30726555653897586</v>
      </c>
      <c r="I510" s="58">
        <v>29094.21</v>
      </c>
      <c r="J510" s="1108">
        <f>50000+21000+9200</f>
        <v>80200</v>
      </c>
      <c r="K510" s="1216">
        <v>-10000</v>
      </c>
      <c r="L510" s="59">
        <f>J510+K510</f>
        <v>70200</v>
      </c>
      <c r="M510" s="280">
        <f t="shared" si="289"/>
        <v>1.1002743319320771</v>
      </c>
      <c r="N510" s="399" t="s">
        <v>411</v>
      </c>
      <c r="O510" s="392">
        <v>9200</v>
      </c>
      <c r="P510" s="392"/>
      <c r="Q510" s="393">
        <v>50000</v>
      </c>
      <c r="R510" s="392"/>
      <c r="S510" s="392"/>
      <c r="T510" s="393"/>
      <c r="U510" s="393"/>
      <c r="V510" s="393">
        <f>21000-10000</f>
        <v>11000</v>
      </c>
      <c r="W510" s="393"/>
      <c r="X510" s="393"/>
      <c r="Y510" s="393">
        <f t="shared" si="306"/>
        <v>70200</v>
      </c>
    </row>
    <row r="511" spans="1:25" ht="19.5" x14ac:dyDescent="0.2">
      <c r="A511" s="52"/>
      <c r="B511" s="52"/>
      <c r="C511" s="333"/>
      <c r="D511" s="468">
        <v>4260</v>
      </c>
      <c r="E511" s="125" t="s">
        <v>149</v>
      </c>
      <c r="F511" s="126">
        <v>2000</v>
      </c>
      <c r="G511" s="56">
        <v>548.39</v>
      </c>
      <c r="H511" s="57">
        <f t="shared" si="327"/>
        <v>0.27419499999999997</v>
      </c>
      <c r="I511" s="58">
        <v>548.39</v>
      </c>
      <c r="J511" s="1108">
        <v>2000</v>
      </c>
      <c r="K511" s="58"/>
      <c r="L511" s="59">
        <f t="shared" ref="L511:L513" si="336">J511+K511</f>
        <v>2000</v>
      </c>
      <c r="M511" s="280">
        <f t="shared" si="289"/>
        <v>1</v>
      </c>
      <c r="N511" s="466" t="s">
        <v>250</v>
      </c>
      <c r="O511" s="392"/>
      <c r="P511" s="392"/>
      <c r="Q511" s="393"/>
      <c r="R511" s="392"/>
      <c r="S511" s="392"/>
      <c r="T511" s="393"/>
      <c r="U511" s="393"/>
      <c r="V511" s="393">
        <v>2000</v>
      </c>
      <c r="W511" s="393"/>
      <c r="X511" s="393"/>
      <c r="Y511" s="393">
        <f t="shared" si="306"/>
        <v>2000</v>
      </c>
    </row>
    <row r="512" spans="1:25" ht="68.25" x14ac:dyDescent="0.2">
      <c r="A512" s="52"/>
      <c r="B512" s="159"/>
      <c r="C512" s="159"/>
      <c r="D512" s="309">
        <v>4300</v>
      </c>
      <c r="E512" s="122" t="s">
        <v>143</v>
      </c>
      <c r="F512" s="204">
        <v>90700</v>
      </c>
      <c r="G512" s="100">
        <v>19645.419999999998</v>
      </c>
      <c r="H512" s="101">
        <f t="shared" si="327"/>
        <v>0.21659779492833514</v>
      </c>
      <c r="I512" s="102">
        <v>79645.42</v>
      </c>
      <c r="J512" s="1112">
        <f>50000+30000+1000</f>
        <v>81000</v>
      </c>
      <c r="K512" s="1227">
        <v>-15000</v>
      </c>
      <c r="L512" s="59">
        <f t="shared" si="336"/>
        <v>66000</v>
      </c>
      <c r="M512" s="280">
        <f t="shared" si="289"/>
        <v>0.72767364939360524</v>
      </c>
      <c r="N512" s="466" t="s">
        <v>412</v>
      </c>
      <c r="O512" s="392">
        <v>1000</v>
      </c>
      <c r="P512" s="392"/>
      <c r="Q512" s="393">
        <v>50000</v>
      </c>
      <c r="R512" s="392"/>
      <c r="S512" s="392"/>
      <c r="T512" s="393"/>
      <c r="U512" s="393"/>
      <c r="V512" s="393">
        <f>30000-15000</f>
        <v>15000</v>
      </c>
      <c r="W512" s="393"/>
      <c r="X512" s="393"/>
      <c r="Y512" s="393">
        <f t="shared" si="306"/>
        <v>66000</v>
      </c>
    </row>
    <row r="513" spans="1:25" ht="22.5" x14ac:dyDescent="0.2">
      <c r="A513" s="52"/>
      <c r="B513" s="333"/>
      <c r="C513" s="333"/>
      <c r="D513" s="468">
        <v>6060</v>
      </c>
      <c r="E513" s="212" t="s">
        <v>164</v>
      </c>
      <c r="F513" s="935">
        <v>12000</v>
      </c>
      <c r="G513" s="94">
        <v>11999.99</v>
      </c>
      <c r="H513" s="57">
        <f t="shared" si="327"/>
        <v>0.99999916666666666</v>
      </c>
      <c r="I513" s="94">
        <v>11999.99</v>
      </c>
      <c r="J513" s="1108">
        <v>0</v>
      </c>
      <c r="K513" s="58"/>
      <c r="L513" s="59">
        <f t="shared" si="336"/>
        <v>0</v>
      </c>
      <c r="M513" s="280">
        <f t="shared" si="289"/>
        <v>0</v>
      </c>
      <c r="N513" s="399"/>
      <c r="O513" s="392"/>
      <c r="P513" s="392"/>
      <c r="Q513" s="393"/>
      <c r="R513" s="392"/>
      <c r="S513" s="392"/>
      <c r="T513" s="393"/>
      <c r="U513" s="393"/>
      <c r="V513" s="393"/>
      <c r="W513" s="393"/>
      <c r="X513" s="393"/>
      <c r="Y513" s="393">
        <f t="shared" si="306"/>
        <v>0</v>
      </c>
    </row>
    <row r="514" spans="1:25" x14ac:dyDescent="0.2">
      <c r="A514" s="52"/>
      <c r="B514" s="111">
        <v>90013</v>
      </c>
      <c r="C514" s="186"/>
      <c r="D514" s="45"/>
      <c r="E514" s="76" t="s">
        <v>251</v>
      </c>
      <c r="F514" s="187">
        <f>SUM(F515:F518)</f>
        <v>136600</v>
      </c>
      <c r="G514" s="187">
        <f t="shared" ref="G514:I514" si="337">SUM(G515:G518)</f>
        <v>131800</v>
      </c>
      <c r="H514" s="176">
        <f t="shared" si="327"/>
        <v>0.96486090775988287</v>
      </c>
      <c r="I514" s="187">
        <f t="shared" si="337"/>
        <v>133600</v>
      </c>
      <c r="J514" s="1132">
        <f>SUM(J515:J518)</f>
        <v>125000</v>
      </c>
      <c r="K514" s="1228">
        <f t="shared" ref="K514:L514" si="338">SUM(K515:K518)</f>
        <v>0</v>
      </c>
      <c r="L514" s="116">
        <f t="shared" si="338"/>
        <v>125000</v>
      </c>
      <c r="M514" s="78">
        <f t="shared" si="289"/>
        <v>0.91508052708638365</v>
      </c>
      <c r="N514" s="817"/>
      <c r="O514" s="444">
        <f t="shared" ref="O514:X514" si="339">SUM(O515:O517)</f>
        <v>0</v>
      </c>
      <c r="P514" s="444">
        <f t="shared" si="339"/>
        <v>0</v>
      </c>
      <c r="Q514" s="444">
        <f t="shared" si="339"/>
        <v>0</v>
      </c>
      <c r="R514" s="444"/>
      <c r="S514" s="444"/>
      <c r="T514" s="444">
        <f t="shared" si="339"/>
        <v>125000</v>
      </c>
      <c r="U514" s="444">
        <f t="shared" si="339"/>
        <v>0</v>
      </c>
      <c r="V514" s="444">
        <f t="shared" si="339"/>
        <v>0</v>
      </c>
      <c r="W514" s="444">
        <f t="shared" si="339"/>
        <v>0</v>
      </c>
      <c r="X514" s="444">
        <f t="shared" si="339"/>
        <v>0</v>
      </c>
      <c r="Y514" s="444">
        <f t="shared" si="306"/>
        <v>125000</v>
      </c>
    </row>
    <row r="515" spans="1:25" ht="45" x14ac:dyDescent="0.2">
      <c r="A515" s="52"/>
      <c r="B515" s="52"/>
      <c r="C515" s="53"/>
      <c r="D515" s="398">
        <v>2310</v>
      </c>
      <c r="E515" s="25" t="s">
        <v>252</v>
      </c>
      <c r="F515" s="55">
        <v>111800</v>
      </c>
      <c r="G515" s="56">
        <v>111800</v>
      </c>
      <c r="H515" s="57">
        <f t="shared" si="327"/>
        <v>1</v>
      </c>
      <c r="I515" s="58">
        <v>111800</v>
      </c>
      <c r="J515" s="1108">
        <v>120000</v>
      </c>
      <c r="K515" s="58"/>
      <c r="L515" s="59">
        <f>J515+K515</f>
        <v>120000</v>
      </c>
      <c r="M515" s="280">
        <f t="shared" si="289"/>
        <v>1.0733452593917709</v>
      </c>
      <c r="N515" s="399" t="s">
        <v>253</v>
      </c>
      <c r="O515" s="392"/>
      <c r="P515" s="392"/>
      <c r="Q515" s="393"/>
      <c r="R515" s="392"/>
      <c r="S515" s="392"/>
      <c r="T515" s="393">
        <v>120000</v>
      </c>
      <c r="U515" s="393"/>
      <c r="V515" s="393"/>
      <c r="W515" s="393"/>
      <c r="X515" s="393"/>
      <c r="Y515" s="393">
        <f t="shared" si="306"/>
        <v>120000</v>
      </c>
    </row>
    <row r="516" spans="1:25" x14ac:dyDescent="0.2">
      <c r="A516" s="52"/>
      <c r="B516" s="52"/>
      <c r="C516" s="53"/>
      <c r="D516" s="398">
        <v>4210</v>
      </c>
      <c r="E516" s="25" t="s">
        <v>142</v>
      </c>
      <c r="F516" s="55">
        <v>1000</v>
      </c>
      <c r="G516" s="56">
        <v>0</v>
      </c>
      <c r="H516" s="57">
        <f t="shared" si="327"/>
        <v>0</v>
      </c>
      <c r="I516" s="58">
        <v>1000</v>
      </c>
      <c r="J516" s="1108">
        <v>1000</v>
      </c>
      <c r="K516" s="58"/>
      <c r="L516" s="59">
        <f t="shared" ref="L516:L517" si="340">J516+K516</f>
        <v>1000</v>
      </c>
      <c r="M516" s="280">
        <f t="shared" si="289"/>
        <v>1</v>
      </c>
      <c r="N516" s="399" t="s">
        <v>254</v>
      </c>
      <c r="O516" s="392"/>
      <c r="P516" s="392"/>
      <c r="Q516" s="878"/>
      <c r="R516" s="392"/>
      <c r="S516" s="392"/>
      <c r="T516" s="878">
        <v>1000</v>
      </c>
      <c r="U516" s="393"/>
      <c r="V516" s="393"/>
      <c r="W516" s="393"/>
      <c r="X516" s="393"/>
      <c r="Y516" s="393">
        <f t="shared" si="306"/>
        <v>1000</v>
      </c>
    </row>
    <row r="517" spans="1:25" x14ac:dyDescent="0.2">
      <c r="A517" s="52"/>
      <c r="B517" s="52"/>
      <c r="C517" s="203"/>
      <c r="D517" s="402">
        <v>4300</v>
      </c>
      <c r="E517" s="119" t="s">
        <v>143</v>
      </c>
      <c r="F517" s="120">
        <v>3800</v>
      </c>
      <c r="G517" s="56">
        <v>0</v>
      </c>
      <c r="H517" s="57">
        <f t="shared" si="327"/>
        <v>0</v>
      </c>
      <c r="I517" s="58">
        <v>800</v>
      </c>
      <c r="J517" s="1108">
        <v>4000</v>
      </c>
      <c r="K517" s="58"/>
      <c r="L517" s="59">
        <f t="shared" si="340"/>
        <v>4000</v>
      </c>
      <c r="M517" s="280">
        <f t="shared" si="289"/>
        <v>1.0526315789473684</v>
      </c>
      <c r="N517" s="399" t="s">
        <v>254</v>
      </c>
      <c r="O517" s="392"/>
      <c r="P517" s="392"/>
      <c r="Q517" s="878"/>
      <c r="R517" s="392"/>
      <c r="S517" s="392"/>
      <c r="T517" s="878">
        <v>4000</v>
      </c>
      <c r="U517" s="393"/>
      <c r="V517" s="393"/>
      <c r="W517" s="393"/>
      <c r="X517" s="393"/>
      <c r="Y517" s="393">
        <f t="shared" si="306"/>
        <v>4000</v>
      </c>
    </row>
    <row r="518" spans="1:25" ht="45" x14ac:dyDescent="0.2">
      <c r="A518" s="52"/>
      <c r="B518" s="52"/>
      <c r="C518" s="240"/>
      <c r="D518" s="446">
        <v>6300</v>
      </c>
      <c r="E518" s="1381" t="s">
        <v>153</v>
      </c>
      <c r="F518" s="1382">
        <v>20000</v>
      </c>
      <c r="G518" s="162">
        <v>20000</v>
      </c>
      <c r="H518" s="101">
        <f t="shared" si="327"/>
        <v>1</v>
      </c>
      <c r="I518" s="137">
        <v>20000</v>
      </c>
      <c r="J518" s="1109">
        <v>0</v>
      </c>
      <c r="K518" s="263"/>
      <c r="L518" s="138">
        <v>0</v>
      </c>
      <c r="M518" s="259">
        <f t="shared" si="289"/>
        <v>0</v>
      </c>
      <c r="N518" s="403"/>
      <c r="O518" s="414"/>
      <c r="P518" s="414"/>
      <c r="Q518" s="929"/>
      <c r="R518" s="414"/>
      <c r="S518" s="414"/>
      <c r="T518" s="929"/>
      <c r="U518" s="930"/>
      <c r="V518" s="930"/>
      <c r="W518" s="930"/>
      <c r="X518" s="930"/>
      <c r="Y518" s="393">
        <f t="shared" si="306"/>
        <v>0</v>
      </c>
    </row>
    <row r="519" spans="1:25" x14ac:dyDescent="0.2">
      <c r="A519" s="52"/>
      <c r="B519" s="246">
        <v>90015</v>
      </c>
      <c r="C519" s="247"/>
      <c r="D519" s="248"/>
      <c r="E519" s="249" t="s">
        <v>255</v>
      </c>
      <c r="F519" s="317">
        <f>SUM(F520:F522)</f>
        <v>1151200</v>
      </c>
      <c r="G519" s="317">
        <f t="shared" ref="G519:I519" si="341">SUM(G520:G522)</f>
        <v>654326.85</v>
      </c>
      <c r="H519" s="176">
        <f t="shared" si="327"/>
        <v>0.56838677032661566</v>
      </c>
      <c r="I519" s="317">
        <f t="shared" si="341"/>
        <v>1001504.92</v>
      </c>
      <c r="J519" s="1131">
        <f>SUM(J520:J522)</f>
        <v>922000</v>
      </c>
      <c r="K519" s="1226">
        <f t="shared" ref="K519:L519" si="342">SUM(K520:K522)</f>
        <v>-70000</v>
      </c>
      <c r="L519" s="307">
        <f t="shared" si="342"/>
        <v>852000</v>
      </c>
      <c r="M519" s="78">
        <f t="shared" si="289"/>
        <v>0.74009728978457257</v>
      </c>
      <c r="N519" s="800"/>
      <c r="O519" s="397">
        <f t="shared" ref="O519:X519" si="343">SUM(O520:O522)</f>
        <v>2000</v>
      </c>
      <c r="P519" s="397">
        <f t="shared" si="343"/>
        <v>0</v>
      </c>
      <c r="Q519" s="397">
        <f t="shared" si="343"/>
        <v>0</v>
      </c>
      <c r="R519" s="397">
        <f t="shared" si="343"/>
        <v>0</v>
      </c>
      <c r="S519" s="397">
        <f t="shared" si="343"/>
        <v>0</v>
      </c>
      <c r="T519" s="397">
        <f t="shared" si="343"/>
        <v>0</v>
      </c>
      <c r="U519" s="397">
        <f t="shared" si="343"/>
        <v>0</v>
      </c>
      <c r="V519" s="397">
        <f t="shared" si="343"/>
        <v>850000</v>
      </c>
      <c r="W519" s="397">
        <f t="shared" si="343"/>
        <v>0</v>
      </c>
      <c r="X519" s="397">
        <f t="shared" si="343"/>
        <v>0</v>
      </c>
      <c r="Y519" s="397">
        <f>SUM(O519:X519)</f>
        <v>852000</v>
      </c>
    </row>
    <row r="520" spans="1:25" x14ac:dyDescent="0.2">
      <c r="A520" s="52"/>
      <c r="B520" s="52"/>
      <c r="C520" s="240"/>
      <c r="D520" s="446">
        <v>4260</v>
      </c>
      <c r="E520" s="199" t="s">
        <v>149</v>
      </c>
      <c r="F520" s="200">
        <v>600000</v>
      </c>
      <c r="G520" s="100">
        <v>397767.86</v>
      </c>
      <c r="H520" s="101">
        <f t="shared" si="327"/>
        <v>0.66294643333333336</v>
      </c>
      <c r="I520" s="102">
        <v>542699.81000000006</v>
      </c>
      <c r="J520" s="1112">
        <v>620000</v>
      </c>
      <c r="K520" s="1217">
        <v>-50000</v>
      </c>
      <c r="L520" s="103">
        <f>J520+K520</f>
        <v>570000</v>
      </c>
      <c r="M520" s="259">
        <f t="shared" si="289"/>
        <v>0.95</v>
      </c>
      <c r="N520" s="399" t="s">
        <v>131</v>
      </c>
      <c r="O520" s="392"/>
      <c r="P520" s="392"/>
      <c r="Q520" s="393"/>
      <c r="R520" s="392"/>
      <c r="S520" s="392"/>
      <c r="T520" s="393"/>
      <c r="U520" s="393"/>
      <c r="V520" s="393">
        <f>L520</f>
        <v>570000</v>
      </c>
      <c r="W520" s="393"/>
      <c r="X520" s="393"/>
      <c r="Y520" s="393">
        <f>SUM(O520:X520)</f>
        <v>570000</v>
      </c>
    </row>
    <row r="521" spans="1:25" ht="29.25" x14ac:dyDescent="0.2">
      <c r="A521" s="52"/>
      <c r="B521" s="52"/>
      <c r="C521" s="203"/>
      <c r="D521" s="402">
        <v>4300</v>
      </c>
      <c r="E521" s="119" t="s">
        <v>143</v>
      </c>
      <c r="F521" s="140">
        <v>396700</v>
      </c>
      <c r="G521" s="56">
        <v>189536.74</v>
      </c>
      <c r="H521" s="101">
        <f t="shared" si="327"/>
        <v>0.47778356440635239</v>
      </c>
      <c r="I521" s="58">
        <v>304305.11</v>
      </c>
      <c r="J521" s="1108">
        <f>300000+2000</f>
        <v>302000</v>
      </c>
      <c r="K521" s="1206">
        <v>-20000</v>
      </c>
      <c r="L521" s="59">
        <f t="shared" ref="L521:L522" si="344">J521+K521</f>
        <v>282000</v>
      </c>
      <c r="M521" s="280">
        <f t="shared" si="289"/>
        <v>0.71086463322409876</v>
      </c>
      <c r="N521" s="399" t="s">
        <v>413</v>
      </c>
      <c r="O521" s="392">
        <v>2000</v>
      </c>
      <c r="P521" s="392"/>
      <c r="Q521" s="393"/>
      <c r="R521" s="392"/>
      <c r="S521" s="392"/>
      <c r="T521" s="393"/>
      <c r="U521" s="393"/>
      <c r="V521" s="393">
        <v>280000</v>
      </c>
      <c r="W521" s="393"/>
      <c r="X521" s="393"/>
      <c r="Y521" s="393">
        <f t="shared" ref="Y521:Y522" si="345">SUM(O521:X521)</f>
        <v>282000</v>
      </c>
    </row>
    <row r="522" spans="1:25" x14ac:dyDescent="0.2">
      <c r="A522" s="52"/>
      <c r="B522" s="52"/>
      <c r="C522" s="159"/>
      <c r="D522" s="309">
        <v>6050</v>
      </c>
      <c r="E522" s="122" t="s">
        <v>147</v>
      </c>
      <c r="F522" s="616">
        <v>154500</v>
      </c>
      <c r="G522" s="162">
        <v>67022.25</v>
      </c>
      <c r="H522" s="101">
        <f t="shared" si="327"/>
        <v>0.43380097087378638</v>
      </c>
      <c r="I522" s="162">
        <v>154500</v>
      </c>
      <c r="J522" s="1112">
        <v>0</v>
      </c>
      <c r="K522" s="58"/>
      <c r="L522" s="59">
        <f t="shared" si="344"/>
        <v>0</v>
      </c>
      <c r="M522" s="280">
        <f t="shared" si="289"/>
        <v>0</v>
      </c>
      <c r="N522" s="466"/>
      <c r="O522" s="392"/>
      <c r="P522" s="392"/>
      <c r="Q522" s="393"/>
      <c r="R522" s="392"/>
      <c r="S522" s="392"/>
      <c r="T522" s="393"/>
      <c r="U522" s="393"/>
      <c r="V522" s="393"/>
      <c r="W522" s="393"/>
      <c r="X522" s="393"/>
      <c r="Y522" s="393">
        <f t="shared" si="345"/>
        <v>0</v>
      </c>
    </row>
    <row r="523" spans="1:25" ht="33.75" x14ac:dyDescent="0.2">
      <c r="A523" s="52"/>
      <c r="B523" s="188">
        <v>90019</v>
      </c>
      <c r="C523" s="426"/>
      <c r="D523" s="152"/>
      <c r="E523" s="272" t="s">
        <v>104</v>
      </c>
      <c r="F523" s="273">
        <f>F524</f>
        <v>0</v>
      </c>
      <c r="G523" s="156">
        <f>G524</f>
        <v>0</v>
      </c>
      <c r="H523" s="578">
        <v>0</v>
      </c>
      <c r="I523" s="156">
        <f>I524</f>
        <v>0</v>
      </c>
      <c r="J523" s="1126">
        <f>J524</f>
        <v>10000</v>
      </c>
      <c r="K523" s="1221">
        <f t="shared" ref="K523:L523" si="346">K524</f>
        <v>0</v>
      </c>
      <c r="L523" s="158">
        <f t="shared" si="346"/>
        <v>10000</v>
      </c>
      <c r="M523" s="78">
        <v>0</v>
      </c>
      <c r="N523" s="810" t="str">
        <f t="shared" ref="N523:X523" si="347">N524</f>
        <v>OŚ</v>
      </c>
      <c r="O523" s="528">
        <f t="shared" si="347"/>
        <v>0</v>
      </c>
      <c r="P523" s="528">
        <f t="shared" si="347"/>
        <v>0</v>
      </c>
      <c r="Q523" s="528">
        <f t="shared" si="347"/>
        <v>10000</v>
      </c>
      <c r="R523" s="528">
        <f t="shared" si="347"/>
        <v>0</v>
      </c>
      <c r="S523" s="528">
        <f t="shared" si="347"/>
        <v>0</v>
      </c>
      <c r="T523" s="528">
        <f t="shared" si="347"/>
        <v>0</v>
      </c>
      <c r="U523" s="528">
        <f t="shared" si="347"/>
        <v>0</v>
      </c>
      <c r="V523" s="528">
        <f t="shared" si="347"/>
        <v>0</v>
      </c>
      <c r="W523" s="528">
        <f t="shared" si="347"/>
        <v>0</v>
      </c>
      <c r="X523" s="528">
        <f t="shared" si="347"/>
        <v>0</v>
      </c>
      <c r="Y523" s="528">
        <f t="shared" ref="Y523:Y529" si="348">SUM(O523:X523)</f>
        <v>10000</v>
      </c>
    </row>
    <row r="524" spans="1:25" x14ac:dyDescent="0.2">
      <c r="A524" s="52"/>
      <c r="B524" s="52"/>
      <c r="C524" s="240"/>
      <c r="D524" s="446">
        <v>4430</v>
      </c>
      <c r="E524" s="199" t="s">
        <v>145</v>
      </c>
      <c r="F524" s="445">
        <v>0</v>
      </c>
      <c r="G524" s="100">
        <v>0</v>
      </c>
      <c r="H524" s="101">
        <v>0</v>
      </c>
      <c r="I524" s="102">
        <v>0</v>
      </c>
      <c r="J524" s="1112">
        <v>10000</v>
      </c>
      <c r="K524" s="263"/>
      <c r="L524" s="138">
        <f>J524+K524</f>
        <v>10000</v>
      </c>
      <c r="M524" s="280">
        <v>0</v>
      </c>
      <c r="N524" s="466" t="s">
        <v>245</v>
      </c>
      <c r="O524" s="392"/>
      <c r="P524" s="392"/>
      <c r="Q524" s="393">
        <v>10000</v>
      </c>
      <c r="R524" s="392"/>
      <c r="S524" s="392"/>
      <c r="T524" s="393"/>
      <c r="U524" s="393"/>
      <c r="V524" s="393"/>
      <c r="W524" s="393"/>
      <c r="X524" s="393"/>
      <c r="Y524" s="393">
        <f t="shared" si="348"/>
        <v>10000</v>
      </c>
    </row>
    <row r="525" spans="1:25" x14ac:dyDescent="0.2">
      <c r="A525" s="52"/>
      <c r="B525" s="246">
        <v>90095</v>
      </c>
      <c r="C525" s="247"/>
      <c r="D525" s="248"/>
      <c r="E525" s="249" t="s">
        <v>14</v>
      </c>
      <c r="F525" s="317">
        <f>SUM(F526:F533)</f>
        <v>212179</v>
      </c>
      <c r="G525" s="317">
        <f t="shared" ref="G525:I525" si="349">SUM(G526:G533)</f>
        <v>65156.22</v>
      </c>
      <c r="H525" s="578">
        <f>G525/F525</f>
        <v>0.30708137940135455</v>
      </c>
      <c r="I525" s="317">
        <f t="shared" si="349"/>
        <v>163788.22999999998</v>
      </c>
      <c r="J525" s="1131">
        <f>SUM(J526:J533)</f>
        <v>131053</v>
      </c>
      <c r="K525" s="1226">
        <f t="shared" ref="K525:L525" si="350">SUM(K526:K533)</f>
        <v>-20000</v>
      </c>
      <c r="L525" s="307">
        <f t="shared" si="350"/>
        <v>111053</v>
      </c>
      <c r="M525" s="78">
        <f t="shared" ref="M525:M583" si="351">L525/F525</f>
        <v>0.52339298422558311</v>
      </c>
      <c r="N525" s="964">
        <f t="shared" ref="N525:X525" si="352">SUM(N526:N533)</f>
        <v>0</v>
      </c>
      <c r="O525" s="306">
        <f t="shared" si="352"/>
        <v>0</v>
      </c>
      <c r="P525" s="306">
        <f t="shared" si="352"/>
        <v>0</v>
      </c>
      <c r="Q525" s="306">
        <f t="shared" si="352"/>
        <v>5000</v>
      </c>
      <c r="R525" s="306">
        <f t="shared" si="352"/>
        <v>0</v>
      </c>
      <c r="S525" s="306">
        <f t="shared" si="352"/>
        <v>0</v>
      </c>
      <c r="T525" s="306">
        <f t="shared" si="352"/>
        <v>23053</v>
      </c>
      <c r="U525" s="306">
        <f t="shared" si="352"/>
        <v>0</v>
      </c>
      <c r="V525" s="306">
        <f t="shared" si="352"/>
        <v>83000</v>
      </c>
      <c r="W525" s="306">
        <f t="shared" si="352"/>
        <v>0</v>
      </c>
      <c r="X525" s="306">
        <f t="shared" si="352"/>
        <v>0</v>
      </c>
      <c r="Y525" s="475">
        <f t="shared" si="348"/>
        <v>111053</v>
      </c>
    </row>
    <row r="526" spans="1:25" s="586" customFormat="1" x14ac:dyDescent="0.2">
      <c r="A526" s="23"/>
      <c r="B526" s="274"/>
      <c r="C526" s="312"/>
      <c r="D526" s="944">
        <v>4110</v>
      </c>
      <c r="E526" s="211" t="s">
        <v>140</v>
      </c>
      <c r="F526" s="352">
        <v>3679</v>
      </c>
      <c r="G526" s="463">
        <v>1388.8</v>
      </c>
      <c r="H526" s="551">
        <f>G526/F526</f>
        <v>0.37749388420766511</v>
      </c>
      <c r="I526" s="278">
        <v>1388.8</v>
      </c>
      <c r="J526" s="1141">
        <v>3312</v>
      </c>
      <c r="K526" s="1234"/>
      <c r="L526" s="279">
        <f>J526+K526</f>
        <v>3312</v>
      </c>
      <c r="M526" s="280">
        <f t="shared" si="351"/>
        <v>0.90024463169339497</v>
      </c>
      <c r="N526" s="810"/>
      <c r="O526" s="464"/>
      <c r="P526" s="464"/>
      <c r="Q526" s="464"/>
      <c r="R526" s="464"/>
      <c r="S526" s="464"/>
      <c r="T526" s="464">
        <f>J526</f>
        <v>3312</v>
      </c>
      <c r="U526" s="464"/>
      <c r="V526" s="464"/>
      <c r="W526" s="464"/>
      <c r="X526" s="464"/>
      <c r="Y526" s="464">
        <f t="shared" si="348"/>
        <v>3312</v>
      </c>
    </row>
    <row r="527" spans="1:25" s="586" customFormat="1" x14ac:dyDescent="0.2">
      <c r="A527" s="23"/>
      <c r="B527" s="274"/>
      <c r="C527" s="312"/>
      <c r="D527" s="295">
        <v>4120</v>
      </c>
      <c r="E527" s="213" t="s">
        <v>141</v>
      </c>
      <c r="F527" s="352">
        <v>0</v>
      </c>
      <c r="G527" s="463">
        <v>0</v>
      </c>
      <c r="H527" s="551">
        <v>0</v>
      </c>
      <c r="I527" s="278">
        <v>0</v>
      </c>
      <c r="J527" s="1141">
        <v>472</v>
      </c>
      <c r="K527" s="1234"/>
      <c r="L527" s="279">
        <f t="shared" ref="L527:L533" si="353">J527+K527</f>
        <v>472</v>
      </c>
      <c r="M527" s="280">
        <v>0</v>
      </c>
      <c r="N527" s="810"/>
      <c r="O527" s="464"/>
      <c r="P527" s="464"/>
      <c r="Q527" s="464"/>
      <c r="R527" s="464"/>
      <c r="S527" s="464"/>
      <c r="T527" s="464">
        <f>J527</f>
        <v>472</v>
      </c>
      <c r="U527" s="464"/>
      <c r="V527" s="464"/>
      <c r="W527" s="464"/>
      <c r="X527" s="464"/>
      <c r="Y527" s="464">
        <f t="shared" si="348"/>
        <v>472</v>
      </c>
    </row>
    <row r="528" spans="1:25" s="586" customFormat="1" x14ac:dyDescent="0.2">
      <c r="A528" s="23"/>
      <c r="B528" s="274"/>
      <c r="C528" s="312"/>
      <c r="D528" s="944">
        <v>4170</v>
      </c>
      <c r="E528" s="213" t="s">
        <v>148</v>
      </c>
      <c r="F528" s="352">
        <v>21400</v>
      </c>
      <c r="G528" s="463">
        <v>9389.0300000000007</v>
      </c>
      <c r="H528" s="551">
        <f t="shared" ref="H528" si="354">G528/F528</f>
        <v>0.43873971962616826</v>
      </c>
      <c r="I528" s="278">
        <v>13578.28</v>
      </c>
      <c r="J528" s="1141">
        <v>19269</v>
      </c>
      <c r="K528" s="1234"/>
      <c r="L528" s="279">
        <f t="shared" si="353"/>
        <v>19269</v>
      </c>
      <c r="M528" s="280">
        <f t="shared" si="351"/>
        <v>0.90042056074766352</v>
      </c>
      <c r="N528" s="810"/>
      <c r="O528" s="464"/>
      <c r="P528" s="464"/>
      <c r="Q528" s="464"/>
      <c r="R528" s="464"/>
      <c r="S528" s="464"/>
      <c r="T528" s="464">
        <f>J528</f>
        <v>19269</v>
      </c>
      <c r="U528" s="464"/>
      <c r="V528" s="464"/>
      <c r="W528" s="464"/>
      <c r="X528" s="464"/>
      <c r="Y528" s="464">
        <f t="shared" si="348"/>
        <v>19269</v>
      </c>
    </row>
    <row r="529" spans="1:25" ht="29.25" x14ac:dyDescent="0.2">
      <c r="A529" s="52"/>
      <c r="B529" s="52"/>
      <c r="C529" s="159"/>
      <c r="D529" s="309">
        <v>4210</v>
      </c>
      <c r="E529" s="122" t="s">
        <v>142</v>
      </c>
      <c r="F529" s="123">
        <v>20000</v>
      </c>
      <c r="G529" s="100">
        <v>17431.84</v>
      </c>
      <c r="H529" s="101">
        <f t="shared" si="327"/>
        <v>0.87159200000000003</v>
      </c>
      <c r="I529" s="102">
        <v>20000</v>
      </c>
      <c r="J529" s="1112">
        <f>5000+15000</f>
        <v>20000</v>
      </c>
      <c r="K529" s="1227">
        <v>-10000</v>
      </c>
      <c r="L529" s="279">
        <f t="shared" si="353"/>
        <v>10000</v>
      </c>
      <c r="M529" s="280">
        <f t="shared" si="351"/>
        <v>0.5</v>
      </c>
      <c r="N529" s="399" t="s">
        <v>385</v>
      </c>
      <c r="O529" s="392"/>
      <c r="P529" s="392"/>
      <c r="Q529" s="393">
        <v>5000</v>
      </c>
      <c r="R529" s="392"/>
      <c r="S529" s="392"/>
      <c r="T529" s="393"/>
      <c r="U529" s="393"/>
      <c r="V529" s="393">
        <f>15000-10000</f>
        <v>5000</v>
      </c>
      <c r="W529" s="393"/>
      <c r="X529" s="393"/>
      <c r="Y529" s="393">
        <f t="shared" si="348"/>
        <v>10000</v>
      </c>
    </row>
    <row r="530" spans="1:25" ht="29.25" x14ac:dyDescent="0.2">
      <c r="A530" s="52"/>
      <c r="B530" s="52"/>
      <c r="C530" s="159"/>
      <c r="D530" s="309">
        <v>4260</v>
      </c>
      <c r="E530" s="122" t="s">
        <v>149</v>
      </c>
      <c r="F530" s="123">
        <v>43000</v>
      </c>
      <c r="G530" s="100">
        <v>20661.560000000001</v>
      </c>
      <c r="H530" s="101">
        <f t="shared" si="327"/>
        <v>0.48050139534883723</v>
      </c>
      <c r="I530" s="102">
        <v>30992.34</v>
      </c>
      <c r="J530" s="1112">
        <v>50000</v>
      </c>
      <c r="K530" s="102"/>
      <c r="L530" s="279">
        <f t="shared" si="353"/>
        <v>50000</v>
      </c>
      <c r="M530" s="259">
        <f t="shared" si="351"/>
        <v>1.1627906976744187</v>
      </c>
      <c r="N530" s="399" t="s">
        <v>384</v>
      </c>
      <c r="O530" s="392"/>
      <c r="P530" s="392"/>
      <c r="Q530" s="393"/>
      <c r="R530" s="392"/>
      <c r="S530" s="392"/>
      <c r="T530" s="393"/>
      <c r="U530" s="393"/>
      <c r="V530" s="393">
        <v>50000</v>
      </c>
      <c r="W530" s="393"/>
      <c r="X530" s="393"/>
      <c r="Y530" s="393">
        <f t="shared" ref="Y530:Y533" si="355">SUM(O530:X530)</f>
        <v>50000</v>
      </c>
    </row>
    <row r="531" spans="1:25" ht="19.5" x14ac:dyDescent="0.2">
      <c r="A531" s="52"/>
      <c r="B531" s="52"/>
      <c r="C531" s="333"/>
      <c r="D531" s="468">
        <v>4270</v>
      </c>
      <c r="E531" s="125" t="s">
        <v>154</v>
      </c>
      <c r="F531" s="516">
        <v>15000</v>
      </c>
      <c r="G531" s="100">
        <v>9981.89</v>
      </c>
      <c r="H531" s="101">
        <f t="shared" si="327"/>
        <v>0.66545933333333329</v>
      </c>
      <c r="I531" s="102">
        <v>14981.89</v>
      </c>
      <c r="J531" s="1112">
        <v>10000</v>
      </c>
      <c r="K531" s="1216">
        <v>-10000</v>
      </c>
      <c r="L531" s="279">
        <f t="shared" si="353"/>
        <v>0</v>
      </c>
      <c r="M531" s="280">
        <f t="shared" si="351"/>
        <v>0</v>
      </c>
      <c r="N531" s="466" t="s">
        <v>386</v>
      </c>
      <c r="O531" s="392"/>
      <c r="P531" s="392"/>
      <c r="Q531" s="393"/>
      <c r="R531" s="392"/>
      <c r="S531" s="392"/>
      <c r="T531" s="393"/>
      <c r="U531" s="393"/>
      <c r="V531" s="393">
        <v>0</v>
      </c>
      <c r="W531" s="393"/>
      <c r="X531" s="393"/>
      <c r="Y531" s="393">
        <f t="shared" si="355"/>
        <v>0</v>
      </c>
    </row>
    <row r="532" spans="1:25" x14ac:dyDescent="0.2">
      <c r="A532" s="52"/>
      <c r="B532" s="52"/>
      <c r="C532" s="240"/>
      <c r="D532" s="446">
        <v>4300</v>
      </c>
      <c r="E532" s="199" t="s">
        <v>143</v>
      </c>
      <c r="F532" s="445">
        <v>59100</v>
      </c>
      <c r="G532" s="100">
        <v>6248.8</v>
      </c>
      <c r="H532" s="101">
        <f t="shared" si="327"/>
        <v>0.10573265651438241</v>
      </c>
      <c r="I532" s="102">
        <v>32846.92</v>
      </c>
      <c r="J532" s="1112">
        <v>28000</v>
      </c>
      <c r="K532" s="58"/>
      <c r="L532" s="279">
        <f t="shared" si="353"/>
        <v>28000</v>
      </c>
      <c r="M532" s="280">
        <f t="shared" si="351"/>
        <v>0.47377326565143824</v>
      </c>
      <c r="N532" s="466" t="s">
        <v>387</v>
      </c>
      <c r="O532" s="392"/>
      <c r="P532" s="392"/>
      <c r="Q532" s="393"/>
      <c r="R532" s="392"/>
      <c r="S532" s="392"/>
      <c r="T532" s="393"/>
      <c r="U532" s="393"/>
      <c r="V532" s="393">
        <v>28000</v>
      </c>
      <c r="W532" s="393"/>
      <c r="X532" s="393"/>
      <c r="Y532" s="393">
        <f t="shared" si="355"/>
        <v>28000</v>
      </c>
    </row>
    <row r="533" spans="1:25" x14ac:dyDescent="0.2">
      <c r="A533" s="52"/>
      <c r="B533" s="520"/>
      <c r="C533" s="203"/>
      <c r="D533" s="402">
        <v>6050</v>
      </c>
      <c r="E533" s="119" t="s">
        <v>147</v>
      </c>
      <c r="F533" s="120">
        <v>50000</v>
      </c>
      <c r="G533" s="56">
        <v>54.3</v>
      </c>
      <c r="H533" s="57">
        <f t="shared" si="327"/>
        <v>1.0859999999999999E-3</v>
      </c>
      <c r="I533" s="58">
        <v>50000</v>
      </c>
      <c r="J533" s="1108">
        <v>0</v>
      </c>
      <c r="K533" s="102"/>
      <c r="L533" s="279">
        <f t="shared" si="353"/>
        <v>0</v>
      </c>
      <c r="M533" s="280">
        <f t="shared" si="351"/>
        <v>0</v>
      </c>
      <c r="N533" s="399"/>
      <c r="O533" s="392"/>
      <c r="P533" s="392"/>
      <c r="Q533" s="393"/>
      <c r="R533" s="392"/>
      <c r="S533" s="392"/>
      <c r="T533" s="393"/>
      <c r="U533" s="393"/>
      <c r="V533" s="393"/>
      <c r="W533" s="393"/>
      <c r="X533" s="393"/>
      <c r="Y533" s="393">
        <f t="shared" si="355"/>
        <v>0</v>
      </c>
    </row>
    <row r="534" spans="1:25" s="586" customFormat="1" x14ac:dyDescent="0.2">
      <c r="A534" s="416">
        <v>921</v>
      </c>
      <c r="B534" s="525"/>
      <c r="C534" s="477"/>
      <c r="D534" s="105"/>
      <c r="E534" s="478" t="s">
        <v>106</v>
      </c>
      <c r="F534" s="107">
        <f>F535+F539+F552+F555+F559+F557</f>
        <v>1921626.33</v>
      </c>
      <c r="G534" s="107">
        <f>G535+G539+G552+G555+G559+G557</f>
        <v>1207930.7</v>
      </c>
      <c r="H534" s="108">
        <f>G534/F534</f>
        <v>0.62859812084277589</v>
      </c>
      <c r="I534" s="109">
        <f>I535+I539+I552+I555+I559+I557</f>
        <v>1907193.6900000002</v>
      </c>
      <c r="J534" s="1133">
        <f>J535+J539+J552+J555+J559+J557</f>
        <v>1955027.51</v>
      </c>
      <c r="K534" s="1229">
        <f t="shared" ref="K534:L534" si="356">K535+K539+K552+K555+K559+K557</f>
        <v>-65000</v>
      </c>
      <c r="L534" s="110">
        <f t="shared" si="356"/>
        <v>1890027.51</v>
      </c>
      <c r="M534" s="171">
        <f t="shared" si="351"/>
        <v>0.98355620991100801</v>
      </c>
      <c r="N534" s="816"/>
      <c r="O534" s="396">
        <f t="shared" ref="O534:X534" si="357">O535+O539+O552+O555+O559+O557</f>
        <v>127127.51000000001</v>
      </c>
      <c r="P534" s="396">
        <f t="shared" si="357"/>
        <v>0</v>
      </c>
      <c r="Q534" s="396">
        <f t="shared" si="357"/>
        <v>0</v>
      </c>
      <c r="R534" s="396">
        <f t="shared" si="357"/>
        <v>0</v>
      </c>
      <c r="S534" s="396">
        <f t="shared" si="357"/>
        <v>0</v>
      </c>
      <c r="T534" s="396">
        <f t="shared" si="357"/>
        <v>1698900</v>
      </c>
      <c r="U534" s="396">
        <f t="shared" si="357"/>
        <v>0</v>
      </c>
      <c r="V534" s="396">
        <f t="shared" si="357"/>
        <v>64000</v>
      </c>
      <c r="W534" s="396">
        <f t="shared" si="357"/>
        <v>0</v>
      </c>
      <c r="X534" s="396">
        <f t="shared" si="357"/>
        <v>0</v>
      </c>
      <c r="Y534" s="396">
        <f>SUM(O534:X534)</f>
        <v>1890027.51</v>
      </c>
    </row>
    <row r="535" spans="1:25" x14ac:dyDescent="0.2">
      <c r="A535" s="23"/>
      <c r="B535" s="151">
        <v>92105</v>
      </c>
      <c r="C535" s="426"/>
      <c r="D535" s="152"/>
      <c r="E535" s="272" t="s">
        <v>107</v>
      </c>
      <c r="F535" s="155">
        <f>SUM(F536:F538)</f>
        <v>21175</v>
      </c>
      <c r="G535" s="155">
        <f t="shared" ref="G535:I535" si="358">SUM(G536:G538)</f>
        <v>12435.23</v>
      </c>
      <c r="H535" s="429">
        <f>G535/F535</f>
        <v>0.58725997638724914</v>
      </c>
      <c r="I535" s="155">
        <f t="shared" si="358"/>
        <v>21133</v>
      </c>
      <c r="J535" s="1126">
        <f>SUM(J536:J538)</f>
        <v>12000</v>
      </c>
      <c r="K535" s="1221">
        <f t="shared" ref="K535:L535" si="359">SUM(K536:K538)</f>
        <v>-5000</v>
      </c>
      <c r="L535" s="158">
        <f t="shared" si="359"/>
        <v>7000</v>
      </c>
      <c r="M535" s="78">
        <f t="shared" si="351"/>
        <v>0.33057851239669422</v>
      </c>
      <c r="N535" s="810"/>
      <c r="O535" s="475">
        <f t="shared" ref="O535:X535" si="360">SUM(O536:O538)</f>
        <v>0</v>
      </c>
      <c r="P535" s="475">
        <f t="shared" si="360"/>
        <v>0</v>
      </c>
      <c r="Q535" s="475">
        <f t="shared" si="360"/>
        <v>0</v>
      </c>
      <c r="R535" s="475">
        <f t="shared" si="360"/>
        <v>0</v>
      </c>
      <c r="S535" s="475">
        <f t="shared" si="360"/>
        <v>0</v>
      </c>
      <c r="T535" s="475">
        <f t="shared" si="360"/>
        <v>7000</v>
      </c>
      <c r="U535" s="475">
        <f t="shared" si="360"/>
        <v>0</v>
      </c>
      <c r="V535" s="475">
        <f t="shared" si="360"/>
        <v>0</v>
      </c>
      <c r="W535" s="475">
        <f t="shared" si="360"/>
        <v>0</v>
      </c>
      <c r="X535" s="475">
        <f t="shared" si="360"/>
        <v>0</v>
      </c>
      <c r="Y535" s="475">
        <f>SUM(O535:X535)</f>
        <v>7000</v>
      </c>
    </row>
    <row r="536" spans="1:25" s="586" customFormat="1" ht="56.25" x14ac:dyDescent="0.2">
      <c r="A536" s="23"/>
      <c r="B536" s="274"/>
      <c r="C536" s="333"/>
      <c r="D536" s="945">
        <v>2360</v>
      </c>
      <c r="E536" s="216" t="s">
        <v>230</v>
      </c>
      <c r="F536" s="364">
        <v>600</v>
      </c>
      <c r="G536" s="364">
        <v>600</v>
      </c>
      <c r="H536" s="256">
        <f>G536/F536</f>
        <v>1</v>
      </c>
      <c r="I536" s="278">
        <v>600</v>
      </c>
      <c r="J536" s="1120">
        <v>0</v>
      </c>
      <c r="K536" s="353"/>
      <c r="L536" s="258">
        <f>J536+K536</f>
        <v>0</v>
      </c>
      <c r="M536" s="280">
        <f t="shared" si="351"/>
        <v>0</v>
      </c>
      <c r="N536" s="802"/>
      <c r="O536" s="464"/>
      <c r="P536" s="464"/>
      <c r="Q536" s="464"/>
      <c r="R536" s="464"/>
      <c r="S536" s="464"/>
      <c r="T536" s="464"/>
      <c r="U536" s="464"/>
      <c r="V536" s="464"/>
      <c r="W536" s="464"/>
      <c r="X536" s="464"/>
      <c r="Y536" s="464"/>
    </row>
    <row r="537" spans="1:25" x14ac:dyDescent="0.2">
      <c r="A537" s="52"/>
      <c r="B537" s="52"/>
      <c r="C537" s="240"/>
      <c r="D537" s="446">
        <v>4210</v>
      </c>
      <c r="E537" s="199" t="s">
        <v>142</v>
      </c>
      <c r="F537" s="611">
        <v>3575</v>
      </c>
      <c r="G537" s="100">
        <v>1775.33</v>
      </c>
      <c r="H537" s="366">
        <f t="shared" ref="H537:H539" si="361">G537/F537</f>
        <v>0.49659580419580418</v>
      </c>
      <c r="I537" s="102">
        <v>3575</v>
      </c>
      <c r="J537" s="1112">
        <v>0</v>
      </c>
      <c r="K537" s="58"/>
      <c r="L537" s="258">
        <f t="shared" ref="L537:L538" si="362">J537+K537</f>
        <v>0</v>
      </c>
      <c r="M537" s="280">
        <f t="shared" si="351"/>
        <v>0</v>
      </c>
      <c r="N537" s="466"/>
      <c r="O537" s="392"/>
      <c r="P537" s="392"/>
      <c r="Q537" s="393"/>
      <c r="R537" s="392"/>
      <c r="S537" s="392"/>
      <c r="T537" s="393"/>
      <c r="U537" s="393"/>
      <c r="V537" s="393"/>
      <c r="W537" s="393"/>
      <c r="X537" s="393"/>
      <c r="Y537" s="393">
        <f t="shared" ref="Y537:Y538" si="363">SUM(O537:X537)</f>
        <v>0</v>
      </c>
    </row>
    <row r="538" spans="1:25" ht="39" x14ac:dyDescent="0.2">
      <c r="A538" s="52"/>
      <c r="B538" s="308"/>
      <c r="C538" s="203"/>
      <c r="D538" s="402">
        <v>4300</v>
      </c>
      <c r="E538" s="119" t="s">
        <v>143</v>
      </c>
      <c r="F538" s="544">
        <v>17000</v>
      </c>
      <c r="G538" s="56">
        <v>10059.9</v>
      </c>
      <c r="H538" s="366">
        <f t="shared" si="361"/>
        <v>0.59175882352941178</v>
      </c>
      <c r="I538" s="58">
        <v>16958</v>
      </c>
      <c r="J538" s="1108">
        <v>12000</v>
      </c>
      <c r="K538" s="1206">
        <v>-5000</v>
      </c>
      <c r="L538" s="258">
        <f t="shared" si="362"/>
        <v>7000</v>
      </c>
      <c r="M538" s="280">
        <f t="shared" si="351"/>
        <v>0.41176470588235292</v>
      </c>
      <c r="N538" s="399" t="s">
        <v>256</v>
      </c>
      <c r="O538" s="392"/>
      <c r="P538" s="392"/>
      <c r="Q538" s="393"/>
      <c r="R538" s="392"/>
      <c r="S538" s="392"/>
      <c r="T538" s="393">
        <v>7000</v>
      </c>
      <c r="U538" s="393"/>
      <c r="V538" s="393"/>
      <c r="W538" s="393"/>
      <c r="X538" s="393"/>
      <c r="Y538" s="393">
        <f t="shared" si="363"/>
        <v>7000</v>
      </c>
    </row>
    <row r="539" spans="1:25" x14ac:dyDescent="0.2">
      <c r="A539" s="52"/>
      <c r="B539" s="228">
        <v>92109</v>
      </c>
      <c r="C539" s="232"/>
      <c r="D539" s="233"/>
      <c r="E539" s="234" t="s">
        <v>108</v>
      </c>
      <c r="F539" s="235">
        <f>SUM(F540:F551)</f>
        <v>1094795.44</v>
      </c>
      <c r="G539" s="235">
        <f t="shared" ref="G539:I539" si="364">SUM(G540:G551)</f>
        <v>623622.05000000005</v>
      </c>
      <c r="H539" s="176">
        <f t="shared" si="361"/>
        <v>0.56962426697721724</v>
      </c>
      <c r="I539" s="235">
        <f t="shared" si="364"/>
        <v>1092447.3</v>
      </c>
      <c r="J539" s="1122">
        <f>SUM(J540:J551)</f>
        <v>1016181.93</v>
      </c>
      <c r="K539" s="1006">
        <f t="shared" ref="K539:L539" si="365">SUM(K540:K551)</f>
        <v>-20000</v>
      </c>
      <c r="L539" s="238">
        <f t="shared" si="365"/>
        <v>996181.93</v>
      </c>
      <c r="M539" s="78">
        <f t="shared" si="351"/>
        <v>0.90992517287065067</v>
      </c>
      <c r="N539" s="817"/>
      <c r="O539" s="444">
        <f t="shared" ref="O539:X539" si="366">SUM(O540:O551)</f>
        <v>62181.93</v>
      </c>
      <c r="P539" s="444">
        <f t="shared" si="366"/>
        <v>0</v>
      </c>
      <c r="Q539" s="444">
        <f t="shared" si="366"/>
        <v>0</v>
      </c>
      <c r="R539" s="444">
        <f t="shared" si="366"/>
        <v>0</v>
      </c>
      <c r="S539" s="444">
        <f t="shared" si="366"/>
        <v>0</v>
      </c>
      <c r="T539" s="444">
        <f t="shared" si="366"/>
        <v>870000</v>
      </c>
      <c r="U539" s="444">
        <f t="shared" si="366"/>
        <v>0</v>
      </c>
      <c r="V539" s="444">
        <f t="shared" si="366"/>
        <v>64000</v>
      </c>
      <c r="W539" s="444">
        <f t="shared" si="366"/>
        <v>0</v>
      </c>
      <c r="X539" s="444">
        <f t="shared" si="366"/>
        <v>0</v>
      </c>
      <c r="Y539" s="444">
        <f>SUM(O539:X539)</f>
        <v>996181.93</v>
      </c>
    </row>
    <row r="540" spans="1:25" ht="39" x14ac:dyDescent="0.2">
      <c r="A540" s="52"/>
      <c r="B540" s="52"/>
      <c r="C540" s="159"/>
      <c r="D540" s="309">
        <v>2480</v>
      </c>
      <c r="E540" s="122" t="s">
        <v>257</v>
      </c>
      <c r="F540" s="204">
        <v>681200</v>
      </c>
      <c r="G540" s="100">
        <v>522300</v>
      </c>
      <c r="H540" s="101">
        <f t="shared" ref="H540:H575" si="367">G540/F540</f>
        <v>0.76673517322372287</v>
      </c>
      <c r="I540" s="102">
        <v>681200</v>
      </c>
      <c r="J540" s="1112">
        <f>50000+835000</f>
        <v>885000</v>
      </c>
      <c r="K540" s="1227">
        <v>-20000</v>
      </c>
      <c r="L540" s="103">
        <f>J540+K540</f>
        <v>865000</v>
      </c>
      <c r="M540" s="259">
        <f t="shared" si="351"/>
        <v>1.2698179682912507</v>
      </c>
      <c r="N540" s="399" t="s">
        <v>398</v>
      </c>
      <c r="O540" s="392"/>
      <c r="P540" s="392"/>
      <c r="Q540" s="393"/>
      <c r="R540" s="392"/>
      <c r="S540" s="392"/>
      <c r="T540" s="393">
        <f>50000+835000-20000</f>
        <v>865000</v>
      </c>
      <c r="U540" s="393"/>
      <c r="V540" s="393"/>
      <c r="W540" s="393"/>
      <c r="X540" s="393"/>
      <c r="Y540" s="393">
        <f>SUM(O540:X540)</f>
        <v>865000</v>
      </c>
    </row>
    <row r="541" spans="1:25" x14ac:dyDescent="0.2">
      <c r="A541" s="52"/>
      <c r="B541" s="274"/>
      <c r="C541" s="1276"/>
      <c r="D541" s="598">
        <v>4110</v>
      </c>
      <c r="E541" s="199" t="s">
        <v>140</v>
      </c>
      <c r="F541" s="831">
        <v>570</v>
      </c>
      <c r="G541" s="831">
        <v>282.61</v>
      </c>
      <c r="H541" s="101">
        <f t="shared" si="367"/>
        <v>0.4958070175438597</v>
      </c>
      <c r="I541" s="410">
        <v>565.22</v>
      </c>
      <c r="J541" s="1111">
        <f>704</f>
        <v>704</v>
      </c>
      <c r="K541" s="1234"/>
      <c r="L541" s="103">
        <f t="shared" ref="L541:L551" si="368">J541+K541</f>
        <v>704</v>
      </c>
      <c r="M541" s="259">
        <f t="shared" si="351"/>
        <v>1.2350877192982457</v>
      </c>
      <c r="N541" s="412" t="s">
        <v>414</v>
      </c>
      <c r="O541" s="392">
        <v>704</v>
      </c>
      <c r="P541" s="392"/>
      <c r="Q541" s="393"/>
      <c r="R541" s="392"/>
      <c r="S541" s="392"/>
      <c r="T541" s="393"/>
      <c r="U541" s="393"/>
      <c r="V541" s="393"/>
      <c r="W541" s="393"/>
      <c r="X541" s="393"/>
      <c r="Y541" s="393">
        <f t="shared" ref="Y541:Y562" si="369">SUM(O541:X541)</f>
        <v>704</v>
      </c>
    </row>
    <row r="542" spans="1:25" x14ac:dyDescent="0.2">
      <c r="A542" s="52"/>
      <c r="B542" s="274"/>
      <c r="C542" s="275"/>
      <c r="D542" s="617">
        <v>4120</v>
      </c>
      <c r="E542" s="119" t="s">
        <v>141</v>
      </c>
      <c r="F542" s="254">
        <v>81</v>
      </c>
      <c r="G542" s="254">
        <v>0</v>
      </c>
      <c r="H542" s="101">
        <f t="shared" si="367"/>
        <v>0</v>
      </c>
      <c r="I542" s="353">
        <v>0</v>
      </c>
      <c r="J542" s="1120">
        <v>109</v>
      </c>
      <c r="K542" s="353"/>
      <c r="L542" s="59">
        <f t="shared" si="368"/>
        <v>109</v>
      </c>
      <c r="M542" s="280">
        <f t="shared" si="351"/>
        <v>1.345679012345679</v>
      </c>
      <c r="N542" s="451" t="s">
        <v>415</v>
      </c>
      <c r="O542" s="392">
        <v>109</v>
      </c>
      <c r="P542" s="392"/>
      <c r="Q542" s="393"/>
      <c r="R542" s="392"/>
      <c r="S542" s="392"/>
      <c r="T542" s="393"/>
      <c r="U542" s="393"/>
      <c r="V542" s="393"/>
      <c r="W542" s="393"/>
      <c r="X542" s="393"/>
      <c r="Y542" s="393">
        <f t="shared" si="369"/>
        <v>109</v>
      </c>
    </row>
    <row r="543" spans="1:25" x14ac:dyDescent="0.2">
      <c r="A543" s="52"/>
      <c r="B543" s="274"/>
      <c r="C543" s="608"/>
      <c r="D543" s="618">
        <v>4170</v>
      </c>
      <c r="E543" s="199" t="s">
        <v>148</v>
      </c>
      <c r="F543" s="254">
        <v>3289</v>
      </c>
      <c r="G543" s="254">
        <v>1644</v>
      </c>
      <c r="H543" s="101">
        <f t="shared" si="367"/>
        <v>0.49984797810884768</v>
      </c>
      <c r="I543" s="353">
        <v>3288</v>
      </c>
      <c r="J543" s="1141">
        <v>4080</v>
      </c>
      <c r="K543" s="353"/>
      <c r="L543" s="59">
        <f t="shared" si="368"/>
        <v>4080</v>
      </c>
      <c r="M543" s="280">
        <f t="shared" si="351"/>
        <v>1.2404986318029796</v>
      </c>
      <c r="N543" s="412" t="s">
        <v>416</v>
      </c>
      <c r="O543" s="392">
        <v>4080</v>
      </c>
      <c r="P543" s="392"/>
      <c r="Q543" s="393"/>
      <c r="R543" s="392"/>
      <c r="S543" s="392"/>
      <c r="T543" s="393"/>
      <c r="U543" s="393"/>
      <c r="V543" s="393"/>
      <c r="W543" s="393"/>
      <c r="X543" s="393"/>
      <c r="Y543" s="393">
        <f t="shared" si="369"/>
        <v>4080</v>
      </c>
    </row>
    <row r="544" spans="1:25" ht="19.5" x14ac:dyDescent="0.2">
      <c r="A544" s="52"/>
      <c r="B544" s="52"/>
      <c r="C544" s="159"/>
      <c r="D544" s="309">
        <v>4210</v>
      </c>
      <c r="E544" s="122" t="s">
        <v>142</v>
      </c>
      <c r="F544" s="123">
        <v>81120.289999999994</v>
      </c>
      <c r="G544" s="100">
        <v>40468.92</v>
      </c>
      <c r="H544" s="101">
        <f t="shared" si="367"/>
        <v>0.49887543547982882</v>
      </c>
      <c r="I544" s="102">
        <v>81120.289999999994</v>
      </c>
      <c r="J544" s="1112">
        <f>5000+51939.93</f>
        <v>56939.93</v>
      </c>
      <c r="K544" s="58"/>
      <c r="L544" s="59">
        <f t="shared" si="368"/>
        <v>56939.93</v>
      </c>
      <c r="M544" s="280">
        <f t="shared" si="351"/>
        <v>0.70191970467561204</v>
      </c>
      <c r="N544" s="399" t="s">
        <v>417</v>
      </c>
      <c r="O544" s="392">
        <v>51939.93</v>
      </c>
      <c r="P544" s="392"/>
      <c r="Q544" s="393"/>
      <c r="R544" s="392"/>
      <c r="S544" s="392"/>
      <c r="T544" s="393">
        <v>5000</v>
      </c>
      <c r="U544" s="393"/>
      <c r="V544" s="393"/>
      <c r="W544" s="393"/>
      <c r="X544" s="393"/>
      <c r="Y544" s="393">
        <f t="shared" si="369"/>
        <v>56939.93</v>
      </c>
    </row>
    <row r="545" spans="1:25" ht="19.5" x14ac:dyDescent="0.2">
      <c r="A545" s="52"/>
      <c r="B545" s="52"/>
      <c r="C545" s="159"/>
      <c r="D545" s="309">
        <v>4260</v>
      </c>
      <c r="E545" s="122" t="s">
        <v>149</v>
      </c>
      <c r="F545" s="123">
        <v>56700.39</v>
      </c>
      <c r="G545" s="100">
        <v>40785.019999999997</v>
      </c>
      <c r="H545" s="101">
        <f t="shared" si="367"/>
        <v>0.7193075744276185</v>
      </c>
      <c r="I545" s="102">
        <v>56700.39</v>
      </c>
      <c r="J545" s="1112">
        <f>60000+600</f>
        <v>60600</v>
      </c>
      <c r="K545" s="58"/>
      <c r="L545" s="59">
        <f t="shared" si="368"/>
        <v>60600</v>
      </c>
      <c r="M545" s="280">
        <f t="shared" si="351"/>
        <v>1.0687757174157004</v>
      </c>
      <c r="N545" s="466" t="s">
        <v>418</v>
      </c>
      <c r="O545" s="392">
        <v>600</v>
      </c>
      <c r="P545" s="392"/>
      <c r="Q545" s="393"/>
      <c r="R545" s="392"/>
      <c r="S545" s="392"/>
      <c r="T545" s="393"/>
      <c r="U545" s="393"/>
      <c r="V545" s="393">
        <v>60000</v>
      </c>
      <c r="W545" s="393"/>
      <c r="X545" s="393"/>
      <c r="Y545" s="393">
        <f t="shared" si="369"/>
        <v>60600</v>
      </c>
    </row>
    <row r="546" spans="1:25" x14ac:dyDescent="0.2">
      <c r="A546" s="52"/>
      <c r="B546" s="52"/>
      <c r="C546" s="333"/>
      <c r="D546" s="468">
        <v>4270</v>
      </c>
      <c r="E546" s="125" t="s">
        <v>154</v>
      </c>
      <c r="F546" s="516">
        <v>15500</v>
      </c>
      <c r="G546" s="56">
        <v>0</v>
      </c>
      <c r="H546" s="101">
        <f t="shared" si="367"/>
        <v>0</v>
      </c>
      <c r="I546" s="58">
        <v>15500</v>
      </c>
      <c r="J546" s="1108">
        <v>0</v>
      </c>
      <c r="K546" s="58"/>
      <c r="L546" s="59">
        <f t="shared" si="368"/>
        <v>0</v>
      </c>
      <c r="M546" s="280">
        <f t="shared" si="351"/>
        <v>0</v>
      </c>
      <c r="N546" s="399"/>
      <c r="O546" s="392"/>
      <c r="P546" s="392"/>
      <c r="Q546" s="393"/>
      <c r="R546" s="392"/>
      <c r="S546" s="392"/>
      <c r="T546" s="393"/>
      <c r="U546" s="393"/>
      <c r="V546" s="393"/>
      <c r="W546" s="393"/>
      <c r="X546" s="393"/>
      <c r="Y546" s="393">
        <f t="shared" si="369"/>
        <v>0</v>
      </c>
    </row>
    <row r="547" spans="1:25" ht="19.5" x14ac:dyDescent="0.2">
      <c r="A547" s="52"/>
      <c r="B547" s="52"/>
      <c r="C547" s="240"/>
      <c r="D547" s="446">
        <v>4300</v>
      </c>
      <c r="E547" s="199" t="s">
        <v>143</v>
      </c>
      <c r="F547" s="415">
        <v>10009.76</v>
      </c>
      <c r="G547" s="100">
        <v>3386.27</v>
      </c>
      <c r="H547" s="101">
        <f t="shared" si="367"/>
        <v>0.33829682230143376</v>
      </c>
      <c r="I547" s="102">
        <v>8989.76</v>
      </c>
      <c r="J547" s="1112">
        <f>4000+2424</f>
        <v>6424</v>
      </c>
      <c r="K547" s="58"/>
      <c r="L547" s="59">
        <f t="shared" si="368"/>
        <v>6424</v>
      </c>
      <c r="M547" s="280">
        <f t="shared" si="351"/>
        <v>0.64177362893815637</v>
      </c>
      <c r="N547" s="466" t="s">
        <v>419</v>
      </c>
      <c r="O547" s="392">
        <v>2424</v>
      </c>
      <c r="P547" s="392"/>
      <c r="Q547" s="393"/>
      <c r="R547" s="392"/>
      <c r="S547" s="392"/>
      <c r="T547" s="393"/>
      <c r="U547" s="393"/>
      <c r="V547" s="393">
        <v>4000</v>
      </c>
      <c r="W547" s="393"/>
      <c r="X547" s="393"/>
      <c r="Y547" s="393">
        <f t="shared" si="369"/>
        <v>6424</v>
      </c>
    </row>
    <row r="548" spans="1:25" x14ac:dyDescent="0.2">
      <c r="A548" s="52"/>
      <c r="B548" s="52"/>
      <c r="C548" s="79"/>
      <c r="D548" s="400">
        <v>4360</v>
      </c>
      <c r="E548" s="81" t="s">
        <v>372</v>
      </c>
      <c r="F548" s="134">
        <v>1325</v>
      </c>
      <c r="G548" s="56">
        <v>985.23</v>
      </c>
      <c r="H548" s="101">
        <f t="shared" si="367"/>
        <v>0.74356981132075473</v>
      </c>
      <c r="I548" s="58">
        <v>1313.64</v>
      </c>
      <c r="J548" s="1108">
        <v>1325</v>
      </c>
      <c r="K548" s="58"/>
      <c r="L548" s="59">
        <f t="shared" si="368"/>
        <v>1325</v>
      </c>
      <c r="M548" s="280">
        <f t="shared" si="351"/>
        <v>1</v>
      </c>
      <c r="N548" s="399" t="s">
        <v>258</v>
      </c>
      <c r="O548" s="392">
        <v>1325</v>
      </c>
      <c r="P548" s="392"/>
      <c r="Q548" s="393"/>
      <c r="R548" s="392"/>
      <c r="S548" s="392"/>
      <c r="T548" s="393"/>
      <c r="U548" s="393"/>
      <c r="V548" s="393"/>
      <c r="W548" s="393"/>
      <c r="X548" s="393"/>
      <c r="Y548" s="393">
        <f t="shared" si="369"/>
        <v>1325</v>
      </c>
    </row>
    <row r="549" spans="1:25" x14ac:dyDescent="0.2">
      <c r="A549" s="52"/>
      <c r="B549" s="52"/>
      <c r="C549" s="79"/>
      <c r="D549" s="400">
        <v>4430</v>
      </c>
      <c r="E549" s="81" t="s">
        <v>145</v>
      </c>
      <c r="F549" s="134">
        <v>1000</v>
      </c>
      <c r="G549" s="56">
        <v>0</v>
      </c>
      <c r="H549" s="101">
        <f t="shared" si="367"/>
        <v>0</v>
      </c>
      <c r="I549" s="58">
        <v>0</v>
      </c>
      <c r="J549" s="1108">
        <v>1000</v>
      </c>
      <c r="K549" s="58"/>
      <c r="L549" s="59">
        <f t="shared" si="368"/>
        <v>1000</v>
      </c>
      <c r="M549" s="280">
        <f t="shared" si="351"/>
        <v>1</v>
      </c>
      <c r="N549" s="399" t="s">
        <v>259</v>
      </c>
      <c r="O549" s="392">
        <v>1000</v>
      </c>
      <c r="P549" s="392"/>
      <c r="Q549" s="393"/>
      <c r="R549" s="392"/>
      <c r="S549" s="392"/>
      <c r="T549" s="393"/>
      <c r="U549" s="393"/>
      <c r="V549" s="393"/>
      <c r="W549" s="393"/>
      <c r="X549" s="393"/>
      <c r="Y549" s="393">
        <f t="shared" si="369"/>
        <v>1000</v>
      </c>
    </row>
    <row r="550" spans="1:25" ht="22.5" x14ac:dyDescent="0.2">
      <c r="A550" s="52"/>
      <c r="B550" s="52"/>
      <c r="C550" s="203"/>
      <c r="D550" s="402">
        <v>6060</v>
      </c>
      <c r="E550" s="212" t="s">
        <v>164</v>
      </c>
      <c r="F550" s="120">
        <v>64000</v>
      </c>
      <c r="G550" s="56">
        <v>13770</v>
      </c>
      <c r="H550" s="101">
        <f t="shared" si="367"/>
        <v>0.21515624999999999</v>
      </c>
      <c r="I550" s="58">
        <v>63770</v>
      </c>
      <c r="J550" s="1108">
        <v>0</v>
      </c>
      <c r="K550" s="58"/>
      <c r="L550" s="59">
        <f t="shared" si="368"/>
        <v>0</v>
      </c>
      <c r="M550" s="280">
        <f t="shared" si="351"/>
        <v>0</v>
      </c>
      <c r="N550" s="399"/>
      <c r="O550" s="392"/>
      <c r="P550" s="392"/>
      <c r="Q550" s="393"/>
      <c r="R550" s="392"/>
      <c r="S550" s="392"/>
      <c r="T550" s="393"/>
      <c r="U550" s="393"/>
      <c r="V550" s="393"/>
      <c r="W550" s="393"/>
      <c r="X550" s="393"/>
      <c r="Y550" s="393">
        <f t="shared" si="369"/>
        <v>0</v>
      </c>
    </row>
    <row r="551" spans="1:25" ht="45" x14ac:dyDescent="0.2">
      <c r="A551" s="52"/>
      <c r="B551" s="52"/>
      <c r="C551" s="240"/>
      <c r="D551" s="446">
        <v>6220</v>
      </c>
      <c r="E551" s="199" t="s">
        <v>260</v>
      </c>
      <c r="F551" s="445">
        <v>180000</v>
      </c>
      <c r="G551" s="100">
        <v>0</v>
      </c>
      <c r="H551" s="101">
        <f t="shared" si="367"/>
        <v>0</v>
      </c>
      <c r="I551" s="102">
        <v>180000</v>
      </c>
      <c r="J551" s="1112">
        <v>0</v>
      </c>
      <c r="K551" s="58"/>
      <c r="L551" s="59">
        <f t="shared" si="368"/>
        <v>0</v>
      </c>
      <c r="M551" s="280">
        <f t="shared" si="351"/>
        <v>0</v>
      </c>
      <c r="N551" s="466" t="s">
        <v>261</v>
      </c>
      <c r="O551" s="392"/>
      <c r="P551" s="392"/>
      <c r="Q551" s="393"/>
      <c r="R551" s="392"/>
      <c r="S551" s="392"/>
      <c r="T551" s="393"/>
      <c r="U551" s="393"/>
      <c r="V551" s="393"/>
      <c r="W551" s="393"/>
      <c r="X551" s="393"/>
      <c r="Y551" s="393">
        <f t="shared" si="369"/>
        <v>0</v>
      </c>
    </row>
    <row r="552" spans="1:25" x14ac:dyDescent="0.2">
      <c r="A552" s="52"/>
      <c r="B552" s="90">
        <v>92116</v>
      </c>
      <c r="C552" s="44"/>
      <c r="D552" s="75"/>
      <c r="E552" s="46" t="s">
        <v>262</v>
      </c>
      <c r="F552" s="244">
        <f>F553+F554</f>
        <v>302750.07</v>
      </c>
      <c r="G552" s="49">
        <f>G553+G554</f>
        <v>226800</v>
      </c>
      <c r="H552" s="176">
        <f t="shared" si="367"/>
        <v>0.74913277476698847</v>
      </c>
      <c r="I552" s="49">
        <f>I553+I554</f>
        <v>302750.07</v>
      </c>
      <c r="J552" s="1107">
        <f>J553+J554</f>
        <v>327703.17</v>
      </c>
      <c r="K552" s="1205">
        <f t="shared" ref="K552:L552" si="370">K553+K554</f>
        <v>0</v>
      </c>
      <c r="L552" s="50">
        <f t="shared" si="370"/>
        <v>327703.17</v>
      </c>
      <c r="M552" s="78">
        <f t="shared" si="351"/>
        <v>1.0824214508026373</v>
      </c>
      <c r="N552" s="800"/>
      <c r="O552" s="397">
        <f t="shared" ref="O552:X552" si="371">O553+O554</f>
        <v>303.17</v>
      </c>
      <c r="P552" s="397">
        <f t="shared" si="371"/>
        <v>0</v>
      </c>
      <c r="Q552" s="397">
        <f t="shared" si="371"/>
        <v>0</v>
      </c>
      <c r="R552" s="397">
        <f t="shared" si="371"/>
        <v>0</v>
      </c>
      <c r="S552" s="397">
        <f t="shared" si="371"/>
        <v>0</v>
      </c>
      <c r="T552" s="397">
        <f t="shared" si="371"/>
        <v>327400</v>
      </c>
      <c r="U552" s="397">
        <f t="shared" si="371"/>
        <v>0</v>
      </c>
      <c r="V552" s="397">
        <f t="shared" si="371"/>
        <v>0</v>
      </c>
      <c r="W552" s="397">
        <f t="shared" si="371"/>
        <v>0</v>
      </c>
      <c r="X552" s="397">
        <f t="shared" si="371"/>
        <v>0</v>
      </c>
      <c r="Y552" s="397">
        <f t="shared" si="369"/>
        <v>327703.17</v>
      </c>
    </row>
    <row r="553" spans="1:25" ht="22.5" x14ac:dyDescent="0.2">
      <c r="A553" s="52"/>
      <c r="B553" s="52"/>
      <c r="C553" s="203"/>
      <c r="D553" s="402">
        <v>2480</v>
      </c>
      <c r="E553" s="119" t="s">
        <v>257</v>
      </c>
      <c r="F553" s="140">
        <v>302450</v>
      </c>
      <c r="G553" s="56">
        <v>226800</v>
      </c>
      <c r="H553" s="57">
        <f t="shared" si="367"/>
        <v>0.74987601256406022</v>
      </c>
      <c r="I553" s="58">
        <v>302450</v>
      </c>
      <c r="J553" s="1108">
        <v>327400</v>
      </c>
      <c r="K553" s="102"/>
      <c r="L553" s="103">
        <f>J553+K553</f>
        <v>327400</v>
      </c>
      <c r="M553" s="280">
        <f t="shared" si="351"/>
        <v>1.0824929740452967</v>
      </c>
      <c r="N553" s="399"/>
      <c r="O553" s="392"/>
      <c r="P553" s="392"/>
      <c r="Q553" s="393"/>
      <c r="R553" s="392"/>
      <c r="S553" s="392"/>
      <c r="T553" s="393">
        <v>327400</v>
      </c>
      <c r="U553" s="393"/>
      <c r="V553" s="393"/>
      <c r="W553" s="393"/>
      <c r="X553" s="393"/>
      <c r="Y553" s="393">
        <f t="shared" si="369"/>
        <v>327400</v>
      </c>
    </row>
    <row r="554" spans="1:25" x14ac:dyDescent="0.2">
      <c r="A554" s="52"/>
      <c r="B554" s="52"/>
      <c r="C554" s="240"/>
      <c r="D554" s="446">
        <v>4210</v>
      </c>
      <c r="E554" s="199" t="s">
        <v>142</v>
      </c>
      <c r="F554" s="826">
        <v>300.07</v>
      </c>
      <c r="G554" s="137">
        <v>0</v>
      </c>
      <c r="H554" s="101">
        <f t="shared" si="367"/>
        <v>0</v>
      </c>
      <c r="I554" s="137">
        <v>300.07</v>
      </c>
      <c r="J554" s="1109">
        <v>303.17</v>
      </c>
      <c r="K554" s="263"/>
      <c r="L554" s="103">
        <f>J554+K554</f>
        <v>303.17</v>
      </c>
      <c r="M554" s="280">
        <f t="shared" si="351"/>
        <v>1.0103309227846837</v>
      </c>
      <c r="N554" s="403" t="s">
        <v>263</v>
      </c>
      <c r="O554" s="392">
        <v>303.17</v>
      </c>
      <c r="P554" s="392"/>
      <c r="Q554" s="393"/>
      <c r="R554" s="392"/>
      <c r="S554" s="392"/>
      <c r="T554" s="393"/>
      <c r="U554" s="393"/>
      <c r="V554" s="393"/>
      <c r="W554" s="393"/>
      <c r="X554" s="393"/>
      <c r="Y554" s="393">
        <f t="shared" si="369"/>
        <v>303.17</v>
      </c>
    </row>
    <row r="555" spans="1:25" x14ac:dyDescent="0.2">
      <c r="A555" s="52"/>
      <c r="B555" s="90">
        <v>92118</v>
      </c>
      <c r="C555" s="44"/>
      <c r="D555" s="75"/>
      <c r="E555" s="46" t="s">
        <v>264</v>
      </c>
      <c r="F555" s="47">
        <f>F556</f>
        <v>364100</v>
      </c>
      <c r="G555" s="49">
        <f>G556</f>
        <v>272700</v>
      </c>
      <c r="H555" s="176">
        <f t="shared" si="367"/>
        <v>0.74897006316945891</v>
      </c>
      <c r="I555" s="49">
        <f>I556</f>
        <v>364100</v>
      </c>
      <c r="J555" s="1107">
        <f>J556</f>
        <v>434500</v>
      </c>
      <c r="K555" s="1205">
        <f t="shared" ref="K555:L555" si="372">K556</f>
        <v>-20000</v>
      </c>
      <c r="L555" s="50">
        <f t="shared" si="372"/>
        <v>414500</v>
      </c>
      <c r="M555" s="78">
        <f t="shared" si="351"/>
        <v>1.1384235100247184</v>
      </c>
      <c r="N555" s="800"/>
      <c r="O555" s="397">
        <f t="shared" ref="O555:X555" si="373">O556</f>
        <v>0</v>
      </c>
      <c r="P555" s="397">
        <f t="shared" si="373"/>
        <v>0</v>
      </c>
      <c r="Q555" s="397">
        <f t="shared" si="373"/>
        <v>0</v>
      </c>
      <c r="R555" s="397">
        <f t="shared" si="373"/>
        <v>0</v>
      </c>
      <c r="S555" s="397">
        <f t="shared" si="373"/>
        <v>0</v>
      </c>
      <c r="T555" s="397">
        <f t="shared" si="373"/>
        <v>414500</v>
      </c>
      <c r="U555" s="397">
        <f t="shared" si="373"/>
        <v>0</v>
      </c>
      <c r="V555" s="397">
        <f t="shared" si="373"/>
        <v>0</v>
      </c>
      <c r="W555" s="397">
        <f t="shared" si="373"/>
        <v>0</v>
      </c>
      <c r="X555" s="397">
        <f t="shared" si="373"/>
        <v>0</v>
      </c>
      <c r="Y555" s="397">
        <f t="shared" si="369"/>
        <v>414500</v>
      </c>
    </row>
    <row r="556" spans="1:25" ht="22.5" x14ac:dyDescent="0.2">
      <c r="A556" s="52"/>
      <c r="B556" s="159"/>
      <c r="C556" s="203"/>
      <c r="D556" s="402">
        <v>2480</v>
      </c>
      <c r="E556" s="119" t="s">
        <v>257</v>
      </c>
      <c r="F556" s="140">
        <v>364100</v>
      </c>
      <c r="G556" s="56">
        <v>272700</v>
      </c>
      <c r="H556" s="57">
        <f t="shared" si="367"/>
        <v>0.74897006316945891</v>
      </c>
      <c r="I556" s="58">
        <v>364100</v>
      </c>
      <c r="J556" s="1108">
        <v>434500</v>
      </c>
      <c r="K556" s="1227">
        <v>-20000</v>
      </c>
      <c r="L556" s="103">
        <f>J556+K556</f>
        <v>414500</v>
      </c>
      <c r="M556" s="280">
        <f t="shared" si="351"/>
        <v>1.1384235100247184</v>
      </c>
      <c r="N556" s="399"/>
      <c r="O556" s="392"/>
      <c r="P556" s="392"/>
      <c r="Q556" s="393"/>
      <c r="R556" s="392"/>
      <c r="S556" s="392"/>
      <c r="T556" s="393">
        <f>L556</f>
        <v>414500</v>
      </c>
      <c r="U556" s="393"/>
      <c r="V556" s="393"/>
      <c r="W556" s="393"/>
      <c r="X556" s="393"/>
      <c r="Y556" s="393">
        <f t="shared" si="369"/>
        <v>414500</v>
      </c>
    </row>
    <row r="557" spans="1:25" x14ac:dyDescent="0.2">
      <c r="A557" s="52"/>
      <c r="B557" s="360">
        <v>92120</v>
      </c>
      <c r="C557" s="619"/>
      <c r="D557" s="620"/>
      <c r="E557" s="328" t="s">
        <v>265</v>
      </c>
      <c r="F557" s="320">
        <f>F558</f>
        <v>70000</v>
      </c>
      <c r="G557" s="175">
        <f>G558</f>
        <v>20000</v>
      </c>
      <c r="H557" s="176">
        <f>G557/F557</f>
        <v>0.2857142857142857</v>
      </c>
      <c r="I557" s="329">
        <f>I558</f>
        <v>60000</v>
      </c>
      <c r="J557" s="1156">
        <f>J558</f>
        <v>100000</v>
      </c>
      <c r="K557" s="329">
        <f t="shared" ref="K557:L557" si="374">K558</f>
        <v>-20000</v>
      </c>
      <c r="L557" s="330">
        <f t="shared" si="374"/>
        <v>80000</v>
      </c>
      <c r="M557" s="78">
        <f t="shared" si="351"/>
        <v>1.1428571428571428</v>
      </c>
      <c r="N557" s="808"/>
      <c r="O557" s="175">
        <f t="shared" ref="O557:X557" si="375">O558</f>
        <v>0</v>
      </c>
      <c r="P557" s="175">
        <f t="shared" si="375"/>
        <v>0</v>
      </c>
      <c r="Q557" s="175">
        <f t="shared" si="375"/>
        <v>0</v>
      </c>
      <c r="R557" s="175">
        <f t="shared" si="375"/>
        <v>0</v>
      </c>
      <c r="S557" s="175">
        <f t="shared" si="375"/>
        <v>0</v>
      </c>
      <c r="T557" s="175">
        <f t="shared" si="375"/>
        <v>80000</v>
      </c>
      <c r="U557" s="175">
        <f t="shared" si="375"/>
        <v>0</v>
      </c>
      <c r="V557" s="175">
        <f t="shared" si="375"/>
        <v>0</v>
      </c>
      <c r="W557" s="175">
        <f t="shared" si="375"/>
        <v>0</v>
      </c>
      <c r="X557" s="175">
        <f t="shared" si="375"/>
        <v>0</v>
      </c>
      <c r="Y557" s="175">
        <f t="shared" si="369"/>
        <v>80000</v>
      </c>
    </row>
    <row r="558" spans="1:25" ht="56.25" x14ac:dyDescent="0.2">
      <c r="A558" s="52"/>
      <c r="B558" s="621"/>
      <c r="C558" s="621"/>
      <c r="D558" s="574">
        <v>2720</v>
      </c>
      <c r="E558" s="62" t="s">
        <v>266</v>
      </c>
      <c r="F558" s="70">
        <v>70000</v>
      </c>
      <c r="G558" s="56">
        <v>20000</v>
      </c>
      <c r="H558" s="57">
        <f>G558/F558</f>
        <v>0.2857142857142857</v>
      </c>
      <c r="I558" s="58">
        <v>60000</v>
      </c>
      <c r="J558" s="1151">
        <v>100000</v>
      </c>
      <c r="K558" s="1248">
        <v>-20000</v>
      </c>
      <c r="L558" s="622">
        <f>J558+K558</f>
        <v>80000</v>
      </c>
      <c r="M558" s="280">
        <f t="shared" si="351"/>
        <v>1.1428571428571428</v>
      </c>
      <c r="N558" s="403"/>
      <c r="O558" s="392"/>
      <c r="P558" s="392"/>
      <c r="Q558" s="393"/>
      <c r="R558" s="392"/>
      <c r="S558" s="392"/>
      <c r="T558" s="393">
        <f>L558</f>
        <v>80000</v>
      </c>
      <c r="U558" s="393"/>
      <c r="V558" s="393"/>
      <c r="W558" s="393"/>
      <c r="X558" s="393"/>
      <c r="Y558" s="393">
        <f t="shared" si="369"/>
        <v>80000</v>
      </c>
    </row>
    <row r="559" spans="1:25" x14ac:dyDescent="0.2">
      <c r="A559" s="52"/>
      <c r="B559" s="246">
        <v>92195</v>
      </c>
      <c r="C559" s="247"/>
      <c r="D559" s="248"/>
      <c r="E559" s="272" t="s">
        <v>14</v>
      </c>
      <c r="F559" s="273">
        <f>SUM(F560:F562)</f>
        <v>68805.820000000007</v>
      </c>
      <c r="G559" s="273">
        <f t="shared" ref="G559:I559" si="376">SUM(G560:G562)</f>
        <v>52373.42</v>
      </c>
      <c r="H559" s="176">
        <f>G559/F559</f>
        <v>0.76117717948859553</v>
      </c>
      <c r="I559" s="273">
        <f t="shared" si="376"/>
        <v>66763.320000000007</v>
      </c>
      <c r="J559" s="1131">
        <f>SUM(J560:J562)</f>
        <v>64642.41</v>
      </c>
      <c r="K559" s="1226">
        <f t="shared" ref="K559:L559" si="377">SUM(K560:K562)</f>
        <v>0</v>
      </c>
      <c r="L559" s="307">
        <f t="shared" si="377"/>
        <v>64642.41</v>
      </c>
      <c r="M559" s="78">
        <f t="shared" si="351"/>
        <v>0.93949043845418889</v>
      </c>
      <c r="N559" s="803"/>
      <c r="O559" s="475">
        <f t="shared" ref="O559:X559" si="378">SUM(O560:O562)</f>
        <v>64642.41</v>
      </c>
      <c r="P559" s="475">
        <f t="shared" si="378"/>
        <v>0</v>
      </c>
      <c r="Q559" s="475">
        <f t="shared" si="378"/>
        <v>0</v>
      </c>
      <c r="R559" s="475">
        <f t="shared" si="378"/>
        <v>0</v>
      </c>
      <c r="S559" s="475">
        <f t="shared" si="378"/>
        <v>0</v>
      </c>
      <c r="T559" s="475">
        <f t="shared" si="378"/>
        <v>0</v>
      </c>
      <c r="U559" s="475">
        <f t="shared" si="378"/>
        <v>0</v>
      </c>
      <c r="V559" s="475">
        <f t="shared" si="378"/>
        <v>0</v>
      </c>
      <c r="W559" s="475">
        <f t="shared" si="378"/>
        <v>0</v>
      </c>
      <c r="X559" s="475">
        <f t="shared" si="378"/>
        <v>0</v>
      </c>
      <c r="Y559" s="475">
        <f t="shared" si="369"/>
        <v>64642.41</v>
      </c>
    </row>
    <row r="560" spans="1:25" x14ac:dyDescent="0.2">
      <c r="A560" s="52"/>
      <c r="B560" s="52"/>
      <c r="C560" s="159"/>
      <c r="D560" s="309">
        <v>4170</v>
      </c>
      <c r="E560" s="122" t="s">
        <v>148</v>
      </c>
      <c r="F560" s="161">
        <v>2700</v>
      </c>
      <c r="G560" s="100">
        <v>2700</v>
      </c>
      <c r="H560" s="101">
        <f t="shared" si="367"/>
        <v>1</v>
      </c>
      <c r="I560" s="102">
        <v>2700</v>
      </c>
      <c r="J560" s="1112">
        <v>3300</v>
      </c>
      <c r="K560" s="102"/>
      <c r="L560" s="103">
        <f>J560+K560</f>
        <v>3300</v>
      </c>
      <c r="M560" s="280">
        <f t="shared" si="351"/>
        <v>1.2222222222222223</v>
      </c>
      <c r="N560" s="399" t="s">
        <v>267</v>
      </c>
      <c r="O560" s="392">
        <v>3300</v>
      </c>
      <c r="P560" s="392"/>
      <c r="Q560" s="393"/>
      <c r="R560" s="392"/>
      <c r="S560" s="392"/>
      <c r="T560" s="393"/>
      <c r="U560" s="393"/>
      <c r="V560" s="393"/>
      <c r="W560" s="393"/>
      <c r="X560" s="393"/>
      <c r="Y560" s="393">
        <f t="shared" si="369"/>
        <v>3300</v>
      </c>
    </row>
    <row r="561" spans="1:25" x14ac:dyDescent="0.2">
      <c r="A561" s="52"/>
      <c r="B561" s="52"/>
      <c r="C561" s="240"/>
      <c r="D561" s="446">
        <v>4210</v>
      </c>
      <c r="E561" s="199" t="s">
        <v>142</v>
      </c>
      <c r="F561" s="445">
        <v>51155.82</v>
      </c>
      <c r="G561" s="100">
        <v>36765.919999999998</v>
      </c>
      <c r="H561" s="101">
        <f t="shared" si="367"/>
        <v>0.71870453840833748</v>
      </c>
      <c r="I561" s="102">
        <v>51155.82</v>
      </c>
      <c r="J561" s="1112">
        <v>39242.410000000003</v>
      </c>
      <c r="K561" s="102"/>
      <c r="L561" s="103">
        <f t="shared" ref="L561:L562" si="379">J561+K561</f>
        <v>39242.410000000003</v>
      </c>
      <c r="M561" s="280">
        <f t="shared" si="351"/>
        <v>0.76711525687595283</v>
      </c>
      <c r="N561" s="466" t="s">
        <v>267</v>
      </c>
      <c r="O561" s="392">
        <v>39242.410000000003</v>
      </c>
      <c r="P561" s="392"/>
      <c r="Q561" s="393"/>
      <c r="R561" s="392"/>
      <c r="S561" s="392"/>
      <c r="T561" s="393"/>
      <c r="U561" s="393"/>
      <c r="V561" s="393"/>
      <c r="W561" s="393"/>
      <c r="X561" s="393"/>
      <c r="Y561" s="393">
        <f t="shared" si="369"/>
        <v>39242.410000000003</v>
      </c>
    </row>
    <row r="562" spans="1:25" x14ac:dyDescent="0.2">
      <c r="A562" s="52"/>
      <c r="B562" s="52"/>
      <c r="C562" s="79"/>
      <c r="D562" s="402">
        <v>4300</v>
      </c>
      <c r="E562" s="119" t="s">
        <v>143</v>
      </c>
      <c r="F562" s="491">
        <v>14950</v>
      </c>
      <c r="G562" s="56">
        <v>12907.5</v>
      </c>
      <c r="H562" s="101">
        <f t="shared" si="367"/>
        <v>0.86337792642140465</v>
      </c>
      <c r="I562" s="58">
        <v>12907.5</v>
      </c>
      <c r="J562" s="1108">
        <v>22100</v>
      </c>
      <c r="K562" s="102"/>
      <c r="L562" s="103">
        <f t="shared" si="379"/>
        <v>22100</v>
      </c>
      <c r="M562" s="280">
        <f t="shared" si="351"/>
        <v>1.4782608695652173</v>
      </c>
      <c r="N562" s="399" t="s">
        <v>267</v>
      </c>
      <c r="O562" s="392">
        <v>22100</v>
      </c>
      <c r="P562" s="392"/>
      <c r="Q562" s="393"/>
      <c r="R562" s="392"/>
      <c r="S562" s="392"/>
      <c r="T562" s="393"/>
      <c r="U562" s="393"/>
      <c r="V562" s="393"/>
      <c r="W562" s="393"/>
      <c r="X562" s="393"/>
      <c r="Y562" s="393">
        <f t="shared" si="369"/>
        <v>22100</v>
      </c>
    </row>
    <row r="563" spans="1:25" s="586" customFormat="1" x14ac:dyDescent="0.2">
      <c r="A563" s="416">
        <v>926</v>
      </c>
      <c r="B563" s="104"/>
      <c r="C563" s="104"/>
      <c r="D563" s="105"/>
      <c r="E563" s="478" t="s">
        <v>109</v>
      </c>
      <c r="F563" s="526">
        <f>F564+F576</f>
        <v>673543.59</v>
      </c>
      <c r="G563" s="109">
        <f>G564+G576</f>
        <v>415294.68999999994</v>
      </c>
      <c r="H563" s="108">
        <f t="shared" si="367"/>
        <v>0.61658175679468641</v>
      </c>
      <c r="I563" s="149">
        <f>I564+I576</f>
        <v>662135.24</v>
      </c>
      <c r="J563" s="1121">
        <f>J564+J576</f>
        <v>524126.77</v>
      </c>
      <c r="K563" s="1218">
        <f t="shared" ref="K563:L563" si="380">K564+K576</f>
        <v>-27000</v>
      </c>
      <c r="L563" s="150">
        <f t="shared" si="380"/>
        <v>497126.77</v>
      </c>
      <c r="M563" s="171">
        <f t="shared" si="351"/>
        <v>0.73807661060214391</v>
      </c>
      <c r="N563" s="809"/>
      <c r="O563" s="448">
        <f t="shared" ref="O563:X563" si="381">O564+O576</f>
        <v>50726.770000000004</v>
      </c>
      <c r="P563" s="448">
        <f t="shared" si="381"/>
        <v>0</v>
      </c>
      <c r="Q563" s="448">
        <f t="shared" si="381"/>
        <v>0</v>
      </c>
      <c r="R563" s="448">
        <f t="shared" si="381"/>
        <v>0</v>
      </c>
      <c r="S563" s="448">
        <f t="shared" si="381"/>
        <v>0</v>
      </c>
      <c r="T563" s="448">
        <f t="shared" si="381"/>
        <v>9000</v>
      </c>
      <c r="U563" s="448">
        <f t="shared" si="381"/>
        <v>0</v>
      </c>
      <c r="V563" s="448">
        <f t="shared" si="381"/>
        <v>342500</v>
      </c>
      <c r="W563" s="448">
        <f t="shared" si="381"/>
        <v>0</v>
      </c>
      <c r="X563" s="448">
        <f t="shared" si="381"/>
        <v>94900</v>
      </c>
      <c r="Y563" s="448">
        <f>SUM(O563:X563)</f>
        <v>497126.77</v>
      </c>
    </row>
    <row r="564" spans="1:25" x14ac:dyDescent="0.2">
      <c r="A564" s="23"/>
      <c r="B564" s="151">
        <v>92601</v>
      </c>
      <c r="C564" s="426"/>
      <c r="D564" s="152"/>
      <c r="E564" s="272" t="s">
        <v>268</v>
      </c>
      <c r="F564" s="305">
        <f>SUM(F565:F575)</f>
        <v>222084</v>
      </c>
      <c r="G564" s="305">
        <f t="shared" ref="G564:I564" si="382">SUM(G565:G575)</f>
        <v>72000.28</v>
      </c>
      <c r="H564" s="1176">
        <f t="shared" si="367"/>
        <v>0.32420291421264025</v>
      </c>
      <c r="I564" s="305">
        <f t="shared" si="382"/>
        <v>211326.32</v>
      </c>
      <c r="J564" s="1126">
        <f>SUM(J565:J575)</f>
        <v>103900</v>
      </c>
      <c r="K564" s="1221">
        <f t="shared" ref="K564:L564" si="383">SUM(K565:K575)</f>
        <v>0</v>
      </c>
      <c r="L564" s="158">
        <f t="shared" si="383"/>
        <v>103900</v>
      </c>
      <c r="M564" s="78">
        <f t="shared" si="351"/>
        <v>0.46784099710019633</v>
      </c>
      <c r="N564" s="810"/>
      <c r="O564" s="528">
        <f t="shared" ref="O564:X564" si="384">SUM(O565:O575)</f>
        <v>0</v>
      </c>
      <c r="P564" s="528">
        <f t="shared" si="384"/>
        <v>0</v>
      </c>
      <c r="Q564" s="528">
        <f t="shared" si="384"/>
        <v>0</v>
      </c>
      <c r="R564" s="528">
        <f t="shared" si="384"/>
        <v>0</v>
      </c>
      <c r="S564" s="528">
        <f t="shared" si="384"/>
        <v>0</v>
      </c>
      <c r="T564" s="528">
        <f t="shared" si="384"/>
        <v>9000</v>
      </c>
      <c r="U564" s="528">
        <f t="shared" si="384"/>
        <v>0</v>
      </c>
      <c r="V564" s="528">
        <f t="shared" si="384"/>
        <v>0</v>
      </c>
      <c r="W564" s="528">
        <f t="shared" si="384"/>
        <v>0</v>
      </c>
      <c r="X564" s="528">
        <f t="shared" si="384"/>
        <v>94900</v>
      </c>
      <c r="Y564" s="528">
        <f>SUM(O564:X564)</f>
        <v>103900</v>
      </c>
    </row>
    <row r="565" spans="1:25" x14ac:dyDescent="0.2">
      <c r="A565" s="52"/>
      <c r="B565" s="52"/>
      <c r="C565" s="333"/>
      <c r="D565" s="468">
        <v>4110</v>
      </c>
      <c r="E565" s="125" t="s">
        <v>140</v>
      </c>
      <c r="F565" s="270">
        <v>9000</v>
      </c>
      <c r="G565" s="56">
        <v>5593.29</v>
      </c>
      <c r="H565" s="57">
        <f t="shared" si="367"/>
        <v>0.62147666666666668</v>
      </c>
      <c r="I565" s="58">
        <v>9000</v>
      </c>
      <c r="J565" s="1108">
        <v>9000</v>
      </c>
      <c r="K565" s="58"/>
      <c r="L565" s="59">
        <f>J565+K565</f>
        <v>9000</v>
      </c>
      <c r="M565" s="280">
        <f t="shared" si="351"/>
        <v>1</v>
      </c>
      <c r="N565" s="466" t="s">
        <v>269</v>
      </c>
      <c r="O565" s="392"/>
      <c r="P565" s="392"/>
      <c r="Q565" s="393"/>
      <c r="R565" s="392"/>
      <c r="S565" s="392"/>
      <c r="T565" s="393"/>
      <c r="U565" s="393"/>
      <c r="V565" s="393"/>
      <c r="W565" s="393"/>
      <c r="X565" s="100">
        <f>J565</f>
        <v>9000</v>
      </c>
      <c r="Y565" s="393">
        <f>SUM(O565:X565)</f>
        <v>9000</v>
      </c>
    </row>
    <row r="566" spans="1:25" x14ac:dyDescent="0.2">
      <c r="A566" s="52"/>
      <c r="B566" s="52"/>
      <c r="C566" s="240"/>
      <c r="D566" s="446">
        <v>4120</v>
      </c>
      <c r="E566" s="199" t="s">
        <v>141</v>
      </c>
      <c r="F566" s="415">
        <v>1400</v>
      </c>
      <c r="G566" s="100">
        <v>797.18</v>
      </c>
      <c r="H566" s="101">
        <f t="shared" si="367"/>
        <v>0.56941428571428565</v>
      </c>
      <c r="I566" s="102">
        <v>1366.32</v>
      </c>
      <c r="J566" s="1112">
        <v>1400</v>
      </c>
      <c r="K566" s="102"/>
      <c r="L566" s="103">
        <f t="shared" ref="L566:L575" si="385">J566+K566</f>
        <v>1400</v>
      </c>
      <c r="M566" s="259">
        <f t="shared" si="351"/>
        <v>1</v>
      </c>
      <c r="N566" s="399" t="s">
        <v>269</v>
      </c>
      <c r="O566" s="392"/>
      <c r="P566" s="392"/>
      <c r="Q566" s="393"/>
      <c r="R566" s="392"/>
      <c r="S566" s="392"/>
      <c r="T566" s="393"/>
      <c r="U566" s="393"/>
      <c r="V566" s="393"/>
      <c r="W566" s="393"/>
      <c r="X566" s="56">
        <v>1400</v>
      </c>
      <c r="Y566" s="393">
        <f t="shared" ref="Y566:Y575" si="386">SUM(O566:X566)</f>
        <v>1400</v>
      </c>
    </row>
    <row r="567" spans="1:25" x14ac:dyDescent="0.2">
      <c r="A567" s="52"/>
      <c r="B567" s="52"/>
      <c r="C567" s="79"/>
      <c r="D567" s="400">
        <v>4170</v>
      </c>
      <c r="E567" s="81" t="s">
        <v>148</v>
      </c>
      <c r="F567" s="82">
        <v>50000</v>
      </c>
      <c r="G567" s="56">
        <v>39299.32</v>
      </c>
      <c r="H567" s="101">
        <f t="shared" si="367"/>
        <v>0.78598639999999997</v>
      </c>
      <c r="I567" s="58">
        <v>50000</v>
      </c>
      <c r="J567" s="1108">
        <v>50000</v>
      </c>
      <c r="K567" s="58"/>
      <c r="L567" s="59">
        <f t="shared" si="385"/>
        <v>50000</v>
      </c>
      <c r="M567" s="280">
        <f t="shared" si="351"/>
        <v>1</v>
      </c>
      <c r="N567" s="399" t="s">
        <v>270</v>
      </c>
      <c r="O567" s="392"/>
      <c r="P567" s="392"/>
      <c r="Q567" s="393"/>
      <c r="R567" s="392"/>
      <c r="S567" s="392"/>
      <c r="T567" s="393"/>
      <c r="U567" s="393"/>
      <c r="V567" s="393"/>
      <c r="W567" s="393"/>
      <c r="X567" s="56">
        <v>50000</v>
      </c>
      <c r="Y567" s="393">
        <f t="shared" si="386"/>
        <v>50000</v>
      </c>
    </row>
    <row r="568" spans="1:25" x14ac:dyDescent="0.2">
      <c r="A568" s="52"/>
      <c r="B568" s="52"/>
      <c r="C568" s="79"/>
      <c r="D568" s="400">
        <v>4210</v>
      </c>
      <c r="E568" s="81" t="s">
        <v>142</v>
      </c>
      <c r="F568" s="134">
        <v>19484</v>
      </c>
      <c r="G568" s="56">
        <v>6413.91</v>
      </c>
      <c r="H568" s="101">
        <f t="shared" si="367"/>
        <v>0.32918856497639087</v>
      </c>
      <c r="I568" s="58">
        <v>12827.82</v>
      </c>
      <c r="J568" s="1108">
        <v>14300</v>
      </c>
      <c r="K568" s="58"/>
      <c r="L568" s="59">
        <f t="shared" si="385"/>
        <v>14300</v>
      </c>
      <c r="M568" s="280">
        <f t="shared" si="351"/>
        <v>0.7339355368507493</v>
      </c>
      <c r="N568" s="399" t="s">
        <v>271</v>
      </c>
      <c r="O568" s="392"/>
      <c r="P568" s="392"/>
      <c r="Q568" s="393"/>
      <c r="R568" s="392"/>
      <c r="S568" s="392"/>
      <c r="T568" s="393"/>
      <c r="U568" s="393"/>
      <c r="V568" s="393"/>
      <c r="W568" s="393"/>
      <c r="X568" s="56">
        <v>14300</v>
      </c>
      <c r="Y568" s="393">
        <f t="shared" si="386"/>
        <v>14300</v>
      </c>
    </row>
    <row r="569" spans="1:25" ht="22.5" x14ac:dyDescent="0.2">
      <c r="A569" s="52"/>
      <c r="B569" s="52"/>
      <c r="C569" s="79"/>
      <c r="D569" s="402">
        <v>4230</v>
      </c>
      <c r="E569" s="119" t="s">
        <v>183</v>
      </c>
      <c r="F569" s="491">
        <v>200</v>
      </c>
      <c r="G569" s="56">
        <v>0</v>
      </c>
      <c r="H569" s="101">
        <f t="shared" si="367"/>
        <v>0</v>
      </c>
      <c r="I569" s="58">
        <v>200</v>
      </c>
      <c r="J569" s="1108">
        <v>0</v>
      </c>
      <c r="K569" s="58"/>
      <c r="L569" s="59">
        <f t="shared" si="385"/>
        <v>0</v>
      </c>
      <c r="M569" s="280">
        <f t="shared" si="351"/>
        <v>0</v>
      </c>
      <c r="N569" s="399" t="s">
        <v>269</v>
      </c>
      <c r="O569" s="392"/>
      <c r="P569" s="392"/>
      <c r="Q569" s="393"/>
      <c r="R569" s="392"/>
      <c r="S569" s="392"/>
      <c r="T569" s="393"/>
      <c r="U569" s="393"/>
      <c r="V569" s="393"/>
      <c r="W569" s="393"/>
      <c r="X569" s="56">
        <v>0</v>
      </c>
      <c r="Y569" s="393">
        <f t="shared" si="386"/>
        <v>0</v>
      </c>
    </row>
    <row r="570" spans="1:25" ht="19.5" x14ac:dyDescent="0.2">
      <c r="A570" s="52"/>
      <c r="B570" s="52"/>
      <c r="C570" s="79"/>
      <c r="D570" s="446">
        <v>4260</v>
      </c>
      <c r="E570" s="199" t="s">
        <v>149</v>
      </c>
      <c r="F570" s="445">
        <v>14000</v>
      </c>
      <c r="G570" s="100">
        <v>6764.57</v>
      </c>
      <c r="H570" s="101">
        <f t="shared" si="367"/>
        <v>0.48318357142857143</v>
      </c>
      <c r="I570" s="102">
        <v>9932.19</v>
      </c>
      <c r="J570" s="1112">
        <f>9000+5000</f>
        <v>14000</v>
      </c>
      <c r="K570" s="58"/>
      <c r="L570" s="59">
        <f t="shared" si="385"/>
        <v>14000</v>
      </c>
      <c r="M570" s="280">
        <f t="shared" si="351"/>
        <v>1</v>
      </c>
      <c r="N570" s="466" t="s">
        <v>397</v>
      </c>
      <c r="O570" s="467"/>
      <c r="P570" s="467"/>
      <c r="Q570" s="884"/>
      <c r="R570" s="467"/>
      <c r="S570" s="467"/>
      <c r="T570" s="884">
        <v>5000</v>
      </c>
      <c r="U570" s="884"/>
      <c r="V570" s="884"/>
      <c r="W570" s="884"/>
      <c r="X570" s="884">
        <v>9000</v>
      </c>
      <c r="Y570" s="884">
        <f t="shared" si="386"/>
        <v>14000</v>
      </c>
    </row>
    <row r="571" spans="1:25" x14ac:dyDescent="0.2">
      <c r="A571" s="52"/>
      <c r="B571" s="52"/>
      <c r="C571" s="79"/>
      <c r="D571" s="474">
        <v>4280</v>
      </c>
      <c r="E571" s="128" t="s">
        <v>185</v>
      </c>
      <c r="F571" s="260">
        <v>0</v>
      </c>
      <c r="G571" s="100">
        <v>0</v>
      </c>
      <c r="H571" s="101">
        <v>0</v>
      </c>
      <c r="I571" s="102">
        <v>0</v>
      </c>
      <c r="J571" s="1112">
        <v>200</v>
      </c>
      <c r="K571" s="58"/>
      <c r="L571" s="59">
        <f t="shared" si="385"/>
        <v>200</v>
      </c>
      <c r="M571" s="280">
        <v>0</v>
      </c>
      <c r="N571" s="466"/>
      <c r="O571" s="467"/>
      <c r="P571" s="467"/>
      <c r="Q571" s="884"/>
      <c r="R571" s="467"/>
      <c r="S571" s="467"/>
      <c r="T571" s="884"/>
      <c r="U571" s="884"/>
      <c r="V571" s="884"/>
      <c r="W571" s="884"/>
      <c r="X571" s="884">
        <v>200</v>
      </c>
      <c r="Y571" s="884">
        <f t="shared" si="386"/>
        <v>200</v>
      </c>
    </row>
    <row r="572" spans="1:25" ht="19.5" x14ac:dyDescent="0.2">
      <c r="A572" s="52"/>
      <c r="B572" s="52"/>
      <c r="C572" s="79"/>
      <c r="D572" s="402">
        <v>4300</v>
      </c>
      <c r="E572" s="119" t="s">
        <v>143</v>
      </c>
      <c r="F572" s="491">
        <v>20000</v>
      </c>
      <c r="G572" s="56">
        <v>5045.22</v>
      </c>
      <c r="H572" s="101">
        <f t="shared" si="367"/>
        <v>0.25226100000000001</v>
      </c>
      <c r="I572" s="58">
        <v>20000</v>
      </c>
      <c r="J572" s="1108">
        <f>11000+1000</f>
        <v>12000</v>
      </c>
      <c r="K572" s="58"/>
      <c r="L572" s="59">
        <f t="shared" si="385"/>
        <v>12000</v>
      </c>
      <c r="M572" s="280">
        <f t="shared" si="351"/>
        <v>0.6</v>
      </c>
      <c r="N572" s="399" t="s">
        <v>272</v>
      </c>
      <c r="O572" s="392"/>
      <c r="P572" s="392"/>
      <c r="Q572" s="393"/>
      <c r="R572" s="392"/>
      <c r="S572" s="392"/>
      <c r="T572" s="393">
        <v>1000</v>
      </c>
      <c r="U572" s="393"/>
      <c r="V572" s="393"/>
      <c r="W572" s="393"/>
      <c r="X572" s="393">
        <v>11000</v>
      </c>
      <c r="Y572" s="393">
        <f t="shared" si="386"/>
        <v>12000</v>
      </c>
    </row>
    <row r="573" spans="1:25" x14ac:dyDescent="0.2">
      <c r="A573" s="52"/>
      <c r="B573" s="52"/>
      <c r="C573" s="79"/>
      <c r="D573" s="446">
        <v>4430</v>
      </c>
      <c r="E573" s="199" t="s">
        <v>145</v>
      </c>
      <c r="F573" s="129">
        <v>0</v>
      </c>
      <c r="G573" s="100">
        <v>0</v>
      </c>
      <c r="H573" s="101">
        <v>0</v>
      </c>
      <c r="I573" s="102">
        <v>0</v>
      </c>
      <c r="J573" s="1112">
        <v>3000</v>
      </c>
      <c r="K573" s="58"/>
      <c r="L573" s="59">
        <f t="shared" si="385"/>
        <v>3000</v>
      </c>
      <c r="M573" s="280">
        <v>0</v>
      </c>
      <c r="N573" s="466" t="s">
        <v>273</v>
      </c>
      <c r="O573" s="392"/>
      <c r="P573" s="392"/>
      <c r="Q573" s="393"/>
      <c r="R573" s="392"/>
      <c r="S573" s="392"/>
      <c r="T573" s="393">
        <v>3000</v>
      </c>
      <c r="U573" s="393"/>
      <c r="V573" s="393"/>
      <c r="W573" s="393"/>
      <c r="X573" s="393"/>
      <c r="Y573" s="393">
        <f t="shared" si="386"/>
        <v>3000</v>
      </c>
    </row>
    <row r="574" spans="1:25" x14ac:dyDescent="0.2">
      <c r="A574" s="52"/>
      <c r="B574" s="52"/>
      <c r="C574" s="53"/>
      <c r="D574" s="474">
        <v>6050</v>
      </c>
      <c r="E574" s="119" t="s">
        <v>147</v>
      </c>
      <c r="F574" s="93">
        <v>100000</v>
      </c>
      <c r="G574" s="162">
        <v>86.8</v>
      </c>
      <c r="H574" s="101">
        <f t="shared" si="367"/>
        <v>8.6799999999999996E-4</v>
      </c>
      <c r="I574" s="162">
        <v>100000</v>
      </c>
      <c r="J574" s="1112">
        <v>0</v>
      </c>
      <c r="K574" s="58"/>
      <c r="L574" s="59">
        <f t="shared" si="385"/>
        <v>0</v>
      </c>
      <c r="M574" s="280">
        <f t="shared" si="351"/>
        <v>0</v>
      </c>
      <c r="N574" s="466"/>
      <c r="O574" s="392"/>
      <c r="P574" s="392"/>
      <c r="Q574" s="393"/>
      <c r="R574" s="392"/>
      <c r="S574" s="392"/>
      <c r="T574" s="393"/>
      <c r="U574" s="393"/>
      <c r="V574" s="393"/>
      <c r="W574" s="393"/>
      <c r="X574" s="393"/>
      <c r="Y574" s="393"/>
    </row>
    <row r="575" spans="1:25" ht="22.5" x14ac:dyDescent="0.2">
      <c r="A575" s="52"/>
      <c r="B575" s="159"/>
      <c r="C575" s="203"/>
      <c r="D575" s="402">
        <v>6060</v>
      </c>
      <c r="E575" s="212" t="s">
        <v>164</v>
      </c>
      <c r="F575" s="93">
        <v>8000</v>
      </c>
      <c r="G575" s="162">
        <v>7999.99</v>
      </c>
      <c r="H575" s="101">
        <f t="shared" si="367"/>
        <v>0.99999874999999994</v>
      </c>
      <c r="I575" s="162">
        <v>7999.99</v>
      </c>
      <c r="J575" s="1112">
        <v>0</v>
      </c>
      <c r="K575" s="58"/>
      <c r="L575" s="59">
        <f t="shared" si="385"/>
        <v>0</v>
      </c>
      <c r="M575" s="280">
        <f t="shared" si="351"/>
        <v>0</v>
      </c>
      <c r="N575" s="466"/>
      <c r="O575" s="392"/>
      <c r="P575" s="392"/>
      <c r="Q575" s="393"/>
      <c r="R575" s="392"/>
      <c r="S575" s="392"/>
      <c r="T575" s="393"/>
      <c r="U575" s="393"/>
      <c r="V575" s="393"/>
      <c r="W575" s="393"/>
      <c r="X575" s="393"/>
      <c r="Y575" s="393">
        <f t="shared" si="386"/>
        <v>0</v>
      </c>
    </row>
    <row r="576" spans="1:25" x14ac:dyDescent="0.2">
      <c r="A576" s="52"/>
      <c r="B576" s="151">
        <v>92695</v>
      </c>
      <c r="C576" s="426"/>
      <c r="D576" s="152"/>
      <c r="E576" s="272" t="s">
        <v>14</v>
      </c>
      <c r="F576" s="305">
        <f>SUM(F577:F583)</f>
        <v>451459.58999999997</v>
      </c>
      <c r="G576" s="305">
        <f t="shared" ref="G576:I576" si="387">SUM(G577:G583)</f>
        <v>343294.41</v>
      </c>
      <c r="H576" s="157">
        <f>G576/F576</f>
        <v>0.76041005131821438</v>
      </c>
      <c r="I576" s="305">
        <f t="shared" si="387"/>
        <v>450808.92</v>
      </c>
      <c r="J576" s="1126">
        <f>SUM(J577:J583)</f>
        <v>420226.77</v>
      </c>
      <c r="K576" s="1221">
        <f t="shared" ref="K576:L576" si="388">SUM(K577:K583)</f>
        <v>-27000</v>
      </c>
      <c r="L576" s="158">
        <f t="shared" si="388"/>
        <v>393226.77</v>
      </c>
      <c r="M576" s="78">
        <f t="shared" si="351"/>
        <v>0.8710121098546163</v>
      </c>
      <c r="N576" s="810">
        <f t="shared" ref="N576:X576" si="389">SUM(N577:N583)</f>
        <v>0</v>
      </c>
      <c r="O576" s="475">
        <f t="shared" si="389"/>
        <v>50726.770000000004</v>
      </c>
      <c r="P576" s="475">
        <f t="shared" si="389"/>
        <v>0</v>
      </c>
      <c r="Q576" s="475">
        <f t="shared" si="389"/>
        <v>0</v>
      </c>
      <c r="R576" s="475">
        <f t="shared" si="389"/>
        <v>0</v>
      </c>
      <c r="S576" s="475">
        <f t="shared" si="389"/>
        <v>0</v>
      </c>
      <c r="T576" s="475">
        <f t="shared" si="389"/>
        <v>0</v>
      </c>
      <c r="U576" s="475">
        <f t="shared" si="389"/>
        <v>0</v>
      </c>
      <c r="V576" s="475">
        <f t="shared" si="389"/>
        <v>342500</v>
      </c>
      <c r="W576" s="475">
        <f t="shared" si="389"/>
        <v>0</v>
      </c>
      <c r="X576" s="475">
        <f t="shared" si="389"/>
        <v>0</v>
      </c>
      <c r="Y576" s="475">
        <f>SUM(O576:X576)</f>
        <v>393226.77</v>
      </c>
    </row>
    <row r="577" spans="1:26" ht="56.25" x14ac:dyDescent="0.2">
      <c r="A577" s="52"/>
      <c r="B577" s="52"/>
      <c r="C577" s="52"/>
      <c r="D577" s="474">
        <v>2360</v>
      </c>
      <c r="E577" s="125" t="s">
        <v>230</v>
      </c>
      <c r="F577" s="271">
        <v>285500</v>
      </c>
      <c r="G577" s="100">
        <v>285500</v>
      </c>
      <c r="H577" s="101">
        <f>G577/F577</f>
        <v>1</v>
      </c>
      <c r="I577" s="102">
        <v>285500</v>
      </c>
      <c r="J577" s="1112">
        <v>280000</v>
      </c>
      <c r="K577" s="58">
        <v>-7000</v>
      </c>
      <c r="L577" s="59">
        <f>J577+K577</f>
        <v>273000</v>
      </c>
      <c r="M577" s="280">
        <f t="shared" si="351"/>
        <v>0.95621716287215408</v>
      </c>
      <c r="N577" s="466"/>
      <c r="O577" s="392"/>
      <c r="P577" s="392"/>
      <c r="Q577" s="393"/>
      <c r="R577" s="392"/>
      <c r="S577" s="392"/>
      <c r="T577" s="393"/>
      <c r="U577" s="393"/>
      <c r="V577" s="393">
        <f>L577</f>
        <v>273000</v>
      </c>
      <c r="W577" s="393"/>
      <c r="X577" s="393"/>
      <c r="Y577" s="393">
        <f>SUM(O577:X577)</f>
        <v>273000</v>
      </c>
    </row>
    <row r="578" spans="1:26" x14ac:dyDescent="0.2">
      <c r="A578" s="52"/>
      <c r="B578" s="52"/>
      <c r="C578" s="79"/>
      <c r="D578" s="400">
        <v>4110</v>
      </c>
      <c r="E578" s="199" t="s">
        <v>140</v>
      </c>
      <c r="F578" s="134">
        <v>1500</v>
      </c>
      <c r="G578" s="56">
        <v>794.52</v>
      </c>
      <c r="H578" s="101">
        <f t="shared" ref="H578:H583" si="390">G578/F578</f>
        <v>0.52968000000000004</v>
      </c>
      <c r="I578" s="58">
        <v>1500</v>
      </c>
      <c r="J578" s="1108">
        <v>1500</v>
      </c>
      <c r="K578" s="58"/>
      <c r="L578" s="59">
        <f t="shared" ref="L578:L583" si="391">J578+K578</f>
        <v>1500</v>
      </c>
      <c r="M578" s="280">
        <f t="shared" si="351"/>
        <v>1</v>
      </c>
      <c r="N578" s="399"/>
      <c r="O578" s="392"/>
      <c r="P578" s="392"/>
      <c r="Q578" s="393"/>
      <c r="R578" s="392"/>
      <c r="S578" s="392"/>
      <c r="T578" s="393"/>
      <c r="U578" s="393"/>
      <c r="V578" s="393">
        <v>1500</v>
      </c>
      <c r="W578" s="393"/>
      <c r="X578" s="393"/>
      <c r="Y578" s="393">
        <f t="shared" ref="Y578:Y583" si="392">SUM(O578:X578)</f>
        <v>1500</v>
      </c>
    </row>
    <row r="579" spans="1:26" ht="19.5" x14ac:dyDescent="0.2">
      <c r="A579" s="52"/>
      <c r="B579" s="52"/>
      <c r="C579" s="203"/>
      <c r="D579" s="402">
        <v>4170</v>
      </c>
      <c r="E579" s="119" t="s">
        <v>148</v>
      </c>
      <c r="F579" s="120">
        <v>26500</v>
      </c>
      <c r="G579" s="56">
        <v>12452.3</v>
      </c>
      <c r="H579" s="101">
        <f t="shared" si="390"/>
        <v>0.46989811320754715</v>
      </c>
      <c r="I579" s="58">
        <v>26500</v>
      </c>
      <c r="J579" s="1108">
        <f>30000+2000</f>
        <v>32000</v>
      </c>
      <c r="K579" s="58"/>
      <c r="L579" s="59">
        <f t="shared" si="391"/>
        <v>32000</v>
      </c>
      <c r="M579" s="280">
        <f t="shared" si="351"/>
        <v>1.2075471698113207</v>
      </c>
      <c r="N579" s="399" t="s">
        <v>420</v>
      </c>
      <c r="O579" s="392">
        <v>2000</v>
      </c>
      <c r="P579" s="392"/>
      <c r="Q579" s="393"/>
      <c r="R579" s="392"/>
      <c r="S579" s="392"/>
      <c r="T579" s="393"/>
      <c r="U579" s="393"/>
      <c r="V579" s="393">
        <v>30000</v>
      </c>
      <c r="W579" s="393"/>
      <c r="X579" s="393"/>
      <c r="Y579" s="393">
        <f t="shared" si="392"/>
        <v>32000</v>
      </c>
    </row>
    <row r="580" spans="1:26" ht="19.5" x14ac:dyDescent="0.2">
      <c r="A580" s="52"/>
      <c r="B580" s="52"/>
      <c r="C580" s="159"/>
      <c r="D580" s="309">
        <v>4210</v>
      </c>
      <c r="E580" s="122" t="s">
        <v>142</v>
      </c>
      <c r="F580" s="123">
        <v>62142.239999999998</v>
      </c>
      <c r="G580" s="100">
        <v>29164.53</v>
      </c>
      <c r="H580" s="101">
        <f t="shared" si="390"/>
        <v>0.46931893668461261</v>
      </c>
      <c r="I580" s="102">
        <v>62142.239999999998</v>
      </c>
      <c r="J580" s="1112">
        <f>20000+38640.9</f>
        <v>58640.9</v>
      </c>
      <c r="K580" s="1206">
        <v>-10000</v>
      </c>
      <c r="L580" s="59">
        <f t="shared" si="391"/>
        <v>48640.9</v>
      </c>
      <c r="M580" s="280">
        <f t="shared" si="351"/>
        <v>0.78273489980406252</v>
      </c>
      <c r="N580" s="399" t="s">
        <v>421</v>
      </c>
      <c r="O580" s="392">
        <v>38640.9</v>
      </c>
      <c r="P580" s="392"/>
      <c r="Q580" s="393"/>
      <c r="R580" s="392"/>
      <c r="S580" s="392"/>
      <c r="T580" s="393"/>
      <c r="U580" s="393"/>
      <c r="V580" s="393">
        <f>20000-10000</f>
        <v>10000</v>
      </c>
      <c r="W580" s="393"/>
      <c r="X580" s="393"/>
      <c r="Y580" s="393">
        <f t="shared" si="392"/>
        <v>48640.9</v>
      </c>
    </row>
    <row r="581" spans="1:26" x14ac:dyDescent="0.2">
      <c r="A581" s="52"/>
      <c r="B581" s="52"/>
      <c r="C581" s="333"/>
      <c r="D581" s="468">
        <v>4270</v>
      </c>
      <c r="E581" s="125" t="s">
        <v>373</v>
      </c>
      <c r="F581" s="516">
        <v>20000</v>
      </c>
      <c r="G581" s="100">
        <v>0</v>
      </c>
      <c r="H581" s="101">
        <f t="shared" si="390"/>
        <v>0</v>
      </c>
      <c r="I581" s="102">
        <v>20000</v>
      </c>
      <c r="J581" s="1112">
        <v>0</v>
      </c>
      <c r="K581" s="58"/>
      <c r="L581" s="59">
        <f t="shared" si="391"/>
        <v>0</v>
      </c>
      <c r="M581" s="280">
        <f t="shared" si="351"/>
        <v>0</v>
      </c>
      <c r="N581" s="466"/>
      <c r="O581" s="392"/>
      <c r="P581" s="392"/>
      <c r="Q581" s="393"/>
      <c r="R581" s="392"/>
      <c r="S581" s="392"/>
      <c r="T581" s="393"/>
      <c r="U581" s="393"/>
      <c r="V581" s="393"/>
      <c r="W581" s="393"/>
      <c r="X581" s="393"/>
      <c r="Y581" s="393"/>
    </row>
    <row r="582" spans="1:26" ht="19.5" x14ac:dyDescent="0.2">
      <c r="A582" s="52"/>
      <c r="B582" s="52"/>
      <c r="C582" s="240"/>
      <c r="D582" s="446">
        <v>4300</v>
      </c>
      <c r="E582" s="199" t="s">
        <v>143</v>
      </c>
      <c r="F582" s="445">
        <v>49817.35</v>
      </c>
      <c r="G582" s="100">
        <v>12121.06</v>
      </c>
      <c r="H582" s="101">
        <f t="shared" si="390"/>
        <v>0.24331001147190687</v>
      </c>
      <c r="I582" s="102">
        <v>49817.35</v>
      </c>
      <c r="J582" s="1112">
        <f>30000+10085.87</f>
        <v>40085.870000000003</v>
      </c>
      <c r="K582" s="1206">
        <v>-10000</v>
      </c>
      <c r="L582" s="59">
        <f t="shared" si="391"/>
        <v>30085.870000000003</v>
      </c>
      <c r="M582" s="280">
        <f t="shared" si="351"/>
        <v>0.60392353266482468</v>
      </c>
      <c r="N582" s="466" t="s">
        <v>422</v>
      </c>
      <c r="O582" s="392">
        <v>10085.870000000001</v>
      </c>
      <c r="P582" s="392"/>
      <c r="Q582" s="393"/>
      <c r="R582" s="392"/>
      <c r="S582" s="392"/>
      <c r="T582" s="393"/>
      <c r="U582" s="393"/>
      <c r="V582" s="393">
        <f>30000-10000</f>
        <v>20000</v>
      </c>
      <c r="W582" s="393"/>
      <c r="X582" s="393"/>
      <c r="Y582" s="393">
        <f t="shared" si="392"/>
        <v>30085.870000000003</v>
      </c>
    </row>
    <row r="583" spans="1:26" ht="13.5" thickBot="1" x14ac:dyDescent="0.25">
      <c r="A583" s="159"/>
      <c r="B583" s="159"/>
      <c r="C583" s="203"/>
      <c r="D583" s="402">
        <v>4430</v>
      </c>
      <c r="E583" s="119" t="s">
        <v>145</v>
      </c>
      <c r="F583" s="491">
        <v>6000</v>
      </c>
      <c r="G583" s="56">
        <v>3262</v>
      </c>
      <c r="H583" s="101">
        <f t="shared" si="390"/>
        <v>0.54366666666666663</v>
      </c>
      <c r="I583" s="58">
        <v>5349.33</v>
      </c>
      <c r="J583" s="1108">
        <v>8000</v>
      </c>
      <c r="K583" s="102"/>
      <c r="L583" s="59">
        <f t="shared" si="391"/>
        <v>8000</v>
      </c>
      <c r="M583" s="280">
        <f t="shared" si="351"/>
        <v>1.3333333333333333</v>
      </c>
      <c r="N583" s="399"/>
      <c r="O583" s="392"/>
      <c r="P583" s="392"/>
      <c r="Q583" s="393"/>
      <c r="R583" s="392"/>
      <c r="S583" s="392"/>
      <c r="T583" s="393"/>
      <c r="U583" s="393"/>
      <c r="V583" s="393">
        <v>8000</v>
      </c>
      <c r="W583" s="393"/>
      <c r="X583" s="393"/>
      <c r="Y583" s="393">
        <f t="shared" si="392"/>
        <v>8000</v>
      </c>
    </row>
    <row r="584" spans="1:26" ht="15.75" customHeight="1" thickBot="1" x14ac:dyDescent="0.25">
      <c r="A584" s="1439" t="s">
        <v>110</v>
      </c>
      <c r="B584" s="1440"/>
      <c r="C584" s="1440"/>
      <c r="D584" s="1440"/>
      <c r="E584" s="1441"/>
      <c r="F584" s="838">
        <f>F563+F534+F492+F474+F392+F369+F211+F205+F202+F170+F130+F74+F66+F49+F42+F24+F18+F4</f>
        <v>53270571.439999998</v>
      </c>
      <c r="G584" s="838">
        <f>G563+G534+G492+G474+G392+G369+G211+G205+G202+G170+G130+G74+G66+G49+G42+G24+G18+G4</f>
        <v>36739533.960000001</v>
      </c>
      <c r="H584" s="1012">
        <f>G584/F584</f>
        <v>0.68967786466080383</v>
      </c>
      <c r="I584" s="1190">
        <f>I563+I534+I492+I474+I392+I369+I211+I205+I202+I170+I130+I74+I66+I49+I42+I24+I18+I4</f>
        <v>51758007.149999999</v>
      </c>
      <c r="J584" s="1157">
        <f>J563+J534+J492+J474+J392+J369+J211+J205+J202+J170+J130+J74+J66+J49+J42+J24+J18+J4</f>
        <v>54077846.840000004</v>
      </c>
      <c r="K584" s="1190">
        <f>K563+K534+K492+K474+K392+K369+K211+K205+K202+K170+K130+K74+K66+K49+K42+K24+K18+K4</f>
        <v>-2599576.84</v>
      </c>
      <c r="L584" s="1269">
        <f>L563+L534+L492+L474+L392+L369+L211+L205+L202+L170+L130+L74+L66+L49+L42+L24+L18+L4</f>
        <v>51478270.000000007</v>
      </c>
      <c r="M584" s="1025">
        <f>L584/F584</f>
        <v>0.9663547547632616</v>
      </c>
      <c r="N584" s="965"/>
      <c r="O584" s="957">
        <f t="shared" ref="O584:X584" si="393">O563+O534+O492+O474+O392+O369+O211+O205+O202+O170+O130+O74+O66+O49+O42+O24+O18+O4</f>
        <v>262875.83</v>
      </c>
      <c r="P584" s="838">
        <f t="shared" si="393"/>
        <v>0</v>
      </c>
      <c r="Q584" s="957">
        <f t="shared" si="393"/>
        <v>3532650</v>
      </c>
      <c r="R584" s="957">
        <f t="shared" si="393"/>
        <v>364830</v>
      </c>
      <c r="S584" s="957">
        <f t="shared" si="393"/>
        <v>1108844</v>
      </c>
      <c r="T584" s="957">
        <f t="shared" si="393"/>
        <v>10210398</v>
      </c>
      <c r="U584" s="957">
        <f t="shared" si="393"/>
        <v>285000</v>
      </c>
      <c r="V584" s="957">
        <f t="shared" si="393"/>
        <v>4903020</v>
      </c>
      <c r="W584" s="957">
        <f t="shared" si="393"/>
        <v>9964595</v>
      </c>
      <c r="X584" s="957">
        <f t="shared" si="393"/>
        <v>20846057.170000002</v>
      </c>
      <c r="Y584" s="623">
        <f>Y563+Y534+Y492+Y211+Y170+Y24+Y4+Y18+Y42+Y66+Y130+Y205+Y369+Y392+Y474+Y202+Y74+Y49</f>
        <v>51478270.000000007</v>
      </c>
    </row>
    <row r="585" spans="1:26" x14ac:dyDescent="0.2">
      <c r="A585" s="624"/>
      <c r="B585" s="625"/>
      <c r="C585" s="625"/>
      <c r="D585" s="625"/>
      <c r="E585" s="625" t="s">
        <v>111</v>
      </c>
      <c r="F585" s="626"/>
      <c r="G585" s="626"/>
      <c r="H585" s="627"/>
      <c r="I585" s="626"/>
      <c r="J585" s="626"/>
      <c r="K585" s="626"/>
      <c r="L585" s="626"/>
      <c r="M585" s="628"/>
      <c r="N585" s="629"/>
      <c r="O585" s="1442">
        <f>O584+P584+Q584+R584+S584+T584+U584+V584</f>
        <v>20667617.829999998</v>
      </c>
      <c r="P585" s="1443"/>
      <c r="Q585" s="1443"/>
      <c r="R585" s="1443"/>
      <c r="S585" s="1443"/>
      <c r="T585" s="1443"/>
      <c r="U585" s="1443"/>
      <c r="V585" s="1444"/>
      <c r="W585" s="630">
        <f>W584</f>
        <v>9964595</v>
      </c>
      <c r="X585" s="630">
        <f>X584</f>
        <v>20846057.170000002</v>
      </c>
      <c r="Y585" s="630">
        <f>O585+W585+X585</f>
        <v>51478270</v>
      </c>
    </row>
    <row r="586" spans="1:26" ht="15" x14ac:dyDescent="0.2">
      <c r="A586" s="845"/>
      <c r="B586" s="846"/>
      <c r="C586" s="846"/>
      <c r="D586" s="846"/>
      <c r="E586" s="847" t="s">
        <v>312</v>
      </c>
      <c r="F586" s="848">
        <f>F584-F595</f>
        <v>49683162.669999994</v>
      </c>
      <c r="G586" s="848">
        <f>G584-G595</f>
        <v>34927870.539999999</v>
      </c>
      <c r="H586" s="849">
        <f>G586/F586</f>
        <v>0.70301222110182549</v>
      </c>
      <c r="I586" s="850">
        <f>I584-I595</f>
        <v>48220161.229999997</v>
      </c>
      <c r="J586" s="1195">
        <f>J584-J595</f>
        <v>50266596.840000004</v>
      </c>
      <c r="K586" s="850">
        <f t="shared" ref="K586:L586" si="394">K584-K595</f>
        <v>-2249576.84</v>
      </c>
      <c r="L586" s="851">
        <f t="shared" si="394"/>
        <v>48017020.000000007</v>
      </c>
      <c r="M586" s="1194">
        <f>L586/F586</f>
        <v>0.96646464153124356</v>
      </c>
      <c r="N586" s="881"/>
      <c r="O586" s="882">
        <f t="shared" ref="O586:Y586" si="395">O584-O595</f>
        <v>262875.83</v>
      </c>
      <c r="P586" s="882">
        <f t="shared" si="395"/>
        <v>0</v>
      </c>
      <c r="Q586" s="882">
        <f t="shared" si="395"/>
        <v>3232650</v>
      </c>
      <c r="R586" s="882">
        <f t="shared" si="395"/>
        <v>364830</v>
      </c>
      <c r="S586" s="882">
        <f t="shared" si="395"/>
        <v>1088844</v>
      </c>
      <c r="T586" s="882">
        <f t="shared" si="395"/>
        <v>9310398</v>
      </c>
      <c r="U586" s="882">
        <f t="shared" si="395"/>
        <v>285000</v>
      </c>
      <c r="V586" s="882">
        <f t="shared" si="395"/>
        <v>2696770</v>
      </c>
      <c r="W586" s="882">
        <f t="shared" si="395"/>
        <v>9929595</v>
      </c>
      <c r="X586" s="882">
        <f t="shared" si="395"/>
        <v>20846057.170000002</v>
      </c>
      <c r="Y586" s="882">
        <f t="shared" si="395"/>
        <v>48017020.000000007</v>
      </c>
    </row>
    <row r="587" spans="1:26" x14ac:dyDescent="0.2">
      <c r="A587" s="855"/>
      <c r="B587" s="856"/>
      <c r="C587" s="856"/>
      <c r="D587" s="856"/>
      <c r="E587" s="1166"/>
      <c r="F587" s="1166"/>
      <c r="G587" s="1166"/>
      <c r="H587" s="1166"/>
      <c r="I587" s="1166"/>
      <c r="J587" s="1196"/>
      <c r="K587" s="1249"/>
      <c r="L587" s="1270"/>
      <c r="M587" s="1275"/>
      <c r="N587" s="1182"/>
      <c r="O587" s="1182"/>
      <c r="P587" s="1182"/>
      <c r="Q587" s="1182"/>
      <c r="R587" s="1182"/>
      <c r="S587" s="1182"/>
      <c r="T587" s="1182"/>
      <c r="U587" s="1182"/>
      <c r="V587" s="1182"/>
      <c r="W587" s="1182"/>
      <c r="X587" s="1182"/>
      <c r="Y587" s="1182"/>
      <c r="Z587" s="1185"/>
    </row>
    <row r="588" spans="1:26" x14ac:dyDescent="0.2">
      <c r="A588" s="855"/>
      <c r="B588" s="856"/>
      <c r="C588" s="856"/>
      <c r="D588" s="856"/>
      <c r="E588" s="857" t="s">
        <v>321</v>
      </c>
      <c r="F588" s="858">
        <f>F589+F590</f>
        <v>33953445.530000001</v>
      </c>
      <c r="G588" s="858">
        <f t="shared" ref="G588:X588" si="396">G589+G590</f>
        <v>23658344.040000003</v>
      </c>
      <c r="H588" s="1294">
        <f>G588/F588</f>
        <v>0.69678772421185853</v>
      </c>
      <c r="I588" s="966">
        <f t="shared" si="396"/>
        <v>32737674.839999992</v>
      </c>
      <c r="J588" s="1197">
        <f t="shared" si="396"/>
        <v>34885064.829999998</v>
      </c>
      <c r="K588" s="966">
        <f t="shared" si="396"/>
        <v>-1800987.8299999996</v>
      </c>
      <c r="L588" s="1271">
        <f t="shared" si="396"/>
        <v>33084076.999999993</v>
      </c>
      <c r="M588" s="1301">
        <f t="shared" ref="M588:M595" si="397">L588/F588</f>
        <v>0.97439527811008553</v>
      </c>
      <c r="N588" s="1274"/>
      <c r="O588" s="1183">
        <f t="shared" si="396"/>
        <v>262875.83</v>
      </c>
      <c r="P588" s="1183">
        <f t="shared" si="396"/>
        <v>0</v>
      </c>
      <c r="Q588" s="1183">
        <f t="shared" si="396"/>
        <v>2702650</v>
      </c>
      <c r="R588" s="1183">
        <f t="shared" si="396"/>
        <v>277000</v>
      </c>
      <c r="S588" s="1183">
        <f t="shared" si="396"/>
        <v>704219.99999999988</v>
      </c>
      <c r="T588" s="1183">
        <f t="shared" si="396"/>
        <v>3765731.9999999995</v>
      </c>
      <c r="U588" s="1183">
        <f t="shared" si="396"/>
        <v>222700</v>
      </c>
      <c r="V588" s="1183">
        <f t="shared" si="396"/>
        <v>2203770</v>
      </c>
      <c r="W588" s="1183">
        <f t="shared" si="396"/>
        <v>2727618</v>
      </c>
      <c r="X588" s="1183">
        <f t="shared" si="396"/>
        <v>20217511.170000002</v>
      </c>
      <c r="Y588" s="1183">
        <f t="shared" ref="Y588:Y594" si="398">SUM(O588:X588)</f>
        <v>33084077</v>
      </c>
    </row>
    <row r="589" spans="1:26" x14ac:dyDescent="0.2">
      <c r="A589" s="855"/>
      <c r="B589" s="856"/>
      <c r="C589" s="856"/>
      <c r="D589" s="856"/>
      <c r="E589" s="859" t="s">
        <v>319</v>
      </c>
      <c r="F589" s="860">
        <f>F579+F578+F567+F566+F565+F560+F543+F542+F541+F528+F527+F526+F501+F500+F499+F498+F480+F479+F478+F477+F471+F470+F469+F462+F461+F446+F444+F443+F442+F441+F418+F417+F416+F415+F407+F406+F405+F404+F383+F382+F381+F359+F358+F357+F347+F346+F345+F332+F331+F330+F329+F314+F313+F312+F311+F310+F305+F292+F291+F290+F289+F288+F266+F265+F264+F263+F262+F239+F238+F237+F236+F220+F219+F218+F217+F216+F181+F180+F179+F165+F164+F163+F157+F156+F155+F148+F147+F146+F139+F138+F137+F134+F133+F132+F128+F123+F104+F101+F98+F94+F91+F79+F78+F77+F76+F70+F35+F34+F33+F21+F20+F13+F12+F11+F376+F375+F374</f>
        <v>20466919.389999997</v>
      </c>
      <c r="G589" s="860">
        <f t="shared" ref="G589:I589" si="399">G579+G578+G567+G566+G565+G560+G543+G542+G541+G528+G527+G526+G501+G500+G499+G498+G480+G479+G478+G477+G471+G470+G469+G462+G461+G446+G444+G443+G442+G441+G418+G417+G416+G415+G407+G406+G405+G404+G383+G382+G381+G359+G358+G357+G347+G346+G345+G332+G331+G330+G329+G314+G313+G312+G311+G310+G305+G292+G291+G290+G289+G288+G266+G265+G264+G263+G262+G239+G238+G237+G236+G220+G219+G218+G217+G216+G181+G180+G179+G165+G164+G163+G157+G156+G155+G148+G147+G146+G139+G138+G137+G134+G133+G132+G128+G123+G104+G101+G98+G94+G91+G79+G78+G77+G76+G70+G35+G34+G33+G21+G20+G13+G12+G11+G376+G375+G374</f>
        <v>15013136.720000003</v>
      </c>
      <c r="H589" s="1295">
        <f>G589/F589</f>
        <v>0.73353182440027209</v>
      </c>
      <c r="I589" s="1192">
        <f t="shared" si="399"/>
        <v>20250671.709999993</v>
      </c>
      <c r="J589" s="1198">
        <f>J579+J578+J567+J566+J565+J560+J543+J542+J541+J528+J527+J526+J501+J500+J499+J498+J480+J479+J478+J477+J471+J470+J469+J462+J461+J446+J444+J443+J442+J441+J418+J417+J416+J415+J407+J406+J405+J404+J383+J382+J381+J359+J358+J357+J347+J346+J345+J332+J331+J330+J329+J314+J313+J312+J311+J310+J305+J292+J291+J290+J289+J288+J266+J265+J264+J263+J262+J239+J238+J237+J236+J220+J219+J218+J217+J216+J181+J180+J179+J165+J164+J163+J157+J156+J155+J148+J147+J146+J139+J138+J137+J134+J133+J132+J128+J123+J104+J101+J98+J94+J91+J79+J78+J77+J76+J70+J35+J34+J33+J21+J20+J13+J12+J11+J376+J375+J374</f>
        <v>21440765</v>
      </c>
      <c r="K589" s="1192">
        <f>K579+K578+K567+K566+K565+K560+K543+K542+K541+K528+K527+K526+K501+K500+K499+K498+K480+K479+K478+K477+K471+K470+K469+K462+K461+K446+K444+K443+K442+K441+K418+K417+K416+K415+K407+K406+K405+K404+K383+K382+K381+K359+K358+K357+K347+K346+K345+K332+K331+K330+K329+K314+K313+K312+K311+K310+K305+K292+K291+K290+K289+K288+K266+K265+K264+K263+K262+K239+K238+K237+K236+K220+K219+K218+K217+K216+K181+K180+K179+K165+K164+K163+K157+K156+K155+K148+K147+K146+K139+K138+K137+K134+K133+K132+K128+K123+K104+K101+K98+K94+K91+K79+K78+K77+K76+K70+K35+K34+K33+K21+K20+K13+K12+K11+K376+K375+K374</f>
        <v>-425728.99999999988</v>
      </c>
      <c r="L589" s="1272">
        <f>L579+L578+L567+L566+L565+L560+L543+L542+L541+L528+L527+L526+L501+L500+L499+L498+L480+L479+L478+L477+L471+L470+L469+L462+L461+L446+L444+L443+L442+L441+L418+L417+L416+L415+L407+L406+L405+L404+L383+L382+L381+L359+L358+L357+L347+L346+L345+L332+L331+L330+L329+L314+L313+L312+L311+L310+L305+L292+L291+L290+L289+L288+L266+L265+L264+L263+L262+L239+L238+L237+L236+L220+L219+L218+L217+L216+L181+L180+L179+L165+L164+L163+L157+L156+L155+L148+L147+L146+L139+L138+L137+L134+L133+L132+L128+L123+L104+L101+L98+L94+L91+L79+L78+L77+L76+L70+L35+L34+L33+L21+L20+L13+L12+L11+L376+L375+L374</f>
        <v>21015035.999999996</v>
      </c>
      <c r="M589" s="1302">
        <f t="shared" si="397"/>
        <v>1.0267806111684694</v>
      </c>
      <c r="N589" s="1015"/>
      <c r="O589" s="860">
        <f t="shared" ref="O589:X589" si="400">O579+O578+O567+O566+O565+O560+O543+O542+O541+O528+O527+O526+O501+O500+O499+O498+O480+O479+O478+O477+O471+O470+O469+O462+O461+O446+O444+O443+O442+O441+O418+O417+O416+O415+O407+O406+O405+O404+O383+O382+O381+O359+O358+O357+O347+O346+O345+O332+O331+O330+O329+O314+O313+O312+O311+O310+O305+O292+O291+O290+O289+O288+O266+O265+O264+O263+O262+O239+O238+O237+O236+O220+O219+O218+O217+O216+O181+O180+O179+O165+O164+O163+O157+O156+O155+O148+O147+O146+O139+O138+O137+O134+O133+O132+O128+O123+O104+O101+O98+O94+O91+O79+O78+O77+O76+O70+O35+O34+O33+O21+O20+O13+O12+O11+O376+O375+O374</f>
        <v>10193</v>
      </c>
      <c r="P589" s="860">
        <f t="shared" si="400"/>
        <v>0</v>
      </c>
      <c r="Q589" s="860">
        <f t="shared" si="400"/>
        <v>3520</v>
      </c>
      <c r="R589" s="860">
        <f t="shared" si="400"/>
        <v>0</v>
      </c>
      <c r="S589" s="860">
        <f t="shared" si="400"/>
        <v>9000</v>
      </c>
      <c r="T589" s="860">
        <f t="shared" si="400"/>
        <v>3330281.9999999995</v>
      </c>
      <c r="U589" s="860">
        <f t="shared" si="400"/>
        <v>129854</v>
      </c>
      <c r="V589" s="860">
        <f t="shared" si="400"/>
        <v>35500</v>
      </c>
      <c r="W589" s="860">
        <f t="shared" si="400"/>
        <v>1564550</v>
      </c>
      <c r="X589" s="860">
        <f t="shared" si="400"/>
        <v>15932137</v>
      </c>
      <c r="Y589" s="860">
        <f t="shared" si="398"/>
        <v>21015036</v>
      </c>
      <c r="Z589" s="1184"/>
    </row>
    <row r="590" spans="1:26" ht="22.5" x14ac:dyDescent="0.2">
      <c r="A590" s="855"/>
      <c r="B590" s="856"/>
      <c r="C590" s="856"/>
      <c r="D590" s="856"/>
      <c r="E590" s="861" t="s">
        <v>320</v>
      </c>
      <c r="F590" s="862">
        <f>F583+F582+F580+F573+F572+F570+F569+F568+F562+F561+F554+F549+F548+F547+F546+F545+F544+F538+F537+F532+F531+F530+F529+F524+F521+F520+F517+F516+F512+F511+F510+F504+F503+F502+F495+F494+F491+F486+F485+F484+F483+F482+F481+F473+F472+F464+F463+F458+F457+F456+F454+F455+F453+F452+F451+F450+F449+F448+F447+F445+F437+F430+F429+F427+F426+F425+F424+F423+F422+F421+F420+F419+F413+F411+F410+F409+F408+F401+F400+F391+F389+F388+F387+F386+F385+F384+F377+F368+F367+F339+F338+F337+F336+F335+F334+F333+F327+F326+F325+F323+F322+F321+F320+F319+F318+F316+F315+F307+F306+F303+F302+F301+F300+F299+F298+F297+F296+F295+F294+F293+F279+F278+F277+F276+F275+F274+F273+F272+F271+F270+F269+F268+F267+F247+F246+F245+F244+F243+F242+F241+F240+F232+F231+F230+F229+F228+F227+F226+F225+F224+F223+F222+F221+F207+F200+F199+F197+F194+F193+F192+F188+F187+F186+F185+F184+F183+F182+F172+F169+F168+F166+F160+F159+F158+F129+F125+F124+F120+F119+F118+F117+F116+F115+F114+F113+F112+F111+F110+F109+F108+F107+F106+F105+F88+F87+F86+F82+F81+F80+F73+F71+F63+F62+F61+F60+F59+F58+F57+F56+F55+F54+F53+F45+F39+F38+F37+F36+F27+F23+F22++F16+F15+F14+F508+F9+F85+F398+F396+F394+F364+F363+F362+F361+F360+F351+F350+F349+F348+F140+F141+F142+F143+F149+F150+F151+F152+F7+F167+F198+F435+F581+F68+F317+F571+F175+F505+F506</f>
        <v>13486526.140000004</v>
      </c>
      <c r="G590" s="862">
        <f t="shared" ref="G590:X590" si="401">G583+G582+G580+G573+G572+G570+G569+G568+G562+G561+G554+G549+G548+G547+G546+G545+G544+G538+G537+G532+G531+G530+G529+G524+G521+G520+G517+G516+G512+G511+G510+G504+G503+G502+G495+G494+G491+G486+G485+G484+G483+G482+G481+G473+G472+G464+G463+G458+G457+G456+G454+G455+G453+G452+G451+G450+G449+G448+G447+G445+G437+G430+G429+G427+G426+G425+G424+G423+G422+G421+G420+G419+G413+G411+G410+G409+G408+G401+G400+G391+G389+G388+G387+G386+G385+G384+G377+G368+G367+G339+G338+G337+G336+G335+G334+G333+G327+G326+G325+G323+G322+G321+G320+G319+G318+G316+G315+G307+G306+G303+G302+G301+G300+G299+G298+G297+G296+G295+G294+G293+G279+G278+G277+G276+G275+G274+G273+G272+G271+G270+G269+G268+G267+G247+G246+G245+G244+G243+G242+G241+G240+G232+G231+G230+G229+G228+G227+G226+G225+G224+G223+G222+G221+G207+G200+G199+G197+G194+G193+G192+G188+G187+G186+G185+G184+G183+G182+G172+G169+G168+G166+G160+G159+G158+G129+G125+G124+G120+G119+G118+G117+G116+G115+G114+G113+G112+G111+G110+G109+G108+G107+G106+G105+G88+G87+G86+G82+G81+G80+G73+G71+G63+G62+G61+G60+G59+G58+G57+G56+G55+G54+G53+G45+G39+G38+G37+G36+G27+G23+G22++G16+G15+G14+G508+G9+G85+G398+G396+G394+G364+G363+G362+G361+G360+G351+G350+G349+G348+G140+G141+G142+G143+G149+G150+G151+G152+G7+G167+G198+G435+G581+G68+G317+G571+G175+G505+G506</f>
        <v>8645207.3200000003</v>
      </c>
      <c r="H590" s="1296">
        <f>G590/F590</f>
        <v>0.64102551170378685</v>
      </c>
      <c r="I590" s="1193">
        <f t="shared" si="401"/>
        <v>12487003.129999999</v>
      </c>
      <c r="J590" s="1199">
        <f t="shared" si="401"/>
        <v>13444299.83</v>
      </c>
      <c r="K590" s="1193">
        <f t="shared" si="401"/>
        <v>-1375258.8299999998</v>
      </c>
      <c r="L590" s="969">
        <f t="shared" si="401"/>
        <v>12069040.999999998</v>
      </c>
      <c r="M590" s="1303">
        <f t="shared" si="397"/>
        <v>0.89489620045329143</v>
      </c>
      <c r="N590" s="1014"/>
      <c r="O590" s="862">
        <f t="shared" si="401"/>
        <v>252682.83000000002</v>
      </c>
      <c r="P590" s="862">
        <f t="shared" si="401"/>
        <v>0</v>
      </c>
      <c r="Q590" s="862">
        <f t="shared" si="401"/>
        <v>2699130</v>
      </c>
      <c r="R590" s="862">
        <f t="shared" si="401"/>
        <v>277000</v>
      </c>
      <c r="S590" s="862">
        <f t="shared" si="401"/>
        <v>695219.99999999988</v>
      </c>
      <c r="T590" s="862">
        <f t="shared" si="401"/>
        <v>435450</v>
      </c>
      <c r="U590" s="862">
        <f t="shared" si="401"/>
        <v>92846</v>
      </c>
      <c r="V590" s="862">
        <f t="shared" si="401"/>
        <v>2168270</v>
      </c>
      <c r="W590" s="862">
        <f t="shared" si="401"/>
        <v>1163068</v>
      </c>
      <c r="X590" s="862">
        <f t="shared" si="401"/>
        <v>4285374.17</v>
      </c>
      <c r="Y590" s="862">
        <f t="shared" si="398"/>
        <v>12069041</v>
      </c>
      <c r="Z590" s="1184"/>
    </row>
    <row r="591" spans="1:26" x14ac:dyDescent="0.2">
      <c r="A591" s="855"/>
      <c r="B591" s="856"/>
      <c r="C591" s="856"/>
      <c r="D591" s="856"/>
      <c r="E591" s="863" t="s">
        <v>322</v>
      </c>
      <c r="F591" s="864">
        <f>F577+F558+F556+F540+F379+F283+F284+F256+F249+F234+F213+F177+F51+F26+F6+F553+F515+F497+F536+F380+F366+F353+F341+F285+F44+F466</f>
        <v>5910462.290000001</v>
      </c>
      <c r="G591" s="864">
        <f t="shared" ref="G591:X591" si="402">G577+G558+G556+G540+G379+G283+G284+G256+G249+G234+G213+G177+G51+G26+G6+G553+G515+G497+G536+G380+G366+G353+G341+G285+G44+G466</f>
        <v>4471877.96</v>
      </c>
      <c r="H591" s="1296">
        <f t="shared" ref="H591:H593" si="403">G591/F591</f>
        <v>0.75660375459395734</v>
      </c>
      <c r="I591" s="967">
        <f t="shared" si="402"/>
        <v>5738136.9000000013</v>
      </c>
      <c r="J591" s="1200">
        <f t="shared" si="402"/>
        <v>6477412.0099999998</v>
      </c>
      <c r="K591" s="967">
        <f t="shared" si="402"/>
        <v>-679921.01</v>
      </c>
      <c r="L591" s="1273">
        <f t="shared" si="402"/>
        <v>5797491</v>
      </c>
      <c r="M591" s="1303">
        <f t="shared" si="397"/>
        <v>0.9808862176159826</v>
      </c>
      <c r="N591" s="1014"/>
      <c r="O591" s="862">
        <f t="shared" si="402"/>
        <v>0</v>
      </c>
      <c r="P591" s="862">
        <f t="shared" si="402"/>
        <v>0</v>
      </c>
      <c r="Q591" s="862">
        <f t="shared" si="402"/>
        <v>30000</v>
      </c>
      <c r="R591" s="862">
        <f t="shared" si="402"/>
        <v>30000</v>
      </c>
      <c r="S591" s="862">
        <f t="shared" si="402"/>
        <v>0</v>
      </c>
      <c r="T591" s="862">
        <f t="shared" si="402"/>
        <v>5182191</v>
      </c>
      <c r="U591" s="862">
        <f t="shared" si="402"/>
        <v>62300</v>
      </c>
      <c r="V591" s="862">
        <f t="shared" si="402"/>
        <v>493000</v>
      </c>
      <c r="W591" s="862">
        <f t="shared" si="402"/>
        <v>0</v>
      </c>
      <c r="X591" s="862">
        <f t="shared" si="402"/>
        <v>0</v>
      </c>
      <c r="Y591" s="862">
        <f t="shared" si="398"/>
        <v>5797491</v>
      </c>
    </row>
    <row r="592" spans="1:26" x14ac:dyDescent="0.2">
      <c r="A592" s="855"/>
      <c r="B592" s="856"/>
      <c r="C592" s="856"/>
      <c r="D592" s="856"/>
      <c r="E592" s="865" t="s">
        <v>323</v>
      </c>
      <c r="F592" s="864">
        <f>F489+F488+F476+F468+F440+F434+F438+F432+F414+F403+F309+F286+F261+F235+F214+F215+F196+F178+F162+F154+F127+F90+F84+F287+F145+F136</f>
        <v>9421794.8500000015</v>
      </c>
      <c r="G592" s="864">
        <f>G489+G488+G476+G468+G440+G434+G438+G432+G414+G403+G309+G286+G261+G235+G214+G215+G196+G178+G162+G154+G127+G90+G84+G287+G145+G136</f>
        <v>6551196.4099999983</v>
      </c>
      <c r="H592" s="1296">
        <f t="shared" si="403"/>
        <v>0.69532361023547407</v>
      </c>
      <c r="I592" s="967">
        <f t="shared" ref="I592:X592" si="404">I489+I488+I476+I468+I440+I434+I438+I432+I414+I403+I309+I286+I261+I235+I214+I215+I196+I178+I162+I154+I127+I90+I84+I287+I145+I136</f>
        <v>9373512.0100000016</v>
      </c>
      <c r="J592" s="1200">
        <f t="shared" si="404"/>
        <v>8541645</v>
      </c>
      <c r="K592" s="967">
        <f t="shared" si="404"/>
        <v>231332</v>
      </c>
      <c r="L592" s="1273">
        <f t="shared" si="404"/>
        <v>8772977</v>
      </c>
      <c r="M592" s="1303">
        <f t="shared" si="397"/>
        <v>0.93113649147221655</v>
      </c>
      <c r="N592" s="1014"/>
      <c r="O592" s="862">
        <f t="shared" si="404"/>
        <v>0</v>
      </c>
      <c r="P592" s="862">
        <f t="shared" si="404"/>
        <v>0</v>
      </c>
      <c r="Q592" s="862">
        <f t="shared" si="404"/>
        <v>500000</v>
      </c>
      <c r="R592" s="862">
        <f t="shared" si="404"/>
        <v>57830</v>
      </c>
      <c r="S592" s="862">
        <f t="shared" si="404"/>
        <v>384624</v>
      </c>
      <c r="T592" s="862">
        <f t="shared" si="404"/>
        <v>0</v>
      </c>
      <c r="U592" s="862">
        <f t="shared" si="404"/>
        <v>0</v>
      </c>
      <c r="V592" s="862">
        <f t="shared" si="404"/>
        <v>0</v>
      </c>
      <c r="W592" s="862">
        <f t="shared" si="404"/>
        <v>7201977</v>
      </c>
      <c r="X592" s="862">
        <f t="shared" si="404"/>
        <v>628546</v>
      </c>
      <c r="Y592" s="862">
        <f t="shared" si="398"/>
        <v>8772977</v>
      </c>
    </row>
    <row r="593" spans="1:25" ht="36" x14ac:dyDescent="0.2">
      <c r="A593" s="855"/>
      <c r="B593" s="856"/>
      <c r="C593" s="856"/>
      <c r="D593" s="856"/>
      <c r="E593" s="954" t="s">
        <v>374</v>
      </c>
      <c r="F593" s="864">
        <f>F46</f>
        <v>260</v>
      </c>
      <c r="G593" s="864">
        <f>G46</f>
        <v>255.2</v>
      </c>
      <c r="H593" s="1296">
        <f t="shared" si="403"/>
        <v>0.98153846153846147</v>
      </c>
      <c r="I593" s="967">
        <f>I46</f>
        <v>255.2</v>
      </c>
      <c r="J593" s="1199">
        <f>J46</f>
        <v>0</v>
      </c>
      <c r="K593" s="1193">
        <f>K46</f>
        <v>0</v>
      </c>
      <c r="L593" s="969">
        <f>L46</f>
        <v>0</v>
      </c>
      <c r="M593" s="1024">
        <f t="shared" si="397"/>
        <v>0</v>
      </c>
      <c r="N593" s="1015"/>
      <c r="O593" s="862">
        <f t="shared" ref="O593:X593" si="405">O46</f>
        <v>0</v>
      </c>
      <c r="P593" s="862">
        <f t="shared" si="405"/>
        <v>0</v>
      </c>
      <c r="Q593" s="862">
        <f t="shared" si="405"/>
        <v>0</v>
      </c>
      <c r="R593" s="862">
        <f t="shared" si="405"/>
        <v>0</v>
      </c>
      <c r="S593" s="862">
        <f t="shared" si="405"/>
        <v>0</v>
      </c>
      <c r="T593" s="862">
        <f t="shared" si="405"/>
        <v>0</v>
      </c>
      <c r="U593" s="862">
        <f t="shared" si="405"/>
        <v>0</v>
      </c>
      <c r="V593" s="862">
        <f t="shared" si="405"/>
        <v>0</v>
      </c>
      <c r="W593" s="862">
        <f t="shared" si="405"/>
        <v>0</v>
      </c>
      <c r="X593" s="862">
        <f t="shared" si="405"/>
        <v>0</v>
      </c>
      <c r="Y593" s="862">
        <f t="shared" si="398"/>
        <v>0</v>
      </c>
    </row>
    <row r="594" spans="1:25" ht="24" x14ac:dyDescent="0.2">
      <c r="A594" s="852"/>
      <c r="B594" s="853"/>
      <c r="C594" s="853"/>
      <c r="D594" s="853"/>
      <c r="E594" s="1021" t="s">
        <v>375</v>
      </c>
      <c r="F594" s="854">
        <f>F204</f>
        <v>397200</v>
      </c>
      <c r="G594" s="854">
        <f>G204</f>
        <v>246196.93</v>
      </c>
      <c r="H594" s="1296">
        <f>G594/F594</f>
        <v>0.61983114300100706</v>
      </c>
      <c r="I594" s="873">
        <f>I204</f>
        <v>370582.28</v>
      </c>
      <c r="J594" s="1201">
        <f>J204</f>
        <v>362475</v>
      </c>
      <c r="K594" s="873">
        <f>K204</f>
        <v>0</v>
      </c>
      <c r="L594" s="1175">
        <f>L204</f>
        <v>362475</v>
      </c>
      <c r="M594" s="1024">
        <f t="shared" si="397"/>
        <v>0.9125755287009063</v>
      </c>
      <c r="N594" s="1016"/>
      <c r="O594" s="883">
        <f t="shared" ref="O594:X594" si="406">O204</f>
        <v>0</v>
      </c>
      <c r="P594" s="883">
        <f t="shared" si="406"/>
        <v>0</v>
      </c>
      <c r="Q594" s="883">
        <f t="shared" si="406"/>
        <v>0</v>
      </c>
      <c r="R594" s="883">
        <f t="shared" si="406"/>
        <v>0</v>
      </c>
      <c r="S594" s="883">
        <f t="shared" si="406"/>
        <v>0</v>
      </c>
      <c r="T594" s="883">
        <f t="shared" si="406"/>
        <v>362475</v>
      </c>
      <c r="U594" s="883">
        <f t="shared" si="406"/>
        <v>0</v>
      </c>
      <c r="V594" s="883">
        <f t="shared" si="406"/>
        <v>0</v>
      </c>
      <c r="W594" s="883">
        <f t="shared" si="406"/>
        <v>0</v>
      </c>
      <c r="X594" s="883">
        <f t="shared" si="406"/>
        <v>0</v>
      </c>
      <c r="Y594" s="883">
        <f t="shared" si="398"/>
        <v>362475</v>
      </c>
    </row>
    <row r="595" spans="1:25" ht="15" x14ac:dyDescent="0.25">
      <c r="A595" s="866"/>
      <c r="B595" s="867"/>
      <c r="C595" s="867"/>
      <c r="D595" s="867"/>
      <c r="E595" s="876" t="s">
        <v>313</v>
      </c>
      <c r="F595" s="877">
        <f>F597+F598+F599</f>
        <v>3587408.77</v>
      </c>
      <c r="G595" s="877">
        <f t="shared" ref="G595:Y595" si="407">G597+G598+G599</f>
        <v>1811663.4200000002</v>
      </c>
      <c r="H595" s="1297">
        <f>G595/F595</f>
        <v>0.5050061300931703</v>
      </c>
      <c r="I595" s="968">
        <f t="shared" si="407"/>
        <v>3537845.9200000009</v>
      </c>
      <c r="J595" s="1202">
        <f t="shared" si="407"/>
        <v>3811250</v>
      </c>
      <c r="K595" s="968">
        <f t="shared" si="407"/>
        <v>-350000</v>
      </c>
      <c r="L595" s="970">
        <f t="shared" si="407"/>
        <v>3461250</v>
      </c>
      <c r="M595" s="986">
        <f t="shared" si="397"/>
        <v>0.96483289803631722</v>
      </c>
      <c r="N595" s="1017">
        <f t="shared" si="407"/>
        <v>0</v>
      </c>
      <c r="O595" s="877">
        <f t="shared" si="407"/>
        <v>0</v>
      </c>
      <c r="P595" s="877">
        <f t="shared" si="407"/>
        <v>0</v>
      </c>
      <c r="Q595" s="958">
        <f t="shared" si="407"/>
        <v>300000</v>
      </c>
      <c r="R595" s="877">
        <f t="shared" si="407"/>
        <v>0</v>
      </c>
      <c r="S595" s="877">
        <f t="shared" si="407"/>
        <v>20000</v>
      </c>
      <c r="T595" s="877">
        <f t="shared" si="407"/>
        <v>900000</v>
      </c>
      <c r="U595" s="877">
        <f t="shared" si="407"/>
        <v>0</v>
      </c>
      <c r="V595" s="977">
        <f t="shared" si="407"/>
        <v>2206250</v>
      </c>
      <c r="W595" s="877">
        <f t="shared" si="407"/>
        <v>35000</v>
      </c>
      <c r="X595" s="877">
        <f t="shared" si="407"/>
        <v>0</v>
      </c>
      <c r="Y595" s="958">
        <f t="shared" si="407"/>
        <v>3461250</v>
      </c>
    </row>
    <row r="596" spans="1:25" ht="15" x14ac:dyDescent="0.25">
      <c r="A596" s="875"/>
      <c r="B596" s="839"/>
      <c r="C596" s="839"/>
      <c r="D596" s="839"/>
      <c r="E596" s="843" t="s">
        <v>123</v>
      </c>
      <c r="F596" s="840"/>
      <c r="G596" s="840"/>
      <c r="H596" s="1298"/>
      <c r="I596" s="840"/>
      <c r="J596" s="840"/>
      <c r="K596" s="840"/>
      <c r="L596" s="840"/>
      <c r="M596" s="1022"/>
      <c r="N596" s="841"/>
      <c r="O596" s="841"/>
      <c r="P596" s="841"/>
      <c r="Q596" s="841"/>
      <c r="R596" s="841"/>
      <c r="S596" s="841"/>
      <c r="T596" s="841"/>
      <c r="U596" s="841"/>
      <c r="V596" s="841"/>
      <c r="W596" s="841"/>
      <c r="X596" s="841"/>
      <c r="Y596" s="842"/>
    </row>
    <row r="597" spans="1:25" ht="36" x14ac:dyDescent="0.2">
      <c r="A597" s="762"/>
      <c r="B597" s="868"/>
      <c r="C597" s="868"/>
      <c r="D597" s="868"/>
      <c r="E597" s="869" t="s">
        <v>324</v>
      </c>
      <c r="F597" s="870">
        <f>+F48</f>
        <v>3286.77</v>
      </c>
      <c r="G597" s="870">
        <f>+G48</f>
        <v>3286.77</v>
      </c>
      <c r="H597" s="1299">
        <f>G597/F597</f>
        <v>1</v>
      </c>
      <c r="I597" s="971">
        <f>+I48</f>
        <v>3286.77</v>
      </c>
      <c r="J597" s="974">
        <f>+J48</f>
        <v>0</v>
      </c>
      <c r="K597" s="974">
        <f>+K48</f>
        <v>0</v>
      </c>
      <c r="L597" s="974">
        <f>+L48</f>
        <v>0</v>
      </c>
      <c r="M597" s="1023">
        <f>L597/F597</f>
        <v>0</v>
      </c>
      <c r="N597" s="1018">
        <f t="shared" ref="N597:Y597" si="408">+N48</f>
        <v>0</v>
      </c>
      <c r="O597" s="870">
        <f t="shared" si="408"/>
        <v>0</v>
      </c>
      <c r="P597" s="870">
        <f t="shared" si="408"/>
        <v>0</v>
      </c>
      <c r="Q597" s="870">
        <f t="shared" si="408"/>
        <v>0</v>
      </c>
      <c r="R597" s="870">
        <f t="shared" si="408"/>
        <v>0</v>
      </c>
      <c r="S597" s="870">
        <f t="shared" si="408"/>
        <v>0</v>
      </c>
      <c r="T597" s="870">
        <f t="shared" si="408"/>
        <v>0</v>
      </c>
      <c r="U597" s="870">
        <f t="shared" si="408"/>
        <v>0</v>
      </c>
      <c r="V597" s="870">
        <f t="shared" si="408"/>
        <v>0</v>
      </c>
      <c r="W597" s="870">
        <f t="shared" si="408"/>
        <v>0</v>
      </c>
      <c r="X597" s="870">
        <f t="shared" si="408"/>
        <v>0</v>
      </c>
      <c r="Y597" s="870">
        <f t="shared" si="408"/>
        <v>0</v>
      </c>
    </row>
    <row r="598" spans="1:25" ht="24" x14ac:dyDescent="0.2">
      <c r="A598" s="762"/>
      <c r="B598" s="868"/>
      <c r="C598" s="868"/>
      <c r="D598" s="868"/>
      <c r="E598" s="844" t="s">
        <v>325</v>
      </c>
      <c r="F598" s="871">
        <f>F551+F190+F31+F29+F372+F371+F518</f>
        <v>1022080</v>
      </c>
      <c r="G598" s="871">
        <f>G551+G190+G31+G29+G372+G371+G518</f>
        <v>636280</v>
      </c>
      <c r="H598" s="1299">
        <f>G598/F598</f>
        <v>0.62253443957420163</v>
      </c>
      <c r="I598" s="972">
        <f>I551+I190+I31+I29+I372+I371+I518</f>
        <v>1022080</v>
      </c>
      <c r="J598" s="975">
        <f>J551+J190+J31+J29+J372+J371+J518</f>
        <v>900000</v>
      </c>
      <c r="K598" s="975">
        <f>K551+K190+K31+K29+K372+K371+K518</f>
        <v>0</v>
      </c>
      <c r="L598" s="975">
        <f>L551+L190+L31+L29+L372+L371+L518</f>
        <v>900000</v>
      </c>
      <c r="M598" s="1023">
        <f>L598/F598</f>
        <v>0.88055729492798995</v>
      </c>
      <c r="N598" s="1019"/>
      <c r="O598" s="871">
        <f t="shared" ref="O598:Y598" si="409">O551+O190+O31+O29+O372+O371+O518</f>
        <v>0</v>
      </c>
      <c r="P598" s="871">
        <f t="shared" si="409"/>
        <v>0</v>
      </c>
      <c r="Q598" s="871">
        <f t="shared" si="409"/>
        <v>0</v>
      </c>
      <c r="R598" s="871">
        <f t="shared" si="409"/>
        <v>0</v>
      </c>
      <c r="S598" s="871">
        <f t="shared" si="409"/>
        <v>0</v>
      </c>
      <c r="T598" s="871">
        <f t="shared" si="409"/>
        <v>900000</v>
      </c>
      <c r="U598" s="871">
        <f t="shared" si="409"/>
        <v>0</v>
      </c>
      <c r="V598" s="871">
        <f t="shared" si="409"/>
        <v>0</v>
      </c>
      <c r="W598" s="871">
        <f t="shared" si="409"/>
        <v>0</v>
      </c>
      <c r="X598" s="871">
        <f t="shared" si="409"/>
        <v>0</v>
      </c>
      <c r="Y598" s="871">
        <f t="shared" si="409"/>
        <v>900000</v>
      </c>
    </row>
    <row r="599" spans="1:25" x14ac:dyDescent="0.2">
      <c r="A599" s="763"/>
      <c r="B599" s="761"/>
      <c r="C599" s="761"/>
      <c r="D599" s="761"/>
      <c r="E599" s="874" t="s">
        <v>326</v>
      </c>
      <c r="F599" s="872">
        <f>F575+F550+F533+F522+F201+F189+F121+F65+F47+F17+F40+F173+F574+F513+F281+F280+F64+F41+F459</f>
        <v>2562042</v>
      </c>
      <c r="G599" s="872">
        <f>G575+G550+G533+G522+G201+G189+G121+G65+G47+G17+G40+G173+G574+G513+G281+G280+G64+G41+G459</f>
        <v>1172096.6500000001</v>
      </c>
      <c r="H599" s="1300">
        <f>G599/F599</f>
        <v>0.4574853378672169</v>
      </c>
      <c r="I599" s="973">
        <f>I575+I550+I533+I522+I201+I189+I121+I65+I47+I17+I40+I173+I574+I513+I281+I280+I64+I41+I459</f>
        <v>2512479.1500000008</v>
      </c>
      <c r="J599" s="976">
        <f>J575+J550+J533+J522+J201+J189+J121+J65+J47+J17+J40+J173+J574+J513+J281+J280+J64+J41+J459</f>
        <v>2911250</v>
      </c>
      <c r="K599" s="976">
        <f>K575+K550+K533+K522+K201+K189+K121+K65+K47+K17+K40+K173+K574+K513+K281+K280+K64+K41+K459</f>
        <v>-350000</v>
      </c>
      <c r="L599" s="976">
        <f>L575+L550+L533+L522+L201+L189+L121+L65+L47+L17+L40+L173+L574+L513+L281+L280+L64+L41+L459</f>
        <v>2561250</v>
      </c>
      <c r="M599" s="987">
        <f>L599/F599</f>
        <v>0.99969087157821768</v>
      </c>
      <c r="N599" s="1020"/>
      <c r="O599" s="872">
        <f t="shared" ref="O599:Y599" si="410">O575+O550+O533+O522+O201+O189+O121+O65+O47+O17+O40+O173+O574+O513+O281+O280+O64+O41+O459</f>
        <v>0</v>
      </c>
      <c r="P599" s="872">
        <f t="shared" si="410"/>
        <v>0</v>
      </c>
      <c r="Q599" s="872">
        <f t="shared" si="410"/>
        <v>300000</v>
      </c>
      <c r="R599" s="872">
        <f t="shared" si="410"/>
        <v>0</v>
      </c>
      <c r="S599" s="872">
        <f t="shared" si="410"/>
        <v>20000</v>
      </c>
      <c r="T599" s="872">
        <f t="shared" si="410"/>
        <v>0</v>
      </c>
      <c r="U599" s="872">
        <f t="shared" si="410"/>
        <v>0</v>
      </c>
      <c r="V599" s="872">
        <f t="shared" si="410"/>
        <v>2206250</v>
      </c>
      <c r="W599" s="872">
        <f t="shared" si="410"/>
        <v>35000</v>
      </c>
      <c r="X599" s="872">
        <f t="shared" si="410"/>
        <v>0</v>
      </c>
      <c r="Y599" s="962">
        <f t="shared" si="410"/>
        <v>2561250</v>
      </c>
    </row>
    <row r="600" spans="1:25" ht="12.75" hidden="1" customHeight="1" x14ac:dyDescent="0.2">
      <c r="A600" s="1445" t="s">
        <v>274</v>
      </c>
      <c r="B600" s="1445"/>
      <c r="C600" s="1445"/>
      <c r="D600" s="1445"/>
      <c r="E600" s="1445"/>
      <c r="F600" s="1445"/>
      <c r="G600" s="1445"/>
      <c r="H600" s="1445"/>
      <c r="I600" s="1445"/>
      <c r="J600" s="1445"/>
      <c r="K600" s="1445"/>
      <c r="L600" s="1445"/>
      <c r="M600" s="1445"/>
    </row>
    <row r="601" spans="1:25" hidden="1" x14ac:dyDescent="0.2">
      <c r="E601" s="1" t="s">
        <v>275</v>
      </c>
      <c r="F601" s="387">
        <f>L584</f>
        <v>51478270.000000007</v>
      </c>
    </row>
    <row r="602" spans="1:25" hidden="1" x14ac:dyDescent="0.2">
      <c r="E602" s="388" t="s">
        <v>276</v>
      </c>
      <c r="F602" s="387">
        <f>L595</f>
        <v>3461250</v>
      </c>
    </row>
    <row r="603" spans="1:25" hidden="1" x14ac:dyDescent="0.2">
      <c r="E603" s="388" t="s">
        <v>277</v>
      </c>
      <c r="F603" s="387">
        <f>L589</f>
        <v>21015035.999999996</v>
      </c>
    </row>
    <row r="604" spans="1:25" hidden="1" x14ac:dyDescent="0.2">
      <c r="E604" s="388" t="s">
        <v>278</v>
      </c>
      <c r="F604" s="387">
        <f>L594</f>
        <v>362475</v>
      </c>
    </row>
    <row r="605" spans="1:25" hidden="1" x14ac:dyDescent="0.2">
      <c r="E605" s="388" t="s">
        <v>279</v>
      </c>
      <c r="F605" s="387">
        <f>F601-F602-F603-F604</f>
        <v>26639509.000000011</v>
      </c>
    </row>
    <row r="606" spans="1:25" hidden="1" x14ac:dyDescent="0.2">
      <c r="E606" s="388" t="s">
        <v>280</v>
      </c>
      <c r="F606" s="387">
        <f>F605*0.5%</f>
        <v>133197.54500000007</v>
      </c>
    </row>
    <row r="607" spans="1:25" hidden="1" x14ac:dyDescent="0.2">
      <c r="E607" s="388" t="s">
        <v>281</v>
      </c>
      <c r="F607" s="387">
        <v>135000</v>
      </c>
    </row>
    <row r="608" spans="1:25" hidden="1" x14ac:dyDescent="0.2"/>
    <row r="609" spans="6:6" hidden="1" x14ac:dyDescent="0.2"/>
    <row r="610" spans="6:6" x14ac:dyDescent="0.2">
      <c r="F610" s="387"/>
    </row>
    <row r="611" spans="6:6" x14ac:dyDescent="0.2">
      <c r="F611" s="387"/>
    </row>
  </sheetData>
  <mergeCells count="10">
    <mergeCell ref="A584:E584"/>
    <mergeCell ref="O585:V585"/>
    <mergeCell ref="A600:M600"/>
    <mergeCell ref="G1:M1"/>
    <mergeCell ref="C3:D3"/>
    <mergeCell ref="B429:B430"/>
    <mergeCell ref="B494:B495"/>
    <mergeCell ref="B371:B372"/>
    <mergeCell ref="B440:B459"/>
    <mergeCell ref="A2:M2"/>
  </mergeCells>
  <pageMargins left="0.98425196850393704" right="0" top="0.98425196850393704" bottom="0.39370078740157483" header="0.51181102362204722" footer="0.11811023622047245"/>
  <pageSetup paperSize="9" fitToHeight="0" orientation="landscape" r:id="rId1"/>
  <headerFooter alignWithMargins="0">
    <oddFooter>Strona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tabSelected="1" view="pageBreakPreview" zoomScaleNormal="100" zoomScaleSheetLayoutView="100" workbookViewId="0">
      <selection activeCell="A17" sqref="A17:B19"/>
    </sheetView>
  </sheetViews>
  <sheetFormatPr defaultRowHeight="12.75" x14ac:dyDescent="0.2"/>
  <cols>
    <col min="1" max="1" width="5" style="632" customWidth="1"/>
    <col min="2" max="2" width="30.5703125" style="632" customWidth="1"/>
    <col min="3" max="3" width="3.7109375" style="632" hidden="1" customWidth="1"/>
    <col min="4" max="4" width="12" style="632" hidden="1" customWidth="1"/>
    <col min="5" max="5" width="9.5703125" style="632" hidden="1" customWidth="1"/>
    <col min="6" max="6" width="12.85546875" style="632" hidden="1" customWidth="1"/>
    <col min="7" max="7" width="10.140625" style="632" hidden="1" customWidth="1"/>
    <col min="8" max="8" width="14" style="632" hidden="1" customWidth="1"/>
    <col min="9" max="9" width="3.7109375" style="632" customWidth="1"/>
    <col min="10" max="10" width="14" style="632" customWidth="1"/>
    <col min="11" max="11" width="10.85546875" style="632" customWidth="1"/>
    <col min="12" max="12" width="12.42578125" style="632" customWidth="1"/>
    <col min="13" max="13" width="12.140625" style="632" customWidth="1"/>
    <col min="14" max="14" width="10.140625" style="632" customWidth="1"/>
    <col min="15" max="15" width="11.85546875" style="632" customWidth="1"/>
    <col min="16" max="16" width="9.85546875" style="632" bestFit="1" customWidth="1"/>
    <col min="17" max="17" width="12" style="632" customWidth="1"/>
    <col min="18" max="18" width="9.85546875" style="632" bestFit="1" customWidth="1"/>
    <col min="19" max="19" width="12" style="632" bestFit="1" customWidth="1"/>
    <col min="20" max="20" width="12.28515625" style="632" bestFit="1" customWidth="1"/>
    <col min="21" max="21" width="12" style="632" bestFit="1" customWidth="1"/>
    <col min="22" max="22" width="11.140625" style="632" customWidth="1"/>
    <col min="23" max="23" width="12" style="632" bestFit="1" customWidth="1"/>
    <col min="24" max="24" width="12.28515625" style="632" bestFit="1" customWidth="1"/>
    <col min="25" max="25" width="12" style="632" bestFit="1" customWidth="1"/>
    <col min="26" max="26" width="12.28515625" style="632" bestFit="1" customWidth="1"/>
    <col min="27" max="27" width="12" style="632" bestFit="1" customWidth="1"/>
    <col min="28" max="28" width="10.42578125" style="632" bestFit="1" customWidth="1"/>
    <col min="29" max="29" width="12" style="632" bestFit="1" customWidth="1"/>
    <col min="30" max="30" width="10.42578125" style="632" bestFit="1" customWidth="1"/>
    <col min="31" max="31" width="12" style="632" bestFit="1" customWidth="1"/>
    <col min="32" max="32" width="10.7109375" style="632" hidden="1" customWidth="1"/>
    <col min="33" max="33" width="12.85546875" style="632" hidden="1" customWidth="1"/>
    <col min="34" max="34" width="10.42578125" style="632" bestFit="1" customWidth="1"/>
    <col min="35" max="35" width="9.28515625" style="632" bestFit="1" customWidth="1"/>
    <col min="36" max="16384" width="9.140625" style="632"/>
  </cols>
  <sheetData>
    <row r="1" spans="1:35" ht="58.5" customHeight="1" x14ac:dyDescent="0.2">
      <c r="B1" s="633"/>
      <c r="C1" s="633"/>
      <c r="D1" s="633"/>
      <c r="E1" s="633"/>
      <c r="F1" s="633"/>
      <c r="G1" s="1482" t="s">
        <v>333</v>
      </c>
      <c r="H1" s="1482"/>
      <c r="I1" s="1482"/>
      <c r="J1" s="1482"/>
      <c r="K1" s="1482"/>
      <c r="L1" s="1482"/>
      <c r="M1" s="1482"/>
      <c r="N1" s="1482"/>
      <c r="O1" s="633"/>
      <c r="P1" s="633"/>
      <c r="Q1" s="633"/>
    </row>
    <row r="2" spans="1:35" ht="15.75" customHeight="1" thickBot="1" x14ac:dyDescent="0.25">
      <c r="B2" s="634"/>
      <c r="C2" s="633"/>
      <c r="D2" s="635"/>
      <c r="E2" s="635"/>
      <c r="F2" s="635"/>
      <c r="G2" s="636"/>
      <c r="H2" s="636"/>
      <c r="I2" s="633"/>
      <c r="J2" s="636"/>
      <c r="K2" s="636"/>
      <c r="L2" s="636"/>
      <c r="M2" s="636"/>
      <c r="N2" s="636"/>
      <c r="O2" s="636"/>
      <c r="P2" s="636"/>
      <c r="Q2" s="636"/>
      <c r="R2" s="637"/>
      <c r="S2" s="637"/>
      <c r="T2" s="637"/>
      <c r="U2" s="637"/>
      <c r="V2" s="637"/>
      <c r="W2" s="637"/>
      <c r="X2" s="637"/>
      <c r="Y2" s="637"/>
      <c r="Z2" s="637"/>
      <c r="AA2" s="637"/>
      <c r="AB2" s="637"/>
      <c r="AC2" s="637"/>
      <c r="AD2" s="637"/>
      <c r="AE2" s="637"/>
    </row>
    <row r="3" spans="1:35" ht="16.5" customHeight="1" thickBot="1" x14ac:dyDescent="0.25">
      <c r="A3" s="1483" t="s">
        <v>282</v>
      </c>
      <c r="B3" s="1484" t="s">
        <v>283</v>
      </c>
      <c r="C3" s="1455"/>
      <c r="D3" s="1454" t="s">
        <v>284</v>
      </c>
      <c r="E3" s="1485">
        <v>2011</v>
      </c>
      <c r="F3" s="1486"/>
      <c r="G3" s="1480">
        <v>2015</v>
      </c>
      <c r="H3" s="1480"/>
      <c r="I3" s="1455"/>
      <c r="J3" s="1454" t="s">
        <v>433</v>
      </c>
      <c r="K3" s="1480">
        <v>2016</v>
      </c>
      <c r="L3" s="1480"/>
      <c r="M3" s="1480"/>
      <c r="N3" s="1486">
        <v>2017</v>
      </c>
      <c r="O3" s="1480"/>
      <c r="P3" s="1480">
        <v>2018</v>
      </c>
      <c r="Q3" s="1480"/>
      <c r="R3" s="1480">
        <v>2019</v>
      </c>
      <c r="S3" s="1480"/>
      <c r="T3" s="1477">
        <v>2020</v>
      </c>
      <c r="U3" s="1481"/>
      <c r="V3" s="1477">
        <v>2021</v>
      </c>
      <c r="W3" s="1481"/>
      <c r="X3" s="1477">
        <v>2022</v>
      </c>
      <c r="Y3" s="1481"/>
      <c r="Z3" s="1476">
        <v>2023</v>
      </c>
      <c r="AA3" s="1481"/>
      <c r="AB3" s="1474">
        <v>2024</v>
      </c>
      <c r="AC3" s="1475"/>
      <c r="AD3" s="1474">
        <v>2025</v>
      </c>
      <c r="AE3" s="1475"/>
      <c r="AF3" s="1476">
        <v>2026</v>
      </c>
      <c r="AG3" s="1477"/>
      <c r="AH3" s="1478">
        <v>2026</v>
      </c>
      <c r="AI3" s="1475"/>
    </row>
    <row r="4" spans="1:35" ht="32.25" customHeight="1" thickBot="1" x14ac:dyDescent="0.25">
      <c r="A4" s="1483"/>
      <c r="B4" s="1484"/>
      <c r="C4" s="1456"/>
      <c r="D4" s="1454"/>
      <c r="E4" s="638" t="s">
        <v>285</v>
      </c>
      <c r="F4" s="639" t="s">
        <v>286</v>
      </c>
      <c r="G4" s="638" t="s">
        <v>285</v>
      </c>
      <c r="H4" s="639" t="s">
        <v>286</v>
      </c>
      <c r="I4" s="1456"/>
      <c r="J4" s="1454"/>
      <c r="K4" s="638" t="s">
        <v>285</v>
      </c>
      <c r="L4" s="1330" t="s">
        <v>432</v>
      </c>
      <c r="M4" s="639" t="s">
        <v>286</v>
      </c>
      <c r="N4" s="638" t="s">
        <v>285</v>
      </c>
      <c r="O4" s="640" t="s">
        <v>286</v>
      </c>
      <c r="P4" s="638" t="s">
        <v>285</v>
      </c>
      <c r="Q4" s="639" t="s">
        <v>286</v>
      </c>
      <c r="R4" s="638" t="s">
        <v>285</v>
      </c>
      <c r="S4" s="639" t="s">
        <v>286</v>
      </c>
      <c r="T4" s="638" t="s">
        <v>285</v>
      </c>
      <c r="U4" s="641" t="s">
        <v>286</v>
      </c>
      <c r="V4" s="642" t="s">
        <v>285</v>
      </c>
      <c r="W4" s="641" t="s">
        <v>286</v>
      </c>
      <c r="X4" s="642" t="s">
        <v>285</v>
      </c>
      <c r="Y4" s="641" t="s">
        <v>286</v>
      </c>
      <c r="Z4" s="643" t="s">
        <v>285</v>
      </c>
      <c r="AA4" s="641" t="s">
        <v>286</v>
      </c>
      <c r="AB4" s="643" t="s">
        <v>285</v>
      </c>
      <c r="AC4" s="641" t="s">
        <v>286</v>
      </c>
      <c r="AD4" s="643" t="s">
        <v>285</v>
      </c>
      <c r="AE4" s="641" t="s">
        <v>286</v>
      </c>
      <c r="AF4" s="643" t="s">
        <v>285</v>
      </c>
      <c r="AG4" s="886" t="s">
        <v>286</v>
      </c>
      <c r="AH4" s="643" t="s">
        <v>285</v>
      </c>
      <c r="AI4" s="641" t="s">
        <v>286</v>
      </c>
    </row>
    <row r="5" spans="1:35" ht="15" customHeight="1" x14ac:dyDescent="0.2">
      <c r="A5" s="644">
        <v>1</v>
      </c>
      <c r="B5" s="1479" t="s">
        <v>287</v>
      </c>
      <c r="C5" s="645" t="s">
        <v>288</v>
      </c>
      <c r="D5" s="646">
        <v>3778400</v>
      </c>
      <c r="E5" s="647">
        <v>103400</v>
      </c>
      <c r="F5" s="648">
        <f>D5-E5</f>
        <v>3675000</v>
      </c>
      <c r="G5" s="649">
        <v>419800</v>
      </c>
      <c r="H5" s="650">
        <f>D5-G5</f>
        <v>3358600</v>
      </c>
      <c r="I5" s="645" t="s">
        <v>288</v>
      </c>
      <c r="J5" s="1321">
        <v>3358600</v>
      </c>
      <c r="K5" s="649">
        <v>419800</v>
      </c>
      <c r="L5" s="1331"/>
      <c r="M5" s="650">
        <f>H5-K5</f>
        <v>2938800</v>
      </c>
      <c r="N5" s="649">
        <v>419800</v>
      </c>
      <c r="O5" s="650">
        <f>M5-N5</f>
        <v>2519000</v>
      </c>
      <c r="P5" s="649">
        <v>419800</v>
      </c>
      <c r="Q5" s="650">
        <f>O5-P5</f>
        <v>2099200</v>
      </c>
      <c r="R5" s="649">
        <v>419800</v>
      </c>
      <c r="S5" s="650">
        <f>Q5-R5</f>
        <v>1679400</v>
      </c>
      <c r="T5" s="651">
        <v>419800</v>
      </c>
      <c r="U5" s="652">
        <f>S5-T5</f>
        <v>1259600</v>
      </c>
      <c r="V5" s="653">
        <v>419800</v>
      </c>
      <c r="W5" s="652">
        <f>U5-V5</f>
        <v>839800</v>
      </c>
      <c r="X5" s="653">
        <v>419800</v>
      </c>
      <c r="Y5" s="652">
        <f>W5-X5</f>
        <v>420000</v>
      </c>
      <c r="Z5" s="654">
        <v>420000</v>
      </c>
      <c r="AA5" s="652">
        <f>Y5-Z5</f>
        <v>0</v>
      </c>
      <c r="AB5" s="655"/>
      <c r="AC5" s="656">
        <v>0</v>
      </c>
      <c r="AD5" s="655"/>
      <c r="AE5" s="656">
        <v>0</v>
      </c>
      <c r="AF5" s="657"/>
      <c r="AG5" s="887"/>
      <c r="AH5" s="896">
        <v>0</v>
      </c>
      <c r="AI5" s="1339">
        <v>0</v>
      </c>
    </row>
    <row r="6" spans="1:35" ht="15.75" customHeight="1" x14ac:dyDescent="0.2">
      <c r="A6" s="658"/>
      <c r="B6" s="1472"/>
      <c r="C6" s="659" t="s">
        <v>289</v>
      </c>
      <c r="D6" s="660">
        <f>(1.66+0.24+0.72)%</f>
        <v>2.6200000000000001E-2</v>
      </c>
      <c r="E6" s="661">
        <v>31000</v>
      </c>
      <c r="F6" s="662"/>
      <c r="G6" s="661">
        <v>99000</v>
      </c>
      <c r="H6" s="663"/>
      <c r="I6" s="659" t="s">
        <v>289</v>
      </c>
      <c r="J6" s="1329">
        <f>0.72%+1.9%</f>
        <v>2.6200000000000001E-2</v>
      </c>
      <c r="K6" s="661">
        <v>88000</v>
      </c>
      <c r="L6" s="1332"/>
      <c r="M6" s="663"/>
      <c r="N6" s="661">
        <v>77000</v>
      </c>
      <c r="O6" s="664"/>
      <c r="P6" s="661">
        <v>66000</v>
      </c>
      <c r="Q6" s="663"/>
      <c r="R6" s="661">
        <v>55000</v>
      </c>
      <c r="S6" s="663"/>
      <c r="T6" s="661">
        <v>44000</v>
      </c>
      <c r="U6" s="665"/>
      <c r="V6" s="666">
        <v>33000</v>
      </c>
      <c r="W6" s="665"/>
      <c r="X6" s="666">
        <v>22000</v>
      </c>
      <c r="Y6" s="665"/>
      <c r="Z6" s="667">
        <v>11000</v>
      </c>
      <c r="AA6" s="665"/>
      <c r="AB6" s="667"/>
      <c r="AC6" s="665"/>
      <c r="AD6" s="667"/>
      <c r="AE6" s="665"/>
      <c r="AF6" s="657"/>
      <c r="AG6" s="887"/>
      <c r="AH6" s="898"/>
      <c r="AI6" s="1338"/>
    </row>
    <row r="7" spans="1:35" ht="15.75" customHeight="1" x14ac:dyDescent="0.2">
      <c r="A7" s="658"/>
      <c r="B7" s="1473"/>
      <c r="C7" s="659" t="s">
        <v>290</v>
      </c>
      <c r="D7" s="663"/>
      <c r="E7" s="661">
        <f>SUM(E5:E6)</f>
        <v>134400</v>
      </c>
      <c r="F7" s="662">
        <f>F5</f>
        <v>3675000</v>
      </c>
      <c r="G7" s="661">
        <f>G5+G6</f>
        <v>518800</v>
      </c>
      <c r="H7" s="663">
        <f>H5</f>
        <v>3358600</v>
      </c>
      <c r="I7" s="659" t="s">
        <v>290</v>
      </c>
      <c r="J7" s="1322"/>
      <c r="K7" s="661">
        <f>SUM(K5:K6)</f>
        <v>507800</v>
      </c>
      <c r="L7" s="1332"/>
      <c r="M7" s="663">
        <f>SUM(M5:M6)</f>
        <v>2938800</v>
      </c>
      <c r="N7" s="661">
        <f>SUM(N5:N6)</f>
        <v>496800</v>
      </c>
      <c r="O7" s="663">
        <f>SUM(O5:O6)</f>
        <v>2519000</v>
      </c>
      <c r="P7" s="668">
        <f>SUM(P5:P6)</f>
        <v>485800</v>
      </c>
      <c r="Q7" s="663">
        <f>Q5+Q6</f>
        <v>2099200</v>
      </c>
      <c r="R7" s="669">
        <f>SUM(R5:R6)</f>
        <v>474800</v>
      </c>
      <c r="S7" s="663">
        <f>SUM(S5:S6)</f>
        <v>1679400</v>
      </c>
      <c r="T7" s="670">
        <f>SUM(T5:T6)</f>
        <v>463800</v>
      </c>
      <c r="U7" s="671">
        <f>SUM(U5)</f>
        <v>1259600</v>
      </c>
      <c r="V7" s="672">
        <f>SUM(V5:V6)</f>
        <v>452800</v>
      </c>
      <c r="W7" s="671">
        <f>W5</f>
        <v>839800</v>
      </c>
      <c r="X7" s="672">
        <f>SUM(X5:X6)</f>
        <v>441800</v>
      </c>
      <c r="Y7" s="671">
        <f>Y5</f>
        <v>420000</v>
      </c>
      <c r="Z7" s="673">
        <f>SUM(Z5:Z6)</f>
        <v>431000</v>
      </c>
      <c r="AA7" s="671">
        <f>AA5</f>
        <v>0</v>
      </c>
      <c r="AB7" s="673"/>
      <c r="AC7" s="671">
        <v>0</v>
      </c>
      <c r="AD7" s="673"/>
      <c r="AE7" s="671">
        <v>0</v>
      </c>
      <c r="AF7" s="674"/>
      <c r="AG7" s="889"/>
      <c r="AH7" s="895">
        <f>AH5+AH6</f>
        <v>0</v>
      </c>
      <c r="AI7" s="1340">
        <v>0</v>
      </c>
    </row>
    <row r="8" spans="1:35" ht="15" customHeight="1" x14ac:dyDescent="0.2">
      <c r="A8" s="644">
        <v>2</v>
      </c>
      <c r="B8" s="1458" t="s">
        <v>291</v>
      </c>
      <c r="C8" s="645" t="s">
        <v>288</v>
      </c>
      <c r="D8" s="646">
        <v>1250000</v>
      </c>
      <c r="E8" s="647">
        <v>103400</v>
      </c>
      <c r="F8" s="648">
        <f>D8-E8</f>
        <v>1146600</v>
      </c>
      <c r="G8" s="647">
        <v>125000</v>
      </c>
      <c r="H8" s="646">
        <f>D8-G8</f>
        <v>1125000</v>
      </c>
      <c r="I8" s="645" t="s">
        <v>288</v>
      </c>
      <c r="J8" s="1323">
        <v>1125000</v>
      </c>
      <c r="K8" s="647">
        <v>125000</v>
      </c>
      <c r="L8" s="1333"/>
      <c r="M8" s="646">
        <f>H8-K8</f>
        <v>1000000</v>
      </c>
      <c r="N8" s="647">
        <v>125000</v>
      </c>
      <c r="O8" s="675">
        <f>M8-N8</f>
        <v>875000</v>
      </c>
      <c r="P8" s="647">
        <v>125000</v>
      </c>
      <c r="Q8" s="646">
        <f>O8-P8</f>
        <v>750000</v>
      </c>
      <c r="R8" s="647">
        <v>125000</v>
      </c>
      <c r="S8" s="646">
        <f>Q8-R8</f>
        <v>625000</v>
      </c>
      <c r="T8" s="676">
        <v>125000</v>
      </c>
      <c r="U8" s="677">
        <f>S8-T8</f>
        <v>500000</v>
      </c>
      <c r="V8" s="676">
        <v>125000</v>
      </c>
      <c r="W8" s="677">
        <f>U8-V8</f>
        <v>375000</v>
      </c>
      <c r="X8" s="676">
        <v>125000</v>
      </c>
      <c r="Y8" s="677">
        <f>W8-X8</f>
        <v>250000</v>
      </c>
      <c r="Z8" s="676">
        <v>125000</v>
      </c>
      <c r="AA8" s="677">
        <f>Y8-Z8</f>
        <v>125000</v>
      </c>
      <c r="AB8" s="676">
        <v>125000</v>
      </c>
      <c r="AC8" s="678">
        <f>AA8-AB8</f>
        <v>0</v>
      </c>
      <c r="AD8" s="679"/>
      <c r="AE8" s="678">
        <v>0</v>
      </c>
      <c r="AF8" s="680"/>
      <c r="AG8" s="890"/>
      <c r="AH8" s="896">
        <v>0</v>
      </c>
      <c r="AI8" s="1339">
        <v>0</v>
      </c>
    </row>
    <row r="9" spans="1:35" ht="15.75" customHeight="1" x14ac:dyDescent="0.2">
      <c r="A9" s="658"/>
      <c r="B9" s="1472"/>
      <c r="C9" s="659" t="s">
        <v>289</v>
      </c>
      <c r="D9" s="660">
        <f>(1.66+0.24+0.6)%</f>
        <v>2.5000000000000001E-2</v>
      </c>
      <c r="E9" s="661">
        <v>31000</v>
      </c>
      <c r="F9" s="662"/>
      <c r="G9" s="661">
        <v>31250</v>
      </c>
      <c r="H9" s="663"/>
      <c r="I9" s="659" t="s">
        <v>289</v>
      </c>
      <c r="J9" s="1329">
        <f>0.6%+1.9%</f>
        <v>2.5000000000000001E-2</v>
      </c>
      <c r="K9" s="661">
        <v>26000</v>
      </c>
      <c r="L9" s="1332"/>
      <c r="M9" s="663"/>
      <c r="N9" s="661">
        <v>25000</v>
      </c>
      <c r="O9" s="664"/>
      <c r="P9" s="661">
        <v>22000</v>
      </c>
      <c r="Q9" s="663"/>
      <c r="R9" s="661">
        <v>18750</v>
      </c>
      <c r="S9" s="663"/>
      <c r="T9" s="661">
        <v>15600</v>
      </c>
      <c r="U9" s="665"/>
      <c r="V9" s="666">
        <v>12500</v>
      </c>
      <c r="W9" s="665"/>
      <c r="X9" s="666">
        <v>9400</v>
      </c>
      <c r="Y9" s="665"/>
      <c r="Z9" s="667">
        <v>6300</v>
      </c>
      <c r="AA9" s="665"/>
      <c r="AB9" s="667">
        <v>3200</v>
      </c>
      <c r="AC9" s="665"/>
      <c r="AD9" s="667"/>
      <c r="AE9" s="665"/>
      <c r="AF9" s="657"/>
      <c r="AG9" s="887"/>
      <c r="AH9" s="898"/>
      <c r="AI9" s="1338"/>
    </row>
    <row r="10" spans="1:35" ht="15.75" customHeight="1" x14ac:dyDescent="0.2">
      <c r="A10" s="658"/>
      <c r="B10" s="1473"/>
      <c r="C10" s="659" t="s">
        <v>290</v>
      </c>
      <c r="D10" s="663"/>
      <c r="E10" s="661">
        <f>SUM(E8:E9)</f>
        <v>134400</v>
      </c>
      <c r="F10" s="662">
        <f>F8</f>
        <v>1146600</v>
      </c>
      <c r="G10" s="661">
        <f>SUM(G8:G9)</f>
        <v>156250</v>
      </c>
      <c r="H10" s="663">
        <v>0</v>
      </c>
      <c r="I10" s="659" t="s">
        <v>290</v>
      </c>
      <c r="J10" s="1322"/>
      <c r="K10" s="661">
        <f>SUM(K8:K9)</f>
        <v>151000</v>
      </c>
      <c r="L10" s="1332"/>
      <c r="M10" s="663">
        <v>0</v>
      </c>
      <c r="N10" s="661">
        <f>SUM(N8:N9)</f>
        <v>150000</v>
      </c>
      <c r="O10" s="664">
        <v>0</v>
      </c>
      <c r="P10" s="661">
        <f>SUM(P8:P9)</f>
        <v>147000</v>
      </c>
      <c r="Q10" s="663">
        <v>0</v>
      </c>
      <c r="R10" s="661">
        <f>SUM(R8:R9)</f>
        <v>143750</v>
      </c>
      <c r="S10" s="663">
        <v>0</v>
      </c>
      <c r="T10" s="681">
        <f>SUM(T8:T9)</f>
        <v>140600</v>
      </c>
      <c r="U10" s="682">
        <v>0</v>
      </c>
      <c r="V10" s="683">
        <f>SUM(V8:V9)</f>
        <v>137500</v>
      </c>
      <c r="W10" s="671">
        <v>0</v>
      </c>
      <c r="X10" s="683">
        <f>SUM(X8:X9)</f>
        <v>134400</v>
      </c>
      <c r="Y10" s="671">
        <v>0</v>
      </c>
      <c r="Z10" s="684">
        <f>SUM(Z8:Z9)</f>
        <v>131300</v>
      </c>
      <c r="AA10" s="671">
        <v>0</v>
      </c>
      <c r="AB10" s="684">
        <f>SUM(AB8:AB9)</f>
        <v>128200</v>
      </c>
      <c r="AC10" s="671">
        <v>0</v>
      </c>
      <c r="AD10" s="673"/>
      <c r="AE10" s="671">
        <v>0</v>
      </c>
      <c r="AF10" s="674"/>
      <c r="AG10" s="889"/>
      <c r="AH10" s="895">
        <f>AH8+AH9</f>
        <v>0</v>
      </c>
      <c r="AI10" s="1340">
        <v>0</v>
      </c>
    </row>
    <row r="11" spans="1:35" ht="15" customHeight="1" x14ac:dyDescent="0.2">
      <c r="A11" s="644">
        <v>3</v>
      </c>
      <c r="B11" s="1457" t="s">
        <v>292</v>
      </c>
      <c r="C11" s="645" t="s">
        <v>288</v>
      </c>
      <c r="D11" s="646">
        <v>3660000</v>
      </c>
      <c r="E11" s="647">
        <v>732000</v>
      </c>
      <c r="F11" s="648">
        <f>D11-E11</f>
        <v>2928000</v>
      </c>
      <c r="G11" s="647">
        <v>732000</v>
      </c>
      <c r="H11" s="646">
        <f>D11-G11</f>
        <v>2928000</v>
      </c>
      <c r="I11" s="645" t="s">
        <v>288</v>
      </c>
      <c r="J11" s="1323">
        <v>2928000</v>
      </c>
      <c r="K11" s="647">
        <v>732000</v>
      </c>
      <c r="L11" s="1333"/>
      <c r="M11" s="646">
        <f>H11-K11</f>
        <v>2196000</v>
      </c>
      <c r="N11" s="647">
        <v>732000</v>
      </c>
      <c r="O11" s="646">
        <f>M11-N11</f>
        <v>1464000</v>
      </c>
      <c r="P11" s="685">
        <v>732000</v>
      </c>
      <c r="Q11" s="646">
        <f>O11-P11</f>
        <v>732000</v>
      </c>
      <c r="R11" s="685">
        <v>732000</v>
      </c>
      <c r="S11" s="646">
        <f>Q11-R11</f>
        <v>0</v>
      </c>
      <c r="T11" s="686"/>
      <c r="U11" s="678">
        <v>0</v>
      </c>
      <c r="V11" s="687"/>
      <c r="W11" s="678">
        <v>0</v>
      </c>
      <c r="X11" s="687"/>
      <c r="Y11" s="678">
        <v>0</v>
      </c>
      <c r="Z11" s="679"/>
      <c r="AA11" s="678">
        <v>0</v>
      </c>
      <c r="AB11" s="679"/>
      <c r="AC11" s="678">
        <v>0</v>
      </c>
      <c r="AD11" s="679"/>
      <c r="AE11" s="678">
        <v>0</v>
      </c>
      <c r="AF11" s="680"/>
      <c r="AG11" s="890"/>
      <c r="AH11" s="896">
        <v>0</v>
      </c>
      <c r="AI11" s="1339">
        <v>0</v>
      </c>
    </row>
    <row r="12" spans="1:35" ht="13.5" customHeight="1" x14ac:dyDescent="0.2">
      <c r="A12" s="658"/>
      <c r="B12" s="1458"/>
      <c r="C12" s="659" t="s">
        <v>289</v>
      </c>
      <c r="D12" s="660">
        <f>(1.66+0.24+1.6)%</f>
        <v>3.5000000000000003E-2</v>
      </c>
      <c r="E12" s="661">
        <v>380000</v>
      </c>
      <c r="F12" s="662"/>
      <c r="G12" s="661">
        <v>128100</v>
      </c>
      <c r="H12" s="663"/>
      <c r="I12" s="659" t="s">
        <v>289</v>
      </c>
      <c r="J12" s="1329">
        <f>1.6%+1.9%</f>
        <v>3.5000000000000003E-2</v>
      </c>
      <c r="K12" s="661">
        <v>102500</v>
      </c>
      <c r="L12" s="1332"/>
      <c r="M12" s="663"/>
      <c r="N12" s="661">
        <v>77000</v>
      </c>
      <c r="O12" s="664"/>
      <c r="P12" s="661">
        <v>51300</v>
      </c>
      <c r="Q12" s="663"/>
      <c r="R12" s="661">
        <v>26000</v>
      </c>
      <c r="S12" s="663"/>
      <c r="T12" s="688"/>
      <c r="U12" s="689"/>
      <c r="V12" s="690"/>
      <c r="W12" s="689"/>
      <c r="X12" s="690"/>
      <c r="Y12" s="689"/>
      <c r="Z12" s="691"/>
      <c r="AA12" s="689"/>
      <c r="AB12" s="691"/>
      <c r="AC12" s="689"/>
      <c r="AD12" s="691"/>
      <c r="AE12" s="689"/>
      <c r="AF12" s="657"/>
      <c r="AG12" s="887"/>
      <c r="AH12" s="898"/>
      <c r="AI12" s="1338"/>
    </row>
    <row r="13" spans="1:35" ht="16.5" customHeight="1" x14ac:dyDescent="0.2">
      <c r="A13" s="658"/>
      <c r="B13" s="1458"/>
      <c r="C13" s="659" t="s">
        <v>290</v>
      </c>
      <c r="D13" s="663"/>
      <c r="E13" s="661">
        <f>SUM(E11:E12)</f>
        <v>1112000</v>
      </c>
      <c r="F13" s="662">
        <f>F11</f>
        <v>2928000</v>
      </c>
      <c r="G13" s="661">
        <f>G11+G12</f>
        <v>860100</v>
      </c>
      <c r="H13" s="663"/>
      <c r="I13" s="659" t="s">
        <v>290</v>
      </c>
      <c r="J13" s="1322"/>
      <c r="K13" s="661">
        <f>K11+K12</f>
        <v>834500</v>
      </c>
      <c r="L13" s="1332"/>
      <c r="M13" s="663">
        <f>M11</f>
        <v>2196000</v>
      </c>
      <c r="N13" s="661">
        <f>N11+N12</f>
        <v>809000</v>
      </c>
      <c r="O13" s="663">
        <f>O11</f>
        <v>1464000</v>
      </c>
      <c r="P13" s="661">
        <f>P11+P12</f>
        <v>783300</v>
      </c>
      <c r="Q13" s="663">
        <f>Q11</f>
        <v>732000</v>
      </c>
      <c r="R13" s="661">
        <f>R11+R12</f>
        <v>758000</v>
      </c>
      <c r="S13" s="663">
        <f>S11</f>
        <v>0</v>
      </c>
      <c r="T13" s="692"/>
      <c r="U13" s="682">
        <v>0</v>
      </c>
      <c r="V13" s="693"/>
      <c r="W13" s="682">
        <v>0</v>
      </c>
      <c r="X13" s="693"/>
      <c r="Y13" s="682">
        <v>0</v>
      </c>
      <c r="Z13" s="694"/>
      <c r="AA13" s="682">
        <v>0</v>
      </c>
      <c r="AB13" s="694"/>
      <c r="AC13" s="682">
        <v>0</v>
      </c>
      <c r="AD13" s="694"/>
      <c r="AE13" s="682">
        <v>0</v>
      </c>
      <c r="AF13" s="674"/>
      <c r="AG13" s="889"/>
      <c r="AH13" s="895">
        <v>0</v>
      </c>
      <c r="AI13" s="1340">
        <v>0</v>
      </c>
    </row>
    <row r="14" spans="1:35" ht="15" customHeight="1" x14ac:dyDescent="0.2">
      <c r="A14" s="644">
        <v>4</v>
      </c>
      <c r="B14" s="1457" t="s">
        <v>441</v>
      </c>
      <c r="C14" s="645" t="s">
        <v>288</v>
      </c>
      <c r="D14" s="646">
        <v>4411601.24</v>
      </c>
      <c r="E14" s="647">
        <v>732000</v>
      </c>
      <c r="F14" s="648">
        <f>D14-E14</f>
        <v>3679601.24</v>
      </c>
      <c r="G14" s="647">
        <v>400000</v>
      </c>
      <c r="H14" s="646">
        <f>D14-G14</f>
        <v>4011601.24</v>
      </c>
      <c r="I14" s="645" t="s">
        <v>288</v>
      </c>
      <c r="J14" s="1323">
        <v>4011601.24</v>
      </c>
      <c r="K14" s="647">
        <v>400000</v>
      </c>
      <c r="L14" s="1333"/>
      <c r="M14" s="646">
        <f>H14-K14</f>
        <v>3611601.24</v>
      </c>
      <c r="N14" s="647">
        <v>400000</v>
      </c>
      <c r="O14" s="646">
        <f>M14-N14</f>
        <v>3211601.24</v>
      </c>
      <c r="P14" s="647">
        <v>400000</v>
      </c>
      <c r="Q14" s="646">
        <f>O14-P14</f>
        <v>2811601.24</v>
      </c>
      <c r="R14" s="647">
        <v>400000</v>
      </c>
      <c r="S14" s="646">
        <f>Q14-R14</f>
        <v>2411601.2400000002</v>
      </c>
      <c r="T14" s="676">
        <v>400000</v>
      </c>
      <c r="U14" s="695">
        <f>S14-T14</f>
        <v>2011601.2400000002</v>
      </c>
      <c r="V14" s="696">
        <v>400000</v>
      </c>
      <c r="W14" s="695">
        <f>U14-V14</f>
        <v>1611601.2400000002</v>
      </c>
      <c r="X14" s="696">
        <v>400000</v>
      </c>
      <c r="Y14" s="695">
        <f>W14-X14</f>
        <v>1211601.2400000002</v>
      </c>
      <c r="Z14" s="697">
        <v>400000</v>
      </c>
      <c r="AA14" s="695">
        <f>Y14-Z14</f>
        <v>811601.24000000022</v>
      </c>
      <c r="AB14" s="697">
        <v>400000</v>
      </c>
      <c r="AC14" s="695">
        <f>AA14-AB14</f>
        <v>411601.24000000022</v>
      </c>
      <c r="AD14" s="698">
        <v>411601.24</v>
      </c>
      <c r="AE14" s="695">
        <f>AC14-AD14</f>
        <v>0</v>
      </c>
      <c r="AF14" s="680"/>
      <c r="AG14" s="890"/>
      <c r="AH14" s="896">
        <v>0</v>
      </c>
      <c r="AI14" s="1339">
        <v>0</v>
      </c>
    </row>
    <row r="15" spans="1:35" ht="13.5" customHeight="1" x14ac:dyDescent="0.2">
      <c r="A15" s="658"/>
      <c r="B15" s="1458"/>
      <c r="C15" s="659" t="s">
        <v>289</v>
      </c>
      <c r="D15" s="660">
        <v>0.03</v>
      </c>
      <c r="E15" s="661">
        <v>380000</v>
      </c>
      <c r="F15" s="662"/>
      <c r="G15" s="661">
        <v>132000</v>
      </c>
      <c r="H15" s="663"/>
      <c r="I15" s="659" t="s">
        <v>289</v>
      </c>
      <c r="J15" s="1329">
        <v>0.03</v>
      </c>
      <c r="K15" s="661">
        <v>120300</v>
      </c>
      <c r="L15" s="1332"/>
      <c r="M15" s="663"/>
      <c r="N15" s="661">
        <v>108000</v>
      </c>
      <c r="O15" s="664"/>
      <c r="P15" s="661">
        <v>96300</v>
      </c>
      <c r="Q15" s="663"/>
      <c r="R15" s="661">
        <v>84000</v>
      </c>
      <c r="S15" s="663"/>
      <c r="T15" s="661">
        <v>72300</v>
      </c>
      <c r="U15" s="665"/>
      <c r="V15" s="666">
        <v>60300</v>
      </c>
      <c r="W15" s="665"/>
      <c r="X15" s="666">
        <v>48300</v>
      </c>
      <c r="Y15" s="665"/>
      <c r="Z15" s="667">
        <v>36300</v>
      </c>
      <c r="AA15" s="665"/>
      <c r="AB15" s="667">
        <v>24300</v>
      </c>
      <c r="AC15" s="665"/>
      <c r="AD15" s="667">
        <v>12300</v>
      </c>
      <c r="AE15" s="665"/>
      <c r="AF15" s="657"/>
      <c r="AG15" s="887"/>
      <c r="AH15" s="898"/>
      <c r="AI15" s="1338"/>
    </row>
    <row r="16" spans="1:35" ht="16.5" customHeight="1" thickBot="1" x14ac:dyDescent="0.25">
      <c r="A16" s="658"/>
      <c r="B16" s="1458"/>
      <c r="C16" s="659" t="s">
        <v>290</v>
      </c>
      <c r="D16" s="663"/>
      <c r="E16" s="661">
        <f>SUM(E14:E15)</f>
        <v>1112000</v>
      </c>
      <c r="F16" s="662">
        <f>F14</f>
        <v>3679601.24</v>
      </c>
      <c r="G16" s="661">
        <f>G14+G15</f>
        <v>532000</v>
      </c>
      <c r="H16" s="663"/>
      <c r="I16" s="659" t="s">
        <v>290</v>
      </c>
      <c r="J16" s="1322"/>
      <c r="K16" s="661">
        <f>K14+K15</f>
        <v>520300</v>
      </c>
      <c r="L16" s="1332"/>
      <c r="M16" s="663">
        <f>M14</f>
        <v>3611601.24</v>
      </c>
      <c r="N16" s="661">
        <f>N14+N15</f>
        <v>508000</v>
      </c>
      <c r="O16" s="663">
        <f>O14</f>
        <v>3211601.24</v>
      </c>
      <c r="P16" s="661">
        <f>P14+P15</f>
        <v>496300</v>
      </c>
      <c r="Q16" s="663">
        <f>Q14</f>
        <v>2811601.24</v>
      </c>
      <c r="R16" s="661">
        <f>R14+R15</f>
        <v>484000</v>
      </c>
      <c r="S16" s="663">
        <f>S14</f>
        <v>2411601.2400000002</v>
      </c>
      <c r="T16" s="661">
        <f>SUM(T14:T15)</f>
        <v>472300</v>
      </c>
      <c r="U16" s="656">
        <f>U14</f>
        <v>2011601.2400000002</v>
      </c>
      <c r="V16" s="666">
        <f>SUM(V14:V15)</f>
        <v>460300</v>
      </c>
      <c r="W16" s="656">
        <f>W14</f>
        <v>1611601.2400000002</v>
      </c>
      <c r="X16" s="666">
        <f>SUM(X14:X15)</f>
        <v>448300</v>
      </c>
      <c r="Y16" s="656">
        <f>Y14</f>
        <v>1211601.2400000002</v>
      </c>
      <c r="Z16" s="667">
        <f>SUM(Z14:Z15)</f>
        <v>436300</v>
      </c>
      <c r="AA16" s="656">
        <f>AA14</f>
        <v>811601.24000000022</v>
      </c>
      <c r="AB16" s="667">
        <f>SUM(AB14:AB15)</f>
        <v>424300</v>
      </c>
      <c r="AC16" s="656">
        <f>AC14</f>
        <v>411601.24000000022</v>
      </c>
      <c r="AD16" s="655">
        <f>SUM(AD14:AD15)</f>
        <v>423901.24</v>
      </c>
      <c r="AE16" s="656">
        <f>AE14</f>
        <v>0</v>
      </c>
      <c r="AF16" s="657"/>
      <c r="AG16" s="887"/>
      <c r="AH16" s="898">
        <v>0</v>
      </c>
      <c r="AI16" s="1338">
        <v>0</v>
      </c>
    </row>
    <row r="17" spans="1:35" ht="13.5" thickBot="1" x14ac:dyDescent="0.25">
      <c r="A17" s="1459" t="s">
        <v>293</v>
      </c>
      <c r="B17" s="1459"/>
      <c r="C17" s="699" t="s">
        <v>288</v>
      </c>
      <c r="D17" s="700">
        <f>D8+D11+D5+D14</f>
        <v>13100001.24</v>
      </c>
      <c r="E17" s="701" t="e">
        <f>#REF!+E8+E11</f>
        <v>#REF!</v>
      </c>
      <c r="F17" s="702" t="e">
        <f>#REF!+F8+F11</f>
        <v>#REF!</v>
      </c>
      <c r="G17" s="701">
        <f>G11+G8+G14+G5</f>
        <v>1676800</v>
      </c>
      <c r="H17" s="700">
        <f>H5+H8+H11+H14</f>
        <v>11423201.24</v>
      </c>
      <c r="I17" s="699" t="s">
        <v>288</v>
      </c>
      <c r="J17" s="1324">
        <f>J5+J8+J11+J14</f>
        <v>11423201.24</v>
      </c>
      <c r="K17" s="701">
        <f>K11+K8+K14+K5</f>
        <v>1676800</v>
      </c>
      <c r="L17" s="701">
        <f>L11+L8+L14+L5</f>
        <v>0</v>
      </c>
      <c r="M17" s="700">
        <f>M5+M8+M11+M14</f>
        <v>9746401.2400000002</v>
      </c>
      <c r="N17" s="701">
        <f>N11+N8+N14+N5</f>
        <v>1676800</v>
      </c>
      <c r="O17" s="700">
        <f>O5+O11+O14+O8</f>
        <v>8069601.2400000002</v>
      </c>
      <c r="P17" s="701">
        <f>P11+P8+P14+P5</f>
        <v>1676800</v>
      </c>
      <c r="Q17" s="700">
        <f>+Q11+Q14+Q5+Q8</f>
        <v>6392801.2400000002</v>
      </c>
      <c r="R17" s="701">
        <f>R11+R8+R5+R14</f>
        <v>1676800</v>
      </c>
      <c r="S17" s="700">
        <f>S5+S8+S11+S14</f>
        <v>4716001.24</v>
      </c>
      <c r="T17" s="731">
        <f>+T5+T8+T11+T14</f>
        <v>944800</v>
      </c>
      <c r="U17" s="733">
        <f t="shared" ref="U17:AH17" si="0">U5+U8+U11+U14</f>
        <v>3771201.24</v>
      </c>
      <c r="V17" s="1345">
        <f t="shared" si="0"/>
        <v>944800</v>
      </c>
      <c r="W17" s="733">
        <f t="shared" si="0"/>
        <v>2826401.24</v>
      </c>
      <c r="X17" s="1345">
        <f t="shared" si="0"/>
        <v>944800</v>
      </c>
      <c r="Y17" s="733">
        <f t="shared" si="0"/>
        <v>1881601.2400000002</v>
      </c>
      <c r="Z17" s="1346">
        <f t="shared" si="0"/>
        <v>945000</v>
      </c>
      <c r="AA17" s="733">
        <f t="shared" si="0"/>
        <v>936601.24000000022</v>
      </c>
      <c r="AB17" s="1346">
        <f t="shared" si="0"/>
        <v>525000</v>
      </c>
      <c r="AC17" s="733">
        <f t="shared" si="0"/>
        <v>411601.24000000022</v>
      </c>
      <c r="AD17" s="1346">
        <f t="shared" si="0"/>
        <v>411601.24</v>
      </c>
      <c r="AE17" s="733">
        <f t="shared" si="0"/>
        <v>0</v>
      </c>
      <c r="AF17" s="733">
        <f t="shared" si="0"/>
        <v>0</v>
      </c>
      <c r="AG17" s="733">
        <f t="shared" si="0"/>
        <v>0</v>
      </c>
      <c r="AH17" s="1347">
        <f t="shared" si="0"/>
        <v>0</v>
      </c>
      <c r="AI17" s="1348">
        <v>0</v>
      </c>
    </row>
    <row r="18" spans="1:35" ht="13.5" thickBot="1" x14ac:dyDescent="0.25">
      <c r="A18" s="1459"/>
      <c r="B18" s="1459"/>
      <c r="C18" s="703" t="s">
        <v>289</v>
      </c>
      <c r="D18" s="704"/>
      <c r="E18" s="705" t="e">
        <f>#REF!+E9+E12</f>
        <v>#REF!</v>
      </c>
      <c r="F18" s="706"/>
      <c r="G18" s="705">
        <f>G12+G6+G15+G9</f>
        <v>390350</v>
      </c>
      <c r="H18" s="704"/>
      <c r="I18" s="703" t="s">
        <v>289</v>
      </c>
      <c r="J18" s="1325"/>
      <c r="K18" s="705">
        <f>K6+K12+K15+K9</f>
        <v>336800</v>
      </c>
      <c r="L18" s="705">
        <f>L6+L12+L15+L9</f>
        <v>0</v>
      </c>
      <c r="M18" s="704"/>
      <c r="N18" s="705">
        <f>N6+N12+N15+N9</f>
        <v>287000</v>
      </c>
      <c r="O18" s="704"/>
      <c r="P18" s="705">
        <f>P6+P9+P12+P15</f>
        <v>235600</v>
      </c>
      <c r="Q18" s="704"/>
      <c r="R18" s="705">
        <f>R6+R9+R12+R15</f>
        <v>183750</v>
      </c>
      <c r="S18" s="704"/>
      <c r="T18" s="707">
        <f>+T6+T9+T12+T15</f>
        <v>131900</v>
      </c>
      <c r="U18" s="708"/>
      <c r="V18" s="709">
        <f>V6+V9+V12+V15</f>
        <v>105800</v>
      </c>
      <c r="W18" s="708"/>
      <c r="X18" s="709">
        <f>X6+X9+X12+X15</f>
        <v>79700</v>
      </c>
      <c r="Y18" s="708"/>
      <c r="Z18" s="710">
        <f>Z6+Z9+Z12+Z15</f>
        <v>53600</v>
      </c>
      <c r="AA18" s="708"/>
      <c r="AB18" s="710">
        <f>AB6+AB9+AB12+AB15</f>
        <v>27500</v>
      </c>
      <c r="AC18" s="708"/>
      <c r="AD18" s="710">
        <f>+AD6+AD9+AD12+AD15</f>
        <v>12300</v>
      </c>
      <c r="AE18" s="708"/>
      <c r="AF18" s="657"/>
      <c r="AG18" s="887"/>
      <c r="AH18" s="898"/>
      <c r="AI18" s="1342"/>
    </row>
    <row r="19" spans="1:35" ht="13.5" thickBot="1" x14ac:dyDescent="0.25">
      <c r="A19" s="1459"/>
      <c r="B19" s="1459"/>
      <c r="C19" s="711" t="s">
        <v>290</v>
      </c>
      <c r="D19" s="712">
        <f>D17</f>
        <v>13100001.24</v>
      </c>
      <c r="E19" s="713" t="e">
        <f>E17+E18</f>
        <v>#REF!</v>
      </c>
      <c r="F19" s="714" t="e">
        <f>F17</f>
        <v>#REF!</v>
      </c>
      <c r="G19" s="713">
        <f>G17+G18</f>
        <v>2067150</v>
      </c>
      <c r="H19" s="712">
        <f>H17</f>
        <v>11423201.24</v>
      </c>
      <c r="I19" s="711" t="s">
        <v>290</v>
      </c>
      <c r="J19" s="1326">
        <f>J17</f>
        <v>11423201.24</v>
      </c>
      <c r="K19" s="713">
        <f>K17+K18</f>
        <v>2013600</v>
      </c>
      <c r="L19" s="713">
        <f>L17+L18</f>
        <v>0</v>
      </c>
      <c r="M19" s="712">
        <f>M17</f>
        <v>9746401.2400000002</v>
      </c>
      <c r="N19" s="713">
        <f>N17+N18</f>
        <v>1963800</v>
      </c>
      <c r="O19" s="712">
        <f>O17</f>
        <v>8069601.2400000002</v>
      </c>
      <c r="P19" s="713">
        <f>P17+P18</f>
        <v>1912400</v>
      </c>
      <c r="Q19" s="712">
        <f>Q17</f>
        <v>6392801.2400000002</v>
      </c>
      <c r="R19" s="713">
        <f>R17+R18</f>
        <v>1860550</v>
      </c>
      <c r="S19" s="712">
        <f>S17</f>
        <v>4716001.24</v>
      </c>
      <c r="T19" s="737">
        <f>SUM(T17:T18)</f>
        <v>1076700</v>
      </c>
      <c r="U19" s="738">
        <f>U17</f>
        <v>3771201.24</v>
      </c>
      <c r="V19" s="739">
        <f>SUM(V17:V18)</f>
        <v>1050600</v>
      </c>
      <c r="W19" s="738">
        <f>W17</f>
        <v>2826401.24</v>
      </c>
      <c r="X19" s="739">
        <f>SUM(X17:X18)</f>
        <v>1024500</v>
      </c>
      <c r="Y19" s="738">
        <f>Y17</f>
        <v>1881601.2400000002</v>
      </c>
      <c r="Z19" s="740">
        <f>SUM(Z17:Z18)</f>
        <v>998600</v>
      </c>
      <c r="AA19" s="738">
        <f>AA17</f>
        <v>936601.24000000022</v>
      </c>
      <c r="AB19" s="740">
        <f>SUM(AB17:AB18)</f>
        <v>552500</v>
      </c>
      <c r="AC19" s="738">
        <f>AC17</f>
        <v>411601.24000000022</v>
      </c>
      <c r="AD19" s="740">
        <f>SUM(AD17:AD18)</f>
        <v>423901.24</v>
      </c>
      <c r="AE19" s="738">
        <f>AE17</f>
        <v>0</v>
      </c>
      <c r="AF19" s="738">
        <f t="shared" ref="AF19:AH19" si="1">AF17</f>
        <v>0</v>
      </c>
      <c r="AG19" s="738">
        <f t="shared" si="1"/>
        <v>0</v>
      </c>
      <c r="AH19" s="1349">
        <f t="shared" si="1"/>
        <v>0</v>
      </c>
      <c r="AI19" s="1350">
        <v>0</v>
      </c>
    </row>
    <row r="20" spans="1:35" ht="15.75" customHeight="1" thickBot="1" x14ac:dyDescent="0.25">
      <c r="A20" s="1460" t="s">
        <v>294</v>
      </c>
      <c r="B20" s="1463" t="s">
        <v>295</v>
      </c>
      <c r="C20" s="716" t="s">
        <v>288</v>
      </c>
      <c r="D20" s="720"/>
      <c r="E20" s="718"/>
      <c r="F20" s="719">
        <v>159188</v>
      </c>
      <c r="G20" s="718"/>
      <c r="H20" s="720"/>
      <c r="I20" s="716" t="s">
        <v>288</v>
      </c>
      <c r="J20" s="1327"/>
      <c r="K20" s="718"/>
      <c r="L20" s="1334">
        <v>1300000</v>
      </c>
      <c r="M20" s="720">
        <v>1300000</v>
      </c>
      <c r="N20" s="718">
        <v>130000</v>
      </c>
      <c r="O20" s="720">
        <f>M20-N20</f>
        <v>1170000</v>
      </c>
      <c r="P20" s="718">
        <v>130000</v>
      </c>
      <c r="Q20" s="720">
        <f>O20-P20</f>
        <v>1040000</v>
      </c>
      <c r="R20" s="718">
        <v>130000</v>
      </c>
      <c r="S20" s="720">
        <f>Q20-R20</f>
        <v>910000</v>
      </c>
      <c r="T20" s="722">
        <v>130000</v>
      </c>
      <c r="U20" s="723">
        <f>S20-T20</f>
        <v>780000</v>
      </c>
      <c r="V20" s="724">
        <v>130000</v>
      </c>
      <c r="W20" s="723">
        <f>U20-V20</f>
        <v>650000</v>
      </c>
      <c r="X20" s="724">
        <v>130000</v>
      </c>
      <c r="Y20" s="723">
        <f>W20-X20</f>
        <v>520000</v>
      </c>
      <c r="Z20" s="725">
        <v>130000</v>
      </c>
      <c r="AA20" s="723">
        <f>Y20-Z20</f>
        <v>390000</v>
      </c>
      <c r="AB20" s="725">
        <v>130000</v>
      </c>
      <c r="AC20" s="723">
        <f>AA20-AB20</f>
        <v>260000</v>
      </c>
      <c r="AD20" s="725">
        <v>130000</v>
      </c>
      <c r="AE20" s="723">
        <f>AC20-AD20</f>
        <v>130000</v>
      </c>
      <c r="AF20" s="1343"/>
      <c r="AG20" s="1344">
        <f>AE20-AF20</f>
        <v>130000</v>
      </c>
      <c r="AH20" s="891">
        <v>130000</v>
      </c>
      <c r="AI20" s="892">
        <v>0</v>
      </c>
    </row>
    <row r="21" spans="1:35" ht="13.5" thickBot="1" x14ac:dyDescent="0.25">
      <c r="A21" s="1461"/>
      <c r="B21" s="1464"/>
      <c r="C21" s="716" t="s">
        <v>289</v>
      </c>
      <c r="D21" s="717">
        <v>0.03</v>
      </c>
      <c r="E21" s="718">
        <v>3500</v>
      </c>
      <c r="F21" s="719"/>
      <c r="G21" s="718"/>
      <c r="H21" s="720"/>
      <c r="I21" s="716" t="s">
        <v>289</v>
      </c>
      <c r="J21" s="1327"/>
      <c r="K21" s="718">
        <v>20000</v>
      </c>
      <c r="L21" s="1334"/>
      <c r="M21" s="720"/>
      <c r="N21" s="718">
        <v>39000</v>
      </c>
      <c r="O21" s="721"/>
      <c r="P21" s="718">
        <v>35100</v>
      </c>
      <c r="Q21" s="720"/>
      <c r="R21" s="718">
        <v>31200</v>
      </c>
      <c r="S21" s="720"/>
      <c r="T21" s="722">
        <v>27300</v>
      </c>
      <c r="U21" s="723"/>
      <c r="V21" s="724">
        <v>23400</v>
      </c>
      <c r="W21" s="723"/>
      <c r="X21" s="724">
        <v>19500</v>
      </c>
      <c r="Y21" s="723"/>
      <c r="Z21" s="725">
        <v>15600</v>
      </c>
      <c r="AA21" s="723"/>
      <c r="AB21" s="725">
        <v>11700</v>
      </c>
      <c r="AC21" s="723"/>
      <c r="AD21" s="725">
        <v>7800</v>
      </c>
      <c r="AE21" s="723"/>
      <c r="AF21" s="726"/>
      <c r="AG21" s="887"/>
      <c r="AH21" s="891">
        <v>3900</v>
      </c>
      <c r="AI21" s="892"/>
    </row>
    <row r="22" spans="1:35" ht="13.5" thickBot="1" x14ac:dyDescent="0.25">
      <c r="A22" s="1462"/>
      <c r="B22" s="1465"/>
      <c r="C22" s="716" t="s">
        <v>290</v>
      </c>
      <c r="D22" s="720"/>
      <c r="E22" s="718">
        <f>SUM(E20:E21)</f>
        <v>3500</v>
      </c>
      <c r="F22" s="719">
        <f>SUM(F20)</f>
        <v>159188</v>
      </c>
      <c r="G22" s="718">
        <f>SUM(G20:G21)</f>
        <v>0</v>
      </c>
      <c r="H22" s="720">
        <f>H20</f>
        <v>0</v>
      </c>
      <c r="I22" s="716" t="s">
        <v>290</v>
      </c>
      <c r="J22" s="1327"/>
      <c r="K22" s="718">
        <f>SUM(K20:K21)</f>
        <v>20000</v>
      </c>
      <c r="L22" s="1334">
        <f>L20</f>
        <v>1300000</v>
      </c>
      <c r="M22" s="720">
        <f>M20</f>
        <v>1300000</v>
      </c>
      <c r="N22" s="718">
        <f>SUM(N20:N21)</f>
        <v>169000</v>
      </c>
      <c r="O22" s="720">
        <f>O20</f>
        <v>1170000</v>
      </c>
      <c r="P22" s="718">
        <f>SUM(P20:P21)</f>
        <v>165100</v>
      </c>
      <c r="Q22" s="720">
        <f>Q20</f>
        <v>1040000</v>
      </c>
      <c r="R22" s="718">
        <f>SUM(R20:R21)</f>
        <v>161200</v>
      </c>
      <c r="S22" s="720">
        <f>S20</f>
        <v>910000</v>
      </c>
      <c r="T22" s="722">
        <f>SUM(T20:T21)</f>
        <v>157300</v>
      </c>
      <c r="U22" s="723">
        <f>U20</f>
        <v>780000</v>
      </c>
      <c r="V22" s="724">
        <f>SUM(V20:V21)</f>
        <v>153400</v>
      </c>
      <c r="W22" s="723">
        <f>W20</f>
        <v>650000</v>
      </c>
      <c r="X22" s="724">
        <f>SUM(X20:X21)</f>
        <v>149500</v>
      </c>
      <c r="Y22" s="723">
        <f>Y20</f>
        <v>520000</v>
      </c>
      <c r="Z22" s="725">
        <f>SUM(Z20:Z21)</f>
        <v>145600</v>
      </c>
      <c r="AA22" s="723">
        <f>SUM(AA20)</f>
        <v>390000</v>
      </c>
      <c r="AB22" s="725">
        <f>SUM(AB20:AB21)</f>
        <v>141700</v>
      </c>
      <c r="AC22" s="723">
        <f>SUM(AC20)</f>
        <v>260000</v>
      </c>
      <c r="AD22" s="725">
        <f>AD20+AD21</f>
        <v>137800</v>
      </c>
      <c r="AE22" s="723">
        <v>0</v>
      </c>
      <c r="AF22" s="726">
        <f>AF20+AF21</f>
        <v>0</v>
      </c>
      <c r="AG22" s="893">
        <f>AG20</f>
        <v>130000</v>
      </c>
      <c r="AH22" s="891">
        <f>SUM(AH20:AH21)</f>
        <v>133900</v>
      </c>
      <c r="AI22" s="892">
        <v>0</v>
      </c>
    </row>
    <row r="23" spans="1:35" ht="22.5" customHeight="1" x14ac:dyDescent="0.2">
      <c r="A23" s="1466" t="s">
        <v>296</v>
      </c>
      <c r="B23" s="1467"/>
      <c r="C23" s="727" t="s">
        <v>288</v>
      </c>
      <c r="D23" s="728">
        <f>D20</f>
        <v>0</v>
      </c>
      <c r="E23" s="729" t="e">
        <f>E20+#REF!+#REF!</f>
        <v>#REF!</v>
      </c>
      <c r="F23" s="730" t="e">
        <f>F20+#REF!+#REF!</f>
        <v>#REF!</v>
      </c>
      <c r="G23" s="701">
        <f>G20</f>
        <v>0</v>
      </c>
      <c r="H23" s="700">
        <f t="shared" ref="H23:O23" si="2">H20</f>
        <v>0</v>
      </c>
      <c r="I23" s="727" t="s">
        <v>288</v>
      </c>
      <c r="J23" s="1324"/>
      <c r="K23" s="731">
        <f>K20</f>
        <v>0</v>
      </c>
      <c r="L23" s="732">
        <f>L20</f>
        <v>1300000</v>
      </c>
      <c r="M23" s="700">
        <f t="shared" si="2"/>
        <v>1300000</v>
      </c>
      <c r="N23" s="731">
        <f>N20</f>
        <v>130000</v>
      </c>
      <c r="O23" s="700">
        <f t="shared" si="2"/>
        <v>1170000</v>
      </c>
      <c r="P23" s="731">
        <f>P20</f>
        <v>130000</v>
      </c>
      <c r="Q23" s="700">
        <f t="shared" ref="Q23:AC23" si="3">Q20</f>
        <v>1040000</v>
      </c>
      <c r="R23" s="731">
        <f t="shared" si="3"/>
        <v>130000</v>
      </c>
      <c r="S23" s="700">
        <f t="shared" si="3"/>
        <v>910000</v>
      </c>
      <c r="T23" s="731">
        <f t="shared" si="3"/>
        <v>130000</v>
      </c>
      <c r="U23" s="700">
        <f t="shared" si="3"/>
        <v>780000</v>
      </c>
      <c r="V23" s="732">
        <f t="shared" si="3"/>
        <v>130000</v>
      </c>
      <c r="W23" s="700">
        <f t="shared" si="3"/>
        <v>650000</v>
      </c>
      <c r="X23" s="732">
        <f t="shared" si="3"/>
        <v>130000</v>
      </c>
      <c r="Y23" s="700">
        <f t="shared" si="3"/>
        <v>520000</v>
      </c>
      <c r="Z23" s="732">
        <f t="shared" si="3"/>
        <v>130000</v>
      </c>
      <c r="AA23" s="700">
        <f t="shared" si="3"/>
        <v>390000</v>
      </c>
      <c r="AB23" s="732">
        <f t="shared" si="3"/>
        <v>130000</v>
      </c>
      <c r="AC23" s="700">
        <f t="shared" si="3"/>
        <v>260000</v>
      </c>
      <c r="AD23" s="732">
        <f>+AD20</f>
        <v>130000</v>
      </c>
      <c r="AE23" s="733">
        <f>AE20</f>
        <v>130000</v>
      </c>
      <c r="AF23" s="1352">
        <f>AF20</f>
        <v>0</v>
      </c>
      <c r="AG23" s="1353">
        <f>AG20</f>
        <v>130000</v>
      </c>
      <c r="AH23" s="1354">
        <f>AH20</f>
        <v>130000</v>
      </c>
      <c r="AI23" s="1355">
        <f>AI20</f>
        <v>0</v>
      </c>
    </row>
    <row r="24" spans="1:35" ht="18" customHeight="1" x14ac:dyDescent="0.2">
      <c r="A24" s="1468"/>
      <c r="B24" s="1469"/>
      <c r="C24" s="659" t="s">
        <v>289</v>
      </c>
      <c r="D24" s="660"/>
      <c r="E24" s="661" t="e">
        <f>E21+#REF!+#REF!+#REF!</f>
        <v>#REF!</v>
      </c>
      <c r="F24" s="662"/>
      <c r="G24" s="705">
        <f>G21</f>
        <v>0</v>
      </c>
      <c r="H24" s="704"/>
      <c r="I24" s="659" t="s">
        <v>289</v>
      </c>
      <c r="J24" s="1325"/>
      <c r="K24" s="705">
        <f>K21</f>
        <v>20000</v>
      </c>
      <c r="L24" s="1335"/>
      <c r="M24" s="704"/>
      <c r="N24" s="705">
        <f>N21</f>
        <v>39000</v>
      </c>
      <c r="O24" s="734"/>
      <c r="P24" s="705">
        <f>P21</f>
        <v>35100</v>
      </c>
      <c r="Q24" s="704"/>
      <c r="R24" s="705">
        <f>R21</f>
        <v>31200</v>
      </c>
      <c r="S24" s="704"/>
      <c r="T24" s="707">
        <f>T21</f>
        <v>27300</v>
      </c>
      <c r="U24" s="715"/>
      <c r="V24" s="709">
        <f>V21</f>
        <v>23400</v>
      </c>
      <c r="W24" s="715"/>
      <c r="X24" s="709">
        <f>X21</f>
        <v>19500</v>
      </c>
      <c r="Y24" s="715"/>
      <c r="Z24" s="710">
        <f>Z21</f>
        <v>15600</v>
      </c>
      <c r="AA24" s="715"/>
      <c r="AB24" s="710">
        <f>AB21</f>
        <v>11700</v>
      </c>
      <c r="AC24" s="708"/>
      <c r="AD24" s="710">
        <f>AD21</f>
        <v>7800</v>
      </c>
      <c r="AE24" s="715"/>
      <c r="AF24" s="735">
        <f>AF21</f>
        <v>0</v>
      </c>
      <c r="AG24" s="887"/>
      <c r="AH24" s="894">
        <f>AH21</f>
        <v>3900</v>
      </c>
      <c r="AI24" s="1338"/>
    </row>
    <row r="25" spans="1:35" ht="18.75" customHeight="1" thickBot="1" x14ac:dyDescent="0.25">
      <c r="A25" s="1470"/>
      <c r="B25" s="1471"/>
      <c r="C25" s="736" t="s">
        <v>290</v>
      </c>
      <c r="D25" s="712"/>
      <c r="E25" s="713" t="e">
        <f>SUM(E23:E24)</f>
        <v>#REF!</v>
      </c>
      <c r="F25" s="714" t="e">
        <f>F23</f>
        <v>#REF!</v>
      </c>
      <c r="G25" s="713">
        <f>SUM(G23:G24)</f>
        <v>0</v>
      </c>
      <c r="H25" s="712">
        <f>SUM(H23)</f>
        <v>0</v>
      </c>
      <c r="I25" s="736" t="s">
        <v>290</v>
      </c>
      <c r="J25" s="1326"/>
      <c r="K25" s="713">
        <f>SUM(K23:K24)</f>
        <v>20000</v>
      </c>
      <c r="L25" s="1336">
        <f>L23</f>
        <v>1300000</v>
      </c>
      <c r="M25" s="712">
        <f>M23</f>
        <v>1300000</v>
      </c>
      <c r="N25" s="713">
        <f>SUM(N23:N24)</f>
        <v>169000</v>
      </c>
      <c r="O25" s="712">
        <f>O23</f>
        <v>1170000</v>
      </c>
      <c r="P25" s="713">
        <f>SUM(P23:P24)</f>
        <v>165100</v>
      </c>
      <c r="Q25" s="712">
        <f>Q23</f>
        <v>1040000</v>
      </c>
      <c r="R25" s="713">
        <f>SUM(R23:R24)</f>
        <v>161200</v>
      </c>
      <c r="S25" s="712">
        <f>S23</f>
        <v>910000</v>
      </c>
      <c r="T25" s="737">
        <f>T23+T24</f>
        <v>157300</v>
      </c>
      <c r="U25" s="738">
        <f>SUM(U23)</f>
        <v>780000</v>
      </c>
      <c r="V25" s="739">
        <f>SUM(V23:V24)</f>
        <v>153400</v>
      </c>
      <c r="W25" s="738">
        <f>SUM(W23)</f>
        <v>650000</v>
      </c>
      <c r="X25" s="739">
        <f>SUM(X23:X24)</f>
        <v>149500</v>
      </c>
      <c r="Y25" s="738">
        <f>Y23</f>
        <v>520000</v>
      </c>
      <c r="Z25" s="740">
        <f>SUM(Z23:Z24)</f>
        <v>145600</v>
      </c>
      <c r="AA25" s="738">
        <f>AA23</f>
        <v>390000</v>
      </c>
      <c r="AB25" s="740">
        <f>SUM(AB23:AB24)</f>
        <v>141700</v>
      </c>
      <c r="AC25" s="738">
        <f>AC23</f>
        <v>260000</v>
      </c>
      <c r="AD25" s="740">
        <f>AD23+AD24</f>
        <v>137800</v>
      </c>
      <c r="AE25" s="738">
        <f>AE23</f>
        <v>130000</v>
      </c>
      <c r="AF25" s="1356">
        <f>SUM(AF23:AF24)</f>
        <v>0</v>
      </c>
      <c r="AG25" s="1357">
        <f>AG23</f>
        <v>130000</v>
      </c>
      <c r="AH25" s="1358">
        <f>AH23+AH24</f>
        <v>133900</v>
      </c>
      <c r="AI25" s="1359">
        <f>AI23+AI24</f>
        <v>0</v>
      </c>
    </row>
    <row r="26" spans="1:35" s="637" customFormat="1" ht="21.75" customHeight="1" thickBot="1" x14ac:dyDescent="0.25">
      <c r="A26" s="1351"/>
      <c r="B26" s="1451" t="s">
        <v>297</v>
      </c>
      <c r="C26" s="659" t="s">
        <v>288</v>
      </c>
      <c r="D26" s="663">
        <f>D17+D23</f>
        <v>13100001.24</v>
      </c>
      <c r="E26" s="661" t="e">
        <f>E17+E23</f>
        <v>#REF!</v>
      </c>
      <c r="F26" s="662" t="e">
        <f>F17+F23</f>
        <v>#REF!</v>
      </c>
      <c r="G26" s="661">
        <f>G23+G17</f>
        <v>1676800</v>
      </c>
      <c r="H26" s="663">
        <f>H17+H23</f>
        <v>11423201.24</v>
      </c>
      <c r="I26" s="659" t="s">
        <v>288</v>
      </c>
      <c r="J26" s="1322">
        <f>J17+J23</f>
        <v>11423201.24</v>
      </c>
      <c r="K26" s="661">
        <f>K23+K17</f>
        <v>1676800</v>
      </c>
      <c r="L26" s="669">
        <f>L23+L17</f>
        <v>1300000</v>
      </c>
      <c r="M26" s="663">
        <f>M17+M23</f>
        <v>11046401.24</v>
      </c>
      <c r="N26" s="661">
        <f>N23+N17</f>
        <v>1806800</v>
      </c>
      <c r="O26" s="663">
        <f>O23+O17</f>
        <v>9239601.2400000002</v>
      </c>
      <c r="P26" s="661">
        <f>P17+P23</f>
        <v>1806800</v>
      </c>
      <c r="Q26" s="663">
        <f>Q17+Q23</f>
        <v>7432801.2400000002</v>
      </c>
      <c r="R26" s="661">
        <f>R17+R23</f>
        <v>1806800</v>
      </c>
      <c r="S26" s="663">
        <f t="shared" ref="S26:X26" si="4">S23+S17</f>
        <v>5626001.2400000002</v>
      </c>
      <c r="T26" s="669">
        <f t="shared" si="4"/>
        <v>1074800</v>
      </c>
      <c r="U26" s="656">
        <f t="shared" si="4"/>
        <v>4551201.24</v>
      </c>
      <c r="V26" s="741">
        <f t="shared" si="4"/>
        <v>1074800</v>
      </c>
      <c r="W26" s="656">
        <f>W23+W17</f>
        <v>3476401.24</v>
      </c>
      <c r="X26" s="741">
        <f t="shared" si="4"/>
        <v>1074800</v>
      </c>
      <c r="Y26" s="656">
        <f>Y17+Y20</f>
        <v>2401601.2400000002</v>
      </c>
      <c r="Z26" s="655">
        <f>Z23+Z17</f>
        <v>1075000</v>
      </c>
      <c r="AA26" s="656">
        <f>AA17+AA23</f>
        <v>1326601.2400000002</v>
      </c>
      <c r="AB26" s="655">
        <f>AB23+AB17</f>
        <v>655000</v>
      </c>
      <c r="AC26" s="656">
        <f>AC23+AC17</f>
        <v>671601.24000000022</v>
      </c>
      <c r="AD26" s="655">
        <f>AD17+AD23</f>
        <v>541601.24</v>
      </c>
      <c r="AE26" s="656">
        <f>AE23</f>
        <v>130000</v>
      </c>
      <c r="AF26" s="742">
        <f>AF23</f>
        <v>0</v>
      </c>
      <c r="AG26" s="893">
        <f>AG23</f>
        <v>130000</v>
      </c>
      <c r="AH26" s="898">
        <f>AH23+AH17</f>
        <v>130000</v>
      </c>
      <c r="AI26" s="1338">
        <f>AE26-AH26</f>
        <v>0</v>
      </c>
    </row>
    <row r="27" spans="1:35" s="637" customFormat="1" ht="22.5" customHeight="1" thickBot="1" x14ac:dyDescent="0.25">
      <c r="A27" s="658"/>
      <c r="B27" s="1452"/>
      <c r="C27" s="659" t="s">
        <v>289</v>
      </c>
      <c r="D27" s="663"/>
      <c r="E27" s="661" t="e">
        <f>E18+E24</f>
        <v>#REF!</v>
      </c>
      <c r="F27" s="662"/>
      <c r="G27" s="661">
        <f>G18+G24</f>
        <v>390350</v>
      </c>
      <c r="H27" s="663"/>
      <c r="I27" s="659" t="s">
        <v>289</v>
      </c>
      <c r="J27" s="1322"/>
      <c r="K27" s="661">
        <f>K18+K24</f>
        <v>356800</v>
      </c>
      <c r="L27" s="669">
        <f>L18+L24</f>
        <v>0</v>
      </c>
      <c r="M27" s="663"/>
      <c r="N27" s="661">
        <f>N18+N24</f>
        <v>326000</v>
      </c>
      <c r="O27" s="664"/>
      <c r="P27" s="661">
        <f>P18+P24</f>
        <v>270700</v>
      </c>
      <c r="Q27" s="663"/>
      <c r="R27" s="661">
        <f>R18+R24</f>
        <v>214950</v>
      </c>
      <c r="S27" s="663"/>
      <c r="T27" s="669">
        <f>T24+T18</f>
        <v>159200</v>
      </c>
      <c r="U27" s="743"/>
      <c r="V27" s="741">
        <f>V24+V18</f>
        <v>129200</v>
      </c>
      <c r="W27" s="743"/>
      <c r="X27" s="741">
        <f>X24+X18</f>
        <v>99200</v>
      </c>
      <c r="Y27" s="743"/>
      <c r="Z27" s="655">
        <f>Z24+Z18</f>
        <v>69200</v>
      </c>
      <c r="AA27" s="743"/>
      <c r="AB27" s="655">
        <f>AB24+AB18</f>
        <v>39200</v>
      </c>
      <c r="AC27" s="743"/>
      <c r="AD27" s="655">
        <f>AD18+AD24</f>
        <v>20100</v>
      </c>
      <c r="AE27" s="743"/>
      <c r="AF27" s="742">
        <f>AF24</f>
        <v>0</v>
      </c>
      <c r="AG27" s="887"/>
      <c r="AH27" s="898">
        <f>AH18+AH24</f>
        <v>3900</v>
      </c>
      <c r="AI27" s="1338"/>
    </row>
    <row r="28" spans="1:35" s="637" customFormat="1" ht="26.25" customHeight="1" thickBot="1" x14ac:dyDescent="0.25">
      <c r="A28" s="658"/>
      <c r="B28" s="1453"/>
      <c r="C28" s="659" t="s">
        <v>290</v>
      </c>
      <c r="D28" s="663">
        <f>D26</f>
        <v>13100001.24</v>
      </c>
      <c r="E28" s="661" t="e">
        <f>SUM(E26:E27)</f>
        <v>#REF!</v>
      </c>
      <c r="F28" s="662" t="e">
        <f>F26</f>
        <v>#REF!</v>
      </c>
      <c r="G28" s="661">
        <f>SUM(G26:G27)</f>
        <v>2067150</v>
      </c>
      <c r="H28" s="663">
        <f>SUM(H26)</f>
        <v>11423201.24</v>
      </c>
      <c r="I28" s="659" t="s">
        <v>290</v>
      </c>
      <c r="J28" s="1322">
        <f>J26</f>
        <v>11423201.24</v>
      </c>
      <c r="K28" s="661">
        <f>K26+K27</f>
        <v>2033600</v>
      </c>
      <c r="L28" s="669">
        <f>L26+L27</f>
        <v>1300000</v>
      </c>
      <c r="M28" s="663">
        <f>M26</f>
        <v>11046401.24</v>
      </c>
      <c r="N28" s="661">
        <f>SUM(N26:N27)</f>
        <v>2132800</v>
      </c>
      <c r="O28" s="663">
        <f>O26</f>
        <v>9239601.2400000002</v>
      </c>
      <c r="P28" s="661">
        <f>SUM(P26:P27)</f>
        <v>2077500</v>
      </c>
      <c r="Q28" s="663">
        <f>Q26</f>
        <v>7432801.2400000002</v>
      </c>
      <c r="R28" s="661">
        <f>SUM(R26:R27)</f>
        <v>2021750</v>
      </c>
      <c r="S28" s="663">
        <f>S26</f>
        <v>5626001.2400000002</v>
      </c>
      <c r="T28" s="669">
        <f>T26+T27</f>
        <v>1234000</v>
      </c>
      <c r="U28" s="656">
        <f>U26</f>
        <v>4551201.24</v>
      </c>
      <c r="V28" s="741">
        <f>V26+V27</f>
        <v>1204000</v>
      </c>
      <c r="W28" s="656">
        <f>W26</f>
        <v>3476401.24</v>
      </c>
      <c r="X28" s="741">
        <f>X26+X27</f>
        <v>1174000</v>
      </c>
      <c r="Y28" s="656">
        <f>Y26</f>
        <v>2401601.2400000002</v>
      </c>
      <c r="Z28" s="655">
        <f>SUM(Z26:Z27)</f>
        <v>1144200</v>
      </c>
      <c r="AA28" s="656">
        <f>AA26</f>
        <v>1326601.2400000002</v>
      </c>
      <c r="AB28" s="655">
        <f>SUM(AB26:AB27)</f>
        <v>694200</v>
      </c>
      <c r="AC28" s="656">
        <f>AC26</f>
        <v>671601.24000000022</v>
      </c>
      <c r="AD28" s="655">
        <f>AD26+AD27</f>
        <v>561701.24</v>
      </c>
      <c r="AE28" s="656">
        <f>AE26</f>
        <v>130000</v>
      </c>
      <c r="AF28" s="742">
        <f>AF25</f>
        <v>0</v>
      </c>
      <c r="AG28" s="893">
        <f>AG26</f>
        <v>130000</v>
      </c>
      <c r="AH28" s="898">
        <f>AH19+AH25</f>
        <v>133900</v>
      </c>
      <c r="AI28" s="1338">
        <v>0</v>
      </c>
    </row>
    <row r="29" spans="1:35" ht="18" customHeight="1" thickBot="1" x14ac:dyDescent="0.25">
      <c r="A29" s="744" t="s">
        <v>298</v>
      </c>
      <c r="B29" s="745" t="s">
        <v>299</v>
      </c>
      <c r="C29" s="746"/>
      <c r="D29" s="747"/>
      <c r="E29" s="748"/>
      <c r="F29" s="749"/>
      <c r="G29" s="748"/>
      <c r="H29" s="747"/>
      <c r="I29" s="746"/>
      <c r="J29" s="1328"/>
      <c r="K29" s="748"/>
      <c r="L29" s="1337"/>
      <c r="M29" s="747"/>
      <c r="N29" s="748"/>
      <c r="O29" s="750"/>
      <c r="P29" s="748"/>
      <c r="Q29" s="747"/>
      <c r="R29" s="748"/>
      <c r="S29" s="747"/>
      <c r="T29" s="1362"/>
      <c r="U29" s="1363"/>
      <c r="V29" s="1364"/>
      <c r="W29" s="1363"/>
      <c r="X29" s="1364"/>
      <c r="Y29" s="1363"/>
      <c r="Z29" s="1365"/>
      <c r="AA29" s="1363"/>
      <c r="AB29" s="1365"/>
      <c r="AC29" s="1363"/>
      <c r="AD29" s="1365"/>
      <c r="AE29" s="1363"/>
      <c r="AF29" s="1366"/>
      <c r="AG29" s="1367"/>
      <c r="AH29" s="1368"/>
      <c r="AI29" s="1369"/>
    </row>
    <row r="30" spans="1:35" ht="14.25" customHeight="1" x14ac:dyDescent="0.2">
      <c r="A30" s="1360" t="s">
        <v>300</v>
      </c>
      <c r="B30" s="754" t="s">
        <v>301</v>
      </c>
      <c r="C30" s="1361" t="s">
        <v>288</v>
      </c>
      <c r="D30" s="663"/>
      <c r="E30" s="661"/>
      <c r="F30" s="662"/>
      <c r="G30" s="661"/>
      <c r="H30" s="663"/>
      <c r="I30" s="1361" t="s">
        <v>288</v>
      </c>
      <c r="J30" s="1322"/>
      <c r="K30" s="661"/>
      <c r="L30" s="1332"/>
      <c r="M30" s="663"/>
      <c r="N30" s="661"/>
      <c r="O30" s="664"/>
      <c r="P30" s="661"/>
      <c r="Q30" s="663"/>
      <c r="R30" s="661"/>
      <c r="S30" s="663"/>
      <c r="T30" s="688"/>
      <c r="U30" s="743"/>
      <c r="V30" s="751"/>
      <c r="W30" s="743"/>
      <c r="X30" s="751"/>
      <c r="Y30" s="743"/>
      <c r="Z30" s="752"/>
      <c r="AA30" s="743"/>
      <c r="AB30" s="752"/>
      <c r="AC30" s="743"/>
      <c r="AD30" s="752"/>
      <c r="AE30" s="743"/>
      <c r="AF30" s="657"/>
      <c r="AG30" s="887"/>
      <c r="AH30" s="888"/>
      <c r="AI30" s="1338"/>
    </row>
    <row r="31" spans="1:35" x14ac:dyDescent="0.2">
      <c r="A31" s="753"/>
      <c r="B31" s="754"/>
      <c r="C31" s="659" t="s">
        <v>289</v>
      </c>
      <c r="D31" s="663"/>
      <c r="E31" s="661">
        <v>30800</v>
      </c>
      <c r="F31" s="662"/>
      <c r="G31" s="661">
        <v>6850</v>
      </c>
      <c r="H31" s="663"/>
      <c r="I31" s="659" t="s">
        <v>289</v>
      </c>
      <c r="J31" s="1322"/>
      <c r="K31" s="661">
        <v>5675</v>
      </c>
      <c r="L31" s="1332"/>
      <c r="M31" s="663"/>
      <c r="N31" s="661"/>
      <c r="O31" s="664"/>
      <c r="P31" s="661"/>
      <c r="Q31" s="663"/>
      <c r="R31" s="661"/>
      <c r="S31" s="663"/>
      <c r="T31" s="688"/>
      <c r="U31" s="743"/>
      <c r="V31" s="751"/>
      <c r="W31" s="743"/>
      <c r="X31" s="751"/>
      <c r="Y31" s="743"/>
      <c r="Z31" s="752"/>
      <c r="AA31" s="743"/>
      <c r="AB31" s="752"/>
      <c r="AC31" s="743"/>
      <c r="AD31" s="752"/>
      <c r="AE31" s="743"/>
      <c r="AF31" s="657"/>
      <c r="AG31" s="887"/>
      <c r="AH31" s="888"/>
      <c r="AI31" s="1338"/>
    </row>
    <row r="32" spans="1:35" ht="13.5" thickBot="1" x14ac:dyDescent="0.25">
      <c r="A32" s="753"/>
      <c r="B32" s="754"/>
      <c r="C32" s="659" t="s">
        <v>290</v>
      </c>
      <c r="D32" s="663"/>
      <c r="E32" s="661"/>
      <c r="F32" s="662"/>
      <c r="G32" s="661"/>
      <c r="H32" s="663"/>
      <c r="I32" s="659" t="s">
        <v>290</v>
      </c>
      <c r="J32" s="1322"/>
      <c r="K32" s="661"/>
      <c r="L32" s="1332"/>
      <c r="M32" s="663"/>
      <c r="N32" s="661"/>
      <c r="O32" s="664"/>
      <c r="P32" s="661"/>
      <c r="Q32" s="663"/>
      <c r="R32" s="661"/>
      <c r="S32" s="663"/>
      <c r="T32" s="688"/>
      <c r="U32" s="743"/>
      <c r="V32" s="751"/>
      <c r="W32" s="743"/>
      <c r="X32" s="751"/>
      <c r="Y32" s="743"/>
      <c r="Z32" s="752"/>
      <c r="AA32" s="743"/>
      <c r="AB32" s="752"/>
      <c r="AC32" s="743"/>
      <c r="AD32" s="752"/>
      <c r="AE32" s="743"/>
      <c r="AF32" s="657"/>
      <c r="AG32" s="887"/>
      <c r="AH32" s="888"/>
      <c r="AI32" s="1338"/>
    </row>
    <row r="33" spans="1:35" ht="27.75" customHeight="1" thickBot="1" x14ac:dyDescent="0.25">
      <c r="A33" s="727"/>
      <c r="B33" s="1452" t="s">
        <v>302</v>
      </c>
      <c r="C33" s="699" t="s">
        <v>288</v>
      </c>
      <c r="D33" s="700">
        <f t="shared" ref="D33:AE33" si="5">D26</f>
        <v>13100001.24</v>
      </c>
      <c r="E33" s="701" t="e">
        <f t="shared" si="5"/>
        <v>#REF!</v>
      </c>
      <c r="F33" s="702" t="e">
        <f t="shared" si="5"/>
        <v>#REF!</v>
      </c>
      <c r="G33" s="701">
        <f t="shared" si="5"/>
        <v>1676800</v>
      </c>
      <c r="H33" s="700">
        <f t="shared" si="5"/>
        <v>11423201.24</v>
      </c>
      <c r="I33" s="699" t="s">
        <v>288</v>
      </c>
      <c r="J33" s="1324">
        <f>J26+J30</f>
        <v>11423201.24</v>
      </c>
      <c r="K33" s="701">
        <f t="shared" si="5"/>
        <v>1676800</v>
      </c>
      <c r="L33" s="731">
        <f t="shared" si="5"/>
        <v>1300000</v>
      </c>
      <c r="M33" s="700">
        <f t="shared" si="5"/>
        <v>11046401.24</v>
      </c>
      <c r="N33" s="701">
        <f t="shared" si="5"/>
        <v>1806800</v>
      </c>
      <c r="O33" s="700">
        <f t="shared" si="5"/>
        <v>9239601.2400000002</v>
      </c>
      <c r="P33" s="701">
        <f t="shared" si="5"/>
        <v>1806800</v>
      </c>
      <c r="Q33" s="700">
        <f t="shared" si="5"/>
        <v>7432801.2400000002</v>
      </c>
      <c r="R33" s="701">
        <f t="shared" si="5"/>
        <v>1806800</v>
      </c>
      <c r="S33" s="700">
        <f t="shared" si="5"/>
        <v>5626001.2400000002</v>
      </c>
      <c r="T33" s="731">
        <f t="shared" si="5"/>
        <v>1074800</v>
      </c>
      <c r="U33" s="733">
        <f t="shared" si="5"/>
        <v>4551201.24</v>
      </c>
      <c r="V33" s="1345">
        <f t="shared" si="5"/>
        <v>1074800</v>
      </c>
      <c r="W33" s="733">
        <f t="shared" si="5"/>
        <v>3476401.24</v>
      </c>
      <c r="X33" s="1345">
        <f t="shared" si="5"/>
        <v>1074800</v>
      </c>
      <c r="Y33" s="733">
        <f t="shared" si="5"/>
        <v>2401601.2400000002</v>
      </c>
      <c r="Z33" s="1346">
        <f t="shared" si="5"/>
        <v>1075000</v>
      </c>
      <c r="AA33" s="733">
        <f t="shared" si="5"/>
        <v>1326601.2400000002</v>
      </c>
      <c r="AB33" s="1346">
        <f t="shared" si="5"/>
        <v>655000</v>
      </c>
      <c r="AC33" s="733">
        <f t="shared" si="5"/>
        <v>671601.24000000022</v>
      </c>
      <c r="AD33" s="1346">
        <f t="shared" si="5"/>
        <v>541601.24</v>
      </c>
      <c r="AE33" s="733">
        <f t="shared" si="5"/>
        <v>130000</v>
      </c>
      <c r="AF33" s="1352">
        <f>AF26</f>
        <v>0</v>
      </c>
      <c r="AG33" s="1370">
        <f>AG26</f>
        <v>130000</v>
      </c>
      <c r="AH33" s="1371">
        <f>AH26</f>
        <v>130000</v>
      </c>
      <c r="AI33" s="1355">
        <f>AE33-AH33</f>
        <v>0</v>
      </c>
    </row>
    <row r="34" spans="1:35" ht="22.5" customHeight="1" thickBot="1" x14ac:dyDescent="0.25">
      <c r="A34" s="659"/>
      <c r="B34" s="1452"/>
      <c r="C34" s="703" t="s">
        <v>289</v>
      </c>
      <c r="D34" s="704"/>
      <c r="E34" s="705" t="e">
        <f>E27+E31</f>
        <v>#REF!</v>
      </c>
      <c r="F34" s="706"/>
      <c r="G34" s="705">
        <f>G27+G30+G31</f>
        <v>397200</v>
      </c>
      <c r="H34" s="704"/>
      <c r="I34" s="703" t="s">
        <v>289</v>
      </c>
      <c r="J34" s="1325"/>
      <c r="K34" s="705">
        <f>K27+K31</f>
        <v>362475</v>
      </c>
      <c r="L34" s="707">
        <f>L27+L31</f>
        <v>0</v>
      </c>
      <c r="M34" s="704"/>
      <c r="N34" s="705">
        <f>N27</f>
        <v>326000</v>
      </c>
      <c r="O34" s="704"/>
      <c r="P34" s="705">
        <f>P27</f>
        <v>270700</v>
      </c>
      <c r="Q34" s="704"/>
      <c r="R34" s="705">
        <f>R27</f>
        <v>214950</v>
      </c>
      <c r="S34" s="704"/>
      <c r="T34" s="707">
        <f>T27</f>
        <v>159200</v>
      </c>
      <c r="U34" s="708"/>
      <c r="V34" s="709">
        <f>V27</f>
        <v>129200</v>
      </c>
      <c r="W34" s="708"/>
      <c r="X34" s="709">
        <f>X27</f>
        <v>99200</v>
      </c>
      <c r="Y34" s="708"/>
      <c r="Z34" s="710">
        <f>Z27</f>
        <v>69200</v>
      </c>
      <c r="AA34" s="708"/>
      <c r="AB34" s="710">
        <f>AB27</f>
        <v>39200</v>
      </c>
      <c r="AC34" s="708"/>
      <c r="AD34" s="710">
        <f>AD27</f>
        <v>20100</v>
      </c>
      <c r="AE34" s="708"/>
      <c r="AF34" s="735">
        <f>AF27</f>
        <v>0</v>
      </c>
      <c r="AG34" s="897"/>
      <c r="AH34" s="894">
        <f>AH27</f>
        <v>3900</v>
      </c>
      <c r="AI34" s="1341"/>
    </row>
    <row r="35" spans="1:35" ht="28.5" customHeight="1" thickBot="1" x14ac:dyDescent="0.25">
      <c r="A35" s="736"/>
      <c r="B35" s="1452"/>
      <c r="C35" s="711" t="s">
        <v>290</v>
      </c>
      <c r="D35" s="712">
        <f>D33</f>
        <v>13100001.24</v>
      </c>
      <c r="E35" s="713" t="e">
        <f>SUM(E33:E34)</f>
        <v>#REF!</v>
      </c>
      <c r="F35" s="714" t="e">
        <f>F33</f>
        <v>#REF!</v>
      </c>
      <c r="G35" s="713">
        <f>G33+G34</f>
        <v>2074000</v>
      </c>
      <c r="H35" s="712">
        <f>H33</f>
        <v>11423201.24</v>
      </c>
      <c r="I35" s="711" t="s">
        <v>290</v>
      </c>
      <c r="J35" s="1326">
        <f>J33</f>
        <v>11423201.24</v>
      </c>
      <c r="K35" s="713">
        <f>SUM(K33:K34)</f>
        <v>2039275</v>
      </c>
      <c r="L35" s="737">
        <f>SUM(L33:L34)</f>
        <v>1300000</v>
      </c>
      <c r="M35" s="712">
        <f>M33</f>
        <v>11046401.24</v>
      </c>
      <c r="N35" s="713">
        <f>SUM(N33:N34)</f>
        <v>2132800</v>
      </c>
      <c r="O35" s="712">
        <f>O33</f>
        <v>9239601.2400000002</v>
      </c>
      <c r="P35" s="713">
        <f>SUM(P33:P34)</f>
        <v>2077500</v>
      </c>
      <c r="Q35" s="712">
        <f>Q33</f>
        <v>7432801.2400000002</v>
      </c>
      <c r="R35" s="713">
        <f>SUM(R33:R34)</f>
        <v>2021750</v>
      </c>
      <c r="S35" s="712">
        <f>S33</f>
        <v>5626001.2400000002</v>
      </c>
      <c r="T35" s="737">
        <f>SUM(T33:T34)</f>
        <v>1234000</v>
      </c>
      <c r="U35" s="738">
        <f>U33</f>
        <v>4551201.24</v>
      </c>
      <c r="V35" s="739">
        <f>V33+V34</f>
        <v>1204000</v>
      </c>
      <c r="W35" s="738">
        <f>W33</f>
        <v>3476401.24</v>
      </c>
      <c r="X35" s="739">
        <f>SUM(X33:X34)</f>
        <v>1174000</v>
      </c>
      <c r="Y35" s="738">
        <f>Y33</f>
        <v>2401601.2400000002</v>
      </c>
      <c r="Z35" s="740">
        <f>SUM(Z33:Z34)</f>
        <v>1144200</v>
      </c>
      <c r="AA35" s="738">
        <f>AA33</f>
        <v>1326601.2400000002</v>
      </c>
      <c r="AB35" s="740">
        <f>SUM(AB33:AB34)</f>
        <v>694200</v>
      </c>
      <c r="AC35" s="738">
        <f>AC33</f>
        <v>671601.24000000022</v>
      </c>
      <c r="AD35" s="740">
        <f>SUM(AD33:AD34)</f>
        <v>561701.24</v>
      </c>
      <c r="AE35" s="738">
        <f>AE33</f>
        <v>130000</v>
      </c>
      <c r="AF35" s="1356">
        <f>AF33+AF34</f>
        <v>0</v>
      </c>
      <c r="AG35" s="1372">
        <f>AG28</f>
        <v>130000</v>
      </c>
      <c r="AH35" s="1358">
        <f>AH28</f>
        <v>133900</v>
      </c>
      <c r="AI35" s="1359">
        <v>0</v>
      </c>
    </row>
    <row r="36" spans="1:35" hidden="1" x14ac:dyDescent="0.2">
      <c r="B36" s="755"/>
    </row>
    <row r="37" spans="1:35" hidden="1" x14ac:dyDescent="0.2">
      <c r="B37" s="755" t="s">
        <v>332</v>
      </c>
      <c r="G37" s="899">
        <v>467200</v>
      </c>
      <c r="H37" s="899"/>
      <c r="J37" s="899"/>
      <c r="K37" s="899">
        <f>400275</f>
        <v>400275</v>
      </c>
      <c r="L37" s="899"/>
      <c r="M37" s="899"/>
      <c r="N37" s="899">
        <v>338200</v>
      </c>
      <c r="O37" s="899"/>
      <c r="P37" s="899">
        <v>276625</v>
      </c>
      <c r="Q37" s="899"/>
      <c r="R37" s="899">
        <v>214450</v>
      </c>
      <c r="S37" s="899"/>
      <c r="T37" s="899">
        <v>152975</v>
      </c>
      <c r="U37" s="899"/>
      <c r="V37" s="899">
        <v>121900</v>
      </c>
      <c r="W37" s="899"/>
      <c r="X37" s="899">
        <v>90825</v>
      </c>
      <c r="Y37" s="899"/>
      <c r="Z37" s="899">
        <v>46550</v>
      </c>
      <c r="AA37" s="899"/>
      <c r="AB37" s="899">
        <v>25175</v>
      </c>
      <c r="AC37" s="899"/>
      <c r="AD37" s="899">
        <v>12300</v>
      </c>
      <c r="AE37" s="899"/>
      <c r="AF37" s="899"/>
      <c r="AG37" s="899"/>
      <c r="AH37" s="899">
        <v>0</v>
      </c>
      <c r="AI37" s="899"/>
    </row>
    <row r="38" spans="1:35" hidden="1" x14ac:dyDescent="0.2">
      <c r="B38" s="755"/>
      <c r="G38" s="899">
        <f>G34-G37</f>
        <v>-70000</v>
      </c>
      <c r="H38" s="899"/>
      <c r="J38" s="899"/>
      <c r="K38" s="899">
        <f t="shared" ref="K38" si="6">K34-K37</f>
        <v>-37800</v>
      </c>
      <c r="L38" s="899"/>
      <c r="M38" s="899"/>
      <c r="N38" s="899">
        <f t="shared" ref="N38" si="7">N34-N37</f>
        <v>-12200</v>
      </c>
      <c r="O38" s="899"/>
      <c r="P38" s="899">
        <f t="shared" ref="P38" si="8">P34-P37</f>
        <v>-5925</v>
      </c>
      <c r="Q38" s="899"/>
      <c r="R38" s="899">
        <f t="shared" ref="R38:AI38" si="9">R34-R37</f>
        <v>500</v>
      </c>
      <c r="S38" s="899">
        <f t="shared" si="9"/>
        <v>0</v>
      </c>
      <c r="T38" s="899">
        <f t="shared" si="9"/>
        <v>6225</v>
      </c>
      <c r="U38" s="899">
        <f t="shared" si="9"/>
        <v>0</v>
      </c>
      <c r="V38" s="899">
        <f t="shared" si="9"/>
        <v>7300</v>
      </c>
      <c r="W38" s="899">
        <f t="shared" si="9"/>
        <v>0</v>
      </c>
      <c r="X38" s="899">
        <f t="shared" si="9"/>
        <v>8375</v>
      </c>
      <c r="Y38" s="899">
        <f t="shared" si="9"/>
        <v>0</v>
      </c>
      <c r="Z38" s="899">
        <f t="shared" si="9"/>
        <v>22650</v>
      </c>
      <c r="AA38" s="899">
        <f t="shared" si="9"/>
        <v>0</v>
      </c>
      <c r="AB38" s="899">
        <f t="shared" si="9"/>
        <v>14025</v>
      </c>
      <c r="AC38" s="899">
        <f t="shared" si="9"/>
        <v>0</v>
      </c>
      <c r="AD38" s="899">
        <f t="shared" si="9"/>
        <v>7800</v>
      </c>
      <c r="AE38" s="899">
        <f t="shared" si="9"/>
        <v>0</v>
      </c>
      <c r="AF38" s="899">
        <f t="shared" si="9"/>
        <v>0</v>
      </c>
      <c r="AG38" s="899">
        <f t="shared" si="9"/>
        <v>0</v>
      </c>
      <c r="AH38" s="899">
        <f t="shared" si="9"/>
        <v>3900</v>
      </c>
      <c r="AI38" s="899">
        <f t="shared" si="9"/>
        <v>0</v>
      </c>
    </row>
    <row r="39" spans="1:35" x14ac:dyDescent="0.2">
      <c r="G39" s="899"/>
      <c r="H39" s="899"/>
      <c r="J39" s="899"/>
      <c r="K39" s="899"/>
      <c r="L39" s="899"/>
      <c r="M39" s="899"/>
      <c r="N39" s="899"/>
      <c r="O39" s="899"/>
      <c r="P39" s="899"/>
      <c r="Q39" s="899"/>
      <c r="R39" s="899"/>
      <c r="S39" s="899"/>
      <c r="T39" s="899"/>
      <c r="U39" s="899"/>
      <c r="V39" s="899"/>
      <c r="W39" s="899"/>
      <c r="X39" s="899"/>
      <c r="Y39" s="899"/>
      <c r="Z39" s="899"/>
      <c r="AA39" s="899"/>
      <c r="AB39" s="899"/>
      <c r="AC39" s="899"/>
      <c r="AD39" s="899"/>
      <c r="AE39" s="899"/>
      <c r="AF39" s="899"/>
      <c r="AG39" s="899"/>
      <c r="AH39" s="899"/>
      <c r="AI39" s="899"/>
    </row>
    <row r="40" spans="1:35" x14ac:dyDescent="0.2">
      <c r="G40" s="899"/>
      <c r="H40" s="899"/>
      <c r="J40" s="899"/>
      <c r="K40" s="899"/>
      <c r="L40" s="899"/>
      <c r="M40" s="899"/>
      <c r="N40" s="899"/>
      <c r="O40" s="899"/>
      <c r="P40" s="899"/>
      <c r="Q40" s="899"/>
      <c r="R40" s="899"/>
      <c r="S40" s="899"/>
      <c r="T40" s="899"/>
      <c r="U40" s="899"/>
      <c r="V40" s="899"/>
      <c r="W40" s="899"/>
      <c r="X40" s="899"/>
      <c r="Y40" s="899"/>
      <c r="Z40" s="899"/>
      <c r="AA40" s="899"/>
      <c r="AB40" s="899"/>
      <c r="AC40" s="899"/>
      <c r="AD40" s="899"/>
      <c r="AE40" s="899"/>
      <c r="AF40" s="899"/>
      <c r="AG40" s="899"/>
      <c r="AH40" s="899"/>
      <c r="AI40" s="899"/>
    </row>
  </sheetData>
  <sheetProtection selectLockedCells="1" selectUnlockedCells="1"/>
  <mergeCells count="31">
    <mergeCell ref="G1:N1"/>
    <mergeCell ref="A3:A4"/>
    <mergeCell ref="B3:B4"/>
    <mergeCell ref="C3:C4"/>
    <mergeCell ref="D3:D4"/>
    <mergeCell ref="E3:F3"/>
    <mergeCell ref="G3:H3"/>
    <mergeCell ref="K3:M3"/>
    <mergeCell ref="N3:O3"/>
    <mergeCell ref="AB3:AC3"/>
    <mergeCell ref="AD3:AE3"/>
    <mergeCell ref="AF3:AG3"/>
    <mergeCell ref="AH3:AI3"/>
    <mergeCell ref="B5:B7"/>
    <mergeCell ref="P3:Q3"/>
    <mergeCell ref="R3:S3"/>
    <mergeCell ref="T3:U3"/>
    <mergeCell ref="V3:W3"/>
    <mergeCell ref="X3:Y3"/>
    <mergeCell ref="Z3:AA3"/>
    <mergeCell ref="B26:B28"/>
    <mergeCell ref="B33:B35"/>
    <mergeCell ref="J3:J4"/>
    <mergeCell ref="I3:I4"/>
    <mergeCell ref="B11:B13"/>
    <mergeCell ref="B14:B16"/>
    <mergeCell ref="A17:B19"/>
    <mergeCell ref="A20:A22"/>
    <mergeCell ref="B20:B22"/>
    <mergeCell ref="A23:B25"/>
    <mergeCell ref="B8:B10"/>
  </mergeCells>
  <pageMargins left="0.98425196850393704" right="0" top="1.1023622047244095" bottom="0.11811023622047245" header="0.59055118110236227" footer="3.937007874015748E-2"/>
  <pageSetup paperSize="9" firstPageNumber="0" fitToWidth="0" orientation="portrait" r:id="rId1"/>
  <headerFooter alignWithMargins="0">
    <oddFooter>Strona &amp;P z &amp;N</oddFooter>
  </headerFooter>
  <colBreaks count="5" manualBreakCount="5">
    <brk id="13" max="37" man="1"/>
    <brk id="17" max="1048575" man="1"/>
    <brk id="21" max="1048575" man="1"/>
    <brk id="25" max="1048575" man="1"/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Zał. 1 Dochody</vt:lpstr>
      <vt:lpstr>Zał. 2 Wydatki   </vt:lpstr>
      <vt:lpstr> prognoza zadłużenia 2016 -2026</vt:lpstr>
      <vt:lpstr>' prognoza zadłużenia 2016 -2026'!Excel_BuiltIn_Print_Titles_1</vt:lpstr>
      <vt:lpstr>' prognoza zadłużenia 2016 -2026'!Tytuły_wydruku</vt:lpstr>
      <vt:lpstr>'Zał. 1 Dochody'!Tytuły_wydruku</vt:lpstr>
      <vt:lpstr>'Zał. 2 Wydatki   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mkachlicka</cp:lastModifiedBy>
  <cp:lastPrinted>2015-11-04T14:22:20Z</cp:lastPrinted>
  <dcterms:created xsi:type="dcterms:W3CDTF">2014-11-03T11:45:34Z</dcterms:created>
  <dcterms:modified xsi:type="dcterms:W3CDTF">2015-11-10T04:48:19Z</dcterms:modified>
</cp:coreProperties>
</file>